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FA115057-CC1B-4667-92C4-8B8D7D26E4A2}" xr6:coauthVersionLast="47" xr6:coauthVersionMax="47" xr10:uidLastSave="{00000000-0000-0000-0000-000000000000}"/>
  <bookViews>
    <workbookView xWindow="-120" yWindow="-120" windowWidth="38640" windowHeight="21240" tabRatio="793" activeTab="3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old" sheetId="34" r:id="rId5"/>
    <sheet name="Iron and Steel input" sheetId="13" r:id="rId6"/>
    <sheet name="Energy Calibration" sheetId="10" r:id="rId7"/>
    <sheet name="Energy and Emissions" sheetId="1" r:id="rId8"/>
    <sheet name="Capacity &amp; Production" sheetId="2" r:id="rId9"/>
    <sheet name="Coke" sheetId="11" r:id="rId10"/>
    <sheet name="Scrap" sheetId="15" r:id="rId11"/>
    <sheet name="TNapp - Opex sheet" sheetId="23" r:id="rId12"/>
    <sheet name="TNapp - Capex sheet" sheetId="37" r:id="rId13"/>
    <sheet name="TNapp - I&amp;S intensity" sheetId="4" r:id="rId14"/>
    <sheet name="AMSA reports" sheetId="9" r:id="rId15"/>
    <sheet name="AcelorMittal sus report data" sheetId="7" r:id="rId16"/>
    <sheet name="AMSA - Saldanha" sheetId="5" r:id="rId17"/>
    <sheet name="AMSA - Vndbjl park" sheetId="17" r:id="rId18"/>
    <sheet name="Blast furnace JPN info" sheetId="8" r:id="rId19"/>
    <sheet name="Vereeniging" sheetId="45" r:id="rId20"/>
    <sheet name="Evraz Highveld" sheetId="6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12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5">'[5]Financial Indicators'!$Y$9</definedName>
    <definedName name="CPI.2011" localSheetId="12">'[6]Financial Indicators'!$Y$9</definedName>
    <definedName name="CPI.2011" localSheetId="11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5">'[5]Financial Indicators'!$C$25:$Z$28</definedName>
    <definedName name="Deflator" localSheetId="12">'[6]Financial Indicators'!$C$25:$Z$28</definedName>
    <definedName name="Deflator" localSheetId="11">'[7]Financial Indicators'!$C$25:$Z$28</definedName>
    <definedName name="Deflator">'[8]Financial Indicators'!$C$25:$Z$28</definedName>
    <definedName name="DISCRATE" localSheetId="12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15">'[5]Financial Indicators'!$C$12:$Y$15</definedName>
    <definedName name="EXCH" localSheetId="12">'[6]Financial Indicators'!$C$12:$Y$15</definedName>
    <definedName name="EXCH" localSheetId="11">'[7]Financial Indicators'!$C$12:$Y$15</definedName>
    <definedName name="EXCH">'[8]Financial Indicators'!$C$12:$Y$15</definedName>
    <definedName name="EXCH.year" localSheetId="15">'[5]Financial Indicators'!$D$3:$Y$3</definedName>
    <definedName name="EXCH.year" localSheetId="12">'[6]Financial Indicators'!$D$3:$Y$3</definedName>
    <definedName name="EXCH.year" localSheetId="11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12">'[3]TechRep-Doc'!#REF!</definedName>
    <definedName name="GROWTH">'[3]TechRep-Doc'!#REF!</definedName>
    <definedName name="GROWTH_TID" localSheetId="12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12">'[3]TechRep-Doc'!#REF!</definedName>
    <definedName name="INVCOST">'[3]TechRep-Doc'!#REF!</definedName>
    <definedName name="IS_EE_switch">[2]IND!#REF!</definedName>
    <definedName name="LIFE" localSheetId="12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2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5">#REF!</definedName>
    <definedName name="SASApp_GDPDATA_DISCREPANCY_TABLE" localSheetId="12">#REF!</definedName>
    <definedName name="SASApp_GDPDATA_DISCREPANCY_TABLE" localSheetId="13">#REF!</definedName>
    <definedName name="SASApp_GDPDATA_DISCREPANCY_TABLE" localSheetId="11">#REF!</definedName>
    <definedName name="SASApp_GDPDATA_DISCREPANCY_TABLE">#REF!</definedName>
    <definedName name="SASApp_GDPDATA_SUPPLY_TABLE_FIRST" localSheetId="15">#REF!</definedName>
    <definedName name="SASApp_GDPDATA_SUPPLY_TABLE_FIRST" localSheetId="12">#REF!</definedName>
    <definedName name="SASApp_GDPDATA_SUPPLY_TABLE_FIRST" localSheetId="13">#REF!</definedName>
    <definedName name="SASApp_GDPDATA_SUPPLY_TABLE_FIRST" localSheetId="11">#REF!</definedName>
    <definedName name="SASApp_GDPDATA_SUPPLY_TABLE_FIRST">#REF!</definedName>
    <definedName name="SASApp_GDPDATA_SUPPLY_TABLE_SECOND" localSheetId="15">#REF!</definedName>
    <definedName name="SASApp_GDPDATA_SUPPLY_TABLE_SECOND" localSheetId="12">#REF!</definedName>
    <definedName name="SASApp_GDPDATA_SUPPLY_TABLE_SECOND" localSheetId="13">#REF!</definedName>
    <definedName name="SASApp_GDPDATA_SUPPLY_TABLE_SECOND" localSheetId="11">#REF!</definedName>
    <definedName name="SASApp_GDPDATA_SUPPLY_TABLE_SECOND">#REF!</definedName>
    <definedName name="SASApp_GDPDATA_USE_TABLE_FIRST" localSheetId="15">#REF!</definedName>
    <definedName name="SASApp_GDPDATA_USE_TABLE_FIRST" localSheetId="12">#REF!</definedName>
    <definedName name="SASApp_GDPDATA_USE_TABLE_FIRST" localSheetId="13">#REF!</definedName>
    <definedName name="SASApp_GDPDATA_USE_TABLE_FIRST" localSheetId="11">#REF!</definedName>
    <definedName name="SASApp_GDPDATA_USE_TABLE_FIRST">#REF!</definedName>
    <definedName name="SASApp_GDPDATA_USE_TABLE_SECOND" localSheetId="15">#REF!</definedName>
    <definedName name="SASApp_GDPDATA_USE_TABLE_SECOND" localSheetId="12">#REF!</definedName>
    <definedName name="SASApp_GDPDATA_USE_TABLE_SECOND" localSheetId="13">#REF!</definedName>
    <definedName name="SASApp_GDPDATA_USE_TABLE_SECOND" localSheetId="11">#REF!</definedName>
    <definedName name="SASApp_GDPDATA_USE_TABLE_SECOND">#REF!</definedName>
    <definedName name="SETS" localSheetId="12">'[3]TechRep-Doc'!#REF!</definedName>
    <definedName name="SETS">'[3]TechRep-Doc'!#REF!</definedName>
    <definedName name="TRTGAB005" localSheetId="12">'[3]TechRep-Doc'!#REF!</definedName>
    <definedName name="TRTGAB005">'[3]TechRep-Doc'!#REF!</definedName>
    <definedName name="TRTGAC005" localSheetId="12">'[3]TechRep-Doc'!#REF!</definedName>
    <definedName name="TRTGAC005">'[3]TechRep-Doc'!#REF!</definedName>
    <definedName name="Trucks_15" localSheetId="12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5">'[5]Unit conversion'!$E$7</definedName>
    <definedName name="Unit.GJ" localSheetId="12">'[6]Unit conversion'!$E$7</definedName>
    <definedName name="Unit.GJ" localSheetId="11">'[7]Unit conversion'!$E$7</definedName>
    <definedName name="Unit.GJ">'[8]Unit conversion'!$E$7</definedName>
    <definedName name="Unit.GWh" localSheetId="15">'[5]Unit conversion'!$E$13</definedName>
    <definedName name="Unit.GWh" localSheetId="12">'[6]Unit conversion'!$E$13</definedName>
    <definedName name="Unit.GWh" localSheetId="11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5">'[5]Unit conversion'!$E$22</definedName>
    <definedName name="Unit.kgce" localSheetId="12">'[6]Unit conversion'!$E$22</definedName>
    <definedName name="Unit.kgce" localSheetId="11">'[7]Unit conversion'!$E$22</definedName>
    <definedName name="Unit.kgce">'[8]Unit conversion'!$E$22</definedName>
    <definedName name="Unit.minute">'[4]Unit conversion'!$F$45</definedName>
    <definedName name="Unit.TJ" localSheetId="15">'[5]Unit conversion'!$E$6</definedName>
    <definedName name="Unit.TJ" localSheetId="12">'[6]Unit conversion'!$E$6</definedName>
    <definedName name="Unit.TJ" localSheetId="11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6" i="13" l="1"/>
  <c r="I146" i="13"/>
  <c r="J146" i="13"/>
  <c r="G146" i="13"/>
  <c r="N127" i="13" l="1"/>
  <c r="L127" i="13"/>
  <c r="M127" i="13"/>
  <c r="AC40" i="17"/>
  <c r="AA43" i="17"/>
  <c r="M132" i="13"/>
  <c r="L132" i="13"/>
  <c r="L138" i="13"/>
  <c r="L142" i="13"/>
  <c r="M146" i="13"/>
  <c r="L146" i="13"/>
  <c r="O6" i="29"/>
  <c r="B8" i="29"/>
  <c r="H74" i="35"/>
  <c r="E81" i="35"/>
  <c r="H178" i="35" s="1"/>
  <c r="S282" i="2"/>
  <c r="T282" i="2"/>
  <c r="U282" i="2"/>
  <c r="M51" i="11"/>
  <c r="M54" i="11"/>
  <c r="I109" i="11" l="1"/>
  <c r="H109" i="11"/>
  <c r="J27" i="11"/>
  <c r="J26" i="11"/>
  <c r="J23" i="11"/>
  <c r="D109" i="11"/>
  <c r="I108" i="11"/>
  <c r="R282" i="2"/>
  <c r="P282" i="2"/>
  <c r="J80" i="35"/>
  <c r="I80" i="35"/>
  <c r="H80" i="35"/>
  <c r="E74" i="35"/>
  <c r="G60" i="35"/>
  <c r="H81" i="35" s="1"/>
  <c r="I81" i="35"/>
  <c r="J81" i="35"/>
  <c r="F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M156" i="13"/>
  <c r="U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6" i="13"/>
  <c r="AE105" i="13"/>
  <c r="AE104" i="13"/>
  <c r="AE103" i="13"/>
  <c r="R104" i="13"/>
  <c r="O122" i="13" s="1"/>
  <c r="D27" i="2" l="1"/>
  <c r="D28" i="2"/>
  <c r="D29" i="2"/>
  <c r="D30" i="2"/>
  <c r="D31" i="2"/>
  <c r="M52" i="2"/>
  <c r="M50" i="2"/>
  <c r="H11" i="2" l="1"/>
  <c r="J120" i="10" l="1"/>
  <c r="F101" i="10"/>
  <c r="E99" i="10"/>
  <c r="E159" i="35" l="1"/>
  <c r="AA241" i="35"/>
  <c r="D159" i="35" s="1"/>
  <c r="D160" i="35" s="1"/>
  <c r="E36" i="10" l="1"/>
  <c r="E91" i="4" a="1"/>
  <c r="E91" i="4" s="1"/>
  <c r="F97" i="4"/>
  <c r="F187" i="4"/>
  <c r="F100" i="13" l="1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R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P140" i="13" s="1"/>
  <c r="T108" i="13"/>
  <c r="U108" i="13"/>
  <c r="V108" i="13"/>
  <c r="W108" i="13"/>
  <c r="Q141" i="13" s="1"/>
  <c r="X108" i="13"/>
  <c r="R105" i="13"/>
  <c r="R106" i="13"/>
  <c r="F103" i="13" s="1"/>
  <c r="K103" i="13" s="1"/>
  <c r="R107" i="13"/>
  <c r="R108" i="13"/>
  <c r="O139" i="13" s="1"/>
  <c r="D103" i="13"/>
  <c r="H103" i="13" s="1"/>
  <c r="D104" i="13" l="1"/>
  <c r="H104" i="13" s="1"/>
  <c r="Q124" i="13"/>
  <c r="D107" i="13"/>
  <c r="H107" i="13" s="1"/>
  <c r="P123" i="13"/>
  <c r="F107" i="13"/>
  <c r="K107" i="13" s="1"/>
  <c r="O143" i="13"/>
  <c r="G168" i="13" s="1"/>
  <c r="F106" i="13"/>
  <c r="K106" i="13" s="1"/>
  <c r="P144" i="13"/>
  <c r="H169" i="13" s="1"/>
  <c r="F105" i="13"/>
  <c r="K105" i="13" s="1"/>
  <c r="Q145" i="13"/>
  <c r="I170" i="13" s="1"/>
  <c r="E103" i="13"/>
  <c r="I103" i="13" s="1"/>
  <c r="O129" i="13"/>
  <c r="G105" i="13"/>
  <c r="S137" i="13"/>
  <c r="G103" i="13"/>
  <c r="O133" i="13"/>
  <c r="G104" i="13"/>
  <c r="Q135" i="13"/>
  <c r="G107" i="13"/>
  <c r="P134" i="13"/>
  <c r="J40" i="37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C74" i="37" a="1"/>
  <c r="C74" i="37" s="1"/>
  <c r="H99" i="13" s="1"/>
  <c r="C73" i="37" a="1"/>
  <c r="C73" i="37" s="1"/>
  <c r="C72" i="37" a="1"/>
  <c r="C72" i="37" s="1"/>
  <c r="K99" i="13" s="1"/>
  <c r="C75" i="37" l="1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H97" i="23"/>
  <c r="AJ213" i="35"/>
  <c r="AG137" i="35"/>
  <c r="P23" i="9"/>
  <c r="P22" i="9"/>
  <c r="O13" i="9"/>
  <c r="AN145" i="35" l="1"/>
  <c r="AN146" i="35" s="1"/>
  <c r="D140" i="35"/>
  <c r="F151" i="35" s="1"/>
  <c r="D124" i="35"/>
  <c r="D136" i="35" l="1"/>
  <c r="I152" i="35" s="1"/>
  <c r="I149" i="35"/>
  <c r="D128" i="35"/>
  <c r="AA107" i="35" l="1"/>
  <c r="AA109" i="35" s="1"/>
  <c r="C108" i="35"/>
  <c r="C106" i="35" l="1"/>
  <c r="C109" i="35" s="1"/>
  <c r="AB109" i="35"/>
  <c r="D106" i="35" l="1"/>
  <c r="D109" i="35" s="1"/>
  <c r="AF107" i="35"/>
  <c r="E106" i="35"/>
  <c r="E109" i="35" s="1"/>
  <c r="C18" i="13" l="1"/>
  <c r="V17" i="13"/>
  <c r="M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N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N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E122" i="10" l="1"/>
  <c r="F122" i="10"/>
  <c r="G122" i="10"/>
  <c r="H122" i="10"/>
  <c r="I122" i="10"/>
  <c r="J122" i="10"/>
  <c r="K122" i="10"/>
  <c r="L103" i="10"/>
  <c r="J103" i="10"/>
  <c r="F103" i="10"/>
  <c r="E103" i="10"/>
  <c r="I100" i="10"/>
  <c r="I101" i="10"/>
  <c r="I99" i="10"/>
  <c r="N115" i="10"/>
  <c r="J101" i="10"/>
  <c r="J102" i="10"/>
  <c r="M133" i="10" l="1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G120" i="10"/>
  <c r="H120" i="10"/>
  <c r="I120" i="10"/>
  <c r="K120" i="10"/>
  <c r="E53" i="10"/>
  <c r="C39" i="13"/>
  <c r="C40" i="13"/>
  <c r="C51" i="13" s="1"/>
  <c r="U142" i="13" s="1"/>
  <c r="C41" i="13"/>
  <c r="C38" i="13"/>
  <c r="C37" i="13"/>
  <c r="C52" i="13" l="1"/>
  <c r="F110" i="13"/>
  <c r="K110" i="13" s="1"/>
  <c r="C47" i="13"/>
  <c r="U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U127" i="13"/>
  <c r="M162" i="13" s="1"/>
  <c r="C49" i="13"/>
  <c r="C50" i="13" s="1"/>
  <c r="U131" i="13"/>
  <c r="C53" i="13"/>
  <c r="U146" i="13"/>
  <c r="M171" i="13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06" i="13"/>
  <c r="G108" i="13" s="1"/>
  <c r="R136" i="13"/>
  <c r="T13" i="2"/>
  <c r="S54" i="2"/>
  <c r="J9" i="13" s="1"/>
  <c r="J18" i="13" s="1"/>
  <c r="R75" i="10"/>
  <c r="F100" i="10"/>
  <c r="I14" i="13"/>
  <c r="K127" i="13" s="1"/>
  <c r="I10" i="13"/>
  <c r="R268" i="2"/>
  <c r="F121" i="10"/>
  <c r="E121" i="10"/>
  <c r="G121" i="10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U13" i="2" l="1"/>
  <c r="U54" i="2" s="1"/>
  <c r="L9" i="13" s="1"/>
  <c r="T54" i="2"/>
  <c r="K9" i="13" s="1"/>
  <c r="K18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E107" i="13"/>
  <c r="J107" i="13" s="1"/>
  <c r="J108" i="13" s="1"/>
  <c r="P130" i="13"/>
  <c r="L18" i="13"/>
  <c r="F96" i="13"/>
  <c r="K14" i="13"/>
  <c r="K10" i="13"/>
  <c r="L14" i="13"/>
  <c r="M14" i="13" s="1"/>
  <c r="N14" i="13" s="1"/>
  <c r="O14" i="13" s="1"/>
  <c r="P14" i="13" s="1"/>
  <c r="Q14" i="13" s="1"/>
  <c r="R14" i="13" s="1"/>
  <c r="S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W15" i="13"/>
  <c r="X15" i="13" s="1"/>
  <c r="Y15" i="13" s="1"/>
  <c r="M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S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S131" i="13"/>
  <c r="F119" i="10"/>
  <c r="E119" i="10"/>
  <c r="K119" i="10"/>
  <c r="G119" i="10"/>
  <c r="H119" i="10"/>
  <c r="I119" i="10"/>
  <c r="J119" i="10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M82" i="2" l="1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<sst xmlns="http://schemas.openxmlformats.org/spreadsheetml/2006/main" count="3445" uniqueCount="1303">
  <si>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</si>
  <si>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</si>
  <si>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</si>
  <si>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</si>
  <si>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</si>
  <si>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</si>
  <si>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</si>
  <si>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</si>
  <si>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</si>
  <si>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</si>
  <si>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</si>
  <si>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</si>
  <si>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</si>
  <si>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</si>
  <si>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</si>
  <si>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</si>
  <si>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</si>
  <si>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</si>
  <si>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</si>
  <si>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</si>
  <si>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</si>
  <si>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</si>
  <si>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</si>
  <si>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</si>
  <si>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</si>
  <si>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</si>
  <si>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</si>
  <si>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</si>
  <si>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</si>
  <si>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</si>
  <si>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</si>
  <si>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</si>
  <si>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</si>
  <si>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</si>
  <si>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</si>
  <si>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</si>
  <si>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</si>
  <si>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</si>
  <si>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</si>
  <si>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</si>
  <si>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</si>
  <si>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</si>
  <si>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</si>
  <si>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</si>
  <si>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</si>
  <si>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</si>
  <si>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</si>
  <si>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</si>
  <si>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</si>
  <si>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</si>
  <si>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</si>
  <si>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</si>
  <si>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</si>
  <si>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</si>
  <si>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</si>
  <si>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</si>
  <si>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</si>
  <si>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</si>
  <si>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</si>
  <si>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</si>
  <si>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</si>
  <si>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</si>
  <si>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</si>
  <si>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</si>
  <si>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</si>
  <si>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</si>
  <si>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</si>
  <si>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</si>
  <si>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</si>
  <si>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</si>
  <si>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</si>
  <si>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</si>
  <si>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</si>
  <si>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</si>
  <si>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</si>
  <si>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</si>
  <si>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</si>
  <si>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</si>
  <si>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</si>
  <si>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</si>
  <si>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</si>
  <si>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</si>
  <si>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</si>
  <si>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</si>
  <si>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</si>
  <si>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</si>
  <si>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</si>
  <si>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</si>
  <si>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</si>
  <si>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</si>
  <si>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</si>
  <si>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</si>
  <si>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</si>
  <si>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</si>
  <si>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</si>
  <si>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</si>
  <si>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</si>
  <si>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</si>
  <si>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</si>
  <si>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</si>
  <si>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</si>
  <si>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</si>
  <si>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</si>
  <si>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</si>
  <si>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</si>
  <si>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</si>
  <si>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</si>
  <si>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</si>
  <si>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</si>
  <si>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</si>
  <si>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</si>
  <si>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</si>
  <si>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</si>
  <si>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</si>
  <si>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</si>
  <si>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</si>
  <si>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</si>
  <si>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</si>
  <si>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</si>
  <si>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</si>
  <si>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</si>
  <si>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</si>
  <si>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</si>
  <si>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</si>
  <si>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</si>
  <si>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</si>
  <si>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</si>
  <si>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</si>
  <si>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</si>
  <si>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</si>
  <si>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</si>
  <si>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</si>
  <si>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</si>
  <si>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</si>
  <si>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</si>
  <si>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</si>
  <si>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</si>
  <si>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</si>
  <si>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</si>
  <si>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</si>
  <si>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</si>
  <si>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</si>
  <si>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</si>
  <si>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</si>
  <si>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</si>
  <si>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</si>
  <si>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</si>
  <si>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</si>
  <si>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</si>
  <si>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</si>
  <si>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</si>
  <si>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</si>
  <si>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</si>
  <si>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</si>
  <si>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</si>
  <si>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</si>
  <si>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</si>
  <si>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</si>
  <si>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</si>
  <si>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</si>
  <si>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</si>
  <si>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</si>
  <si>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</si>
  <si>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</si>
  <si>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</si>
  <si>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</si>
  <si>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</si>
  <si>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</si>
  <si>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</si>
  <si>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</si>
  <si>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</si>
  <si>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</si>
  <si>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</si>
  <si>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</si>
  <si>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</si>
  <si>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</si>
  <si>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</si>
  <si>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</si>
  <si>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</si>
  <si>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</si>
  <si>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</si>
  <si>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</si>
  <si>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</si>
  <si>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</si>
  <si>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</si>
  <si>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</si>
  <si>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</si>
  <si>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</si>
  <si>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</si>
  <si>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</si>
  <si>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</si>
  <si>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</si>
  <si>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</si>
  <si>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</si>
  <si>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</si>
  <si>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</si>
  <si>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</si>
  <si>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</si>
  <si>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</si>
  <si>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</si>
  <si>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</si>
  <si>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</si>
  <si>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</si>
  <si>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</si>
  <si>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</si>
  <si>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</si>
  <si>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</si>
  <si>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</si>
  <si>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</si>
  <si>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</si>
  <si>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</si>
  <si>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</si>
  <si>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</si>
  <si>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</si>
  <si>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</si>
  <si>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</si>
  <si>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</si>
  <si>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</si>
  <si>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</si>
  <si>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</si>
  <si>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</si>
  <si>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</si>
  <si>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</si>
  <si>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</si>
  <si>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</si>
  <si>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</si>
  <si>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</si>
  <si>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</si>
  <si>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</si>
  <si>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</si>
  <si>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</si>
  <si>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</si>
  <si>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</si>
  <si>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</si>
  <si>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</si>
  <si>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</si>
  <si>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</si>
  <si>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</si>
  <si>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</si>
  <si>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</si>
  <si>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</si>
  <si>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</si>
  <si>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</si>
  <si>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</si>
  <si>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</si>
  <si>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</si>
  <si>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</si>
  <si>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</si>
  <si>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</si>
  <si>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</si>
  <si>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</si>
  <si>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</si>
  <si>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</si>
  <si>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</si>
  <si>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</si>
  <si>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</si>
  <si>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</si>
  <si>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</si>
  <si>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</si>
  <si>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</si>
  <si>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</si>
  <si>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</si>
  <si>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</si>
  <si>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</si>
  <si>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</si>
  <si>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</si>
  <si>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</si>
  <si>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</si>
  <si>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</si>
  <si>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</si>
  <si>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</si>
  <si>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</si>
  <si>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</si>
  <si>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</si>
  <si>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</si>
  <si>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</si>
  <si>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</si>
  <si>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</si>
  <si>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</si>
  <si>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</si>
  <si>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</si>
  <si>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</si>
  <si>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</si>
  <si>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</si>
  <si>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</si>
  <si>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</si>
  <si>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</si>
  <si>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</si>
  <si>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</si>
  <si>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</si>
  <si>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</si>
  <si>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</si>
  <si>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</si>
  <si>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</si>
  <si>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</si>
  <si>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</si>
  <si>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</si>
  <si>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</si>
  <si>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</si>
  <si>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</si>
  <si>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</si>
  <si>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</si>
  <si>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</si>
  <si>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</si>
  <si>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</si>
  <si>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</si>
  <si>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</si>
  <si>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</si>
  <si>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</si>
  <si>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</si>
  <si>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</si>
  <si>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</si>
  <si>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</si>
  <si>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</si>
  <si>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</si>
  <si>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</si>
  <si>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</si>
  <si>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</si>
  <si>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</si>
  <si>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</si>
  <si>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</si>
  <si>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</si>
  <si>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</si>
  <si>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</si>
  <si>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</si>
  <si>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</si>
  <si>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</si>
  <si>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</si>
  <si>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</si>
  <si>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</si>
  <si>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</si>
  <si>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</si>
  <si>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</si>
  <si>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</si>
  <si>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</si>
  <si>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</si>
  <si>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</si>
  <si>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</si>
  <si>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</si>
  <si>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</si>
  <si>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</si>
  <si>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</si>
  <si>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</si>
  <si>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</si>
  <si>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</si>
  <si>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</si>
  <si>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</si>
  <si>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</si>
  <si>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</si>
  <si>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</si>
  <si>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</si>
  <si>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</si>
  <si>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</si>
  <si>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</si>
  <si>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</si>
  <si>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</si>
  <si>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</si>
  <si>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</si>
  <si>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</si>
  <si>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</si>
  <si>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</si>
  <si>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</si>
  <si>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</si>
  <si>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</si>
  <si>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</si>
  <si>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</si>
  <si>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</si>
  <si>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</si>
  <si>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</si>
  <si>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</si>
  <si>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</si>
  <si>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</si>
  <si>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</si>
  <si>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</si>
  <si>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</si>
  <si>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</si>
  <si>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</si>
  <si>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</si>
  <si>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</si>
  <si>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</si>
  <si>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</si>
  <si>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</si>
  <si>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</si>
  <si>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</si>
  <si>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</si>
  <si>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</si>
  <si>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</si>
  <si>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</si>
  <si>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</si>
  <si>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</si>
  <si>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</si>
  <si>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</si>
  <si>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</si>
  <si>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</si>
  <si>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</si>
  <si>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</si>
  <si>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</si>
  <si>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</si>
  <si>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</si>
  <si>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</si>
  <si>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</si>
  <si>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</si>
  <si>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</si>
  <si>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</si>
  <si>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</si>
  <si>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</si>
  <si>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</si>
  <si>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</si>
  <si>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</si>
  <si>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</si>
  <si>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</si>
  <si>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</si>
  <si>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</si>
  <si>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</si>
  <si>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</si>
  <si>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</si>
  <si>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</si>
  <si>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</si>
  <si>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</si>
  <si>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</si>
  <si>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</si>
  <si>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</si>
  <si>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</si>
  <si>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</si>
  <si>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</si>
  <si>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</si>
  <si>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</si>
  <si>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</si>
  <si>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</si>
  <si>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</si>
  <si>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</si>
  <si>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</si>
  <si>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</si>
  <si>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</si>
  <si>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</si>
  <si>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</si>
  <si>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</si>
  <si>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</si>
  <si>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</si>
  <si>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</si>
  <si>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</si>
  <si>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</si>
  <si>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</si>
  <si>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</si>
  <si>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</si>
  <si>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</si>
  <si>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</si>
  <si>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</si>
  <si>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</si>
  <si>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</si>
  <si>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</si>
  <si>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</si>
  <si>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</si>
  <si>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</si>
  <si>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</si>
  <si>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</si>
  <si>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</si>
  <si>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</si>
  <si>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</si>
  <si>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</si>
  <si>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</si>
  <si>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</si>
  <si>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</si>
  <si>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</si>
  <si>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</si>
  <si>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</si>
  <si>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</si>
  <si>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</si>
  <si>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</si>
  <si>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</si>
  <si>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</si>
  <si>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</si>
  <si>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</si>
  <si>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</si>
  <si>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</si>
  <si>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</si>
  <si>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</si>
  <si>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</si>
  <si>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</si>
  <si>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</si>
  <si>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</si>
  <si>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</si>
  <si>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</si>
  <si>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</si>
  <si>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</si>
  <si>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</si>
  <si>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</si>
  <si>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</si>
  <si>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</si>
  <si>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</si>
  <si>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</si>
  <si>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</si>
  <si>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</si>
  <si>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</si>
  <si>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</si>
  <si>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</si>
  <si>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</si>
  <si>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</si>
  <si>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</si>
  <si>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</si>
  <si>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</si>
  <si>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</si>
  <si>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</si>
  <si>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</si>
  <si>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</si>
  <si>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</si>
  <si>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</si>
  <si>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</si>
  <si>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</si>
  <si>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</si>
  <si>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</si>
  <si>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</si>
  <si>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</si>
  <si>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</si>
  <si>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</si>
  <si>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</si>
  <si>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</si>
  <si>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</si>
  <si>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</si>
  <si>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</si>
  <si>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</si>
  <si>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</si>
  <si>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</si>
  <si>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</si>
  <si>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</si>
  <si>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</si>
  <si>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</si>
  <si>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</si>
  <si>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</si>
  <si>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</si>
  <si>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</si>
  <si>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</si>
  <si>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</si>
  <si>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</si>
  <si>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</si>
  <si>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</si>
  <si>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</si>
  <si>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</si>
  <si>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</si>
  <si>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</si>
  <si>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</si>
  <si>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</si>
  <si>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</si>
  <si>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</si>
  <si>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</si>
  <si>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</si>
  <si>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</si>
  <si>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</si>
  <si>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</si>
  <si>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</si>
  <si>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</si>
  <si>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</si>
  <si>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</si>
  <si>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</si>
  <si>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</si>
  <si>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</si>
  <si>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</si>
  <si>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</si>
  <si>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</si>
  <si>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</si>
  <si>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</si>
  <si>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</si>
  <si>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</si>
  <si>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</si>
  <si>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</si>
  <si>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</si>
  <si>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</si>
  <si>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</si>
  <si>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</si>
  <si>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</si>
  <si>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</si>
  <si>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</si>
  <si>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</si>
  <si>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</si>
  <si>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</si>
  <si>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</si>
  <si>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</si>
  <si>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</si>
  <si>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</si>
  <si>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</si>
  <si>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</si>
  <si>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</si>
  <si>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</si>
  <si>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</si>
  <si>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</si>
  <si>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</si>
  <si>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</si>
  <si>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</si>
  <si>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</si>
  <si>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</si>
  <si>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</si>
  <si>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</si>
  <si>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</si>
  <si>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</si>
  <si>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</si>
  <si>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</si>
  <si>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</si>
  <si>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</si>
  <si>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</si>
  <si>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</si>
  <si>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</si>
  <si>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</si>
  <si>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</si>
  <si>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</si>
  <si>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</si>
  <si>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</si>
  <si>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</si>
  <si>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</si>
  <si>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</si>
  <si>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</si>
  <si>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</si>
  <si>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</si>
  <si>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</si>
  <si>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</si>
  <si>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</si>
  <si>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</si>
  <si>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</si>
  <si>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</si>
  <si>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</si>
  <si>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</si>
  <si>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</si>
  <si>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</si>
  <si>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</si>
  <si>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</si>
  <si>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</si>
  <si>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</si>
  <si>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</si>
  <si>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</si>
  <si>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</si>
  <si>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</si>
  <si>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</si>
  <si>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</si>
  <si>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</si>
  <si>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</si>
  <si>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</si>
  <si>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</si>
  <si>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</si>
  <si>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</si>
  <si>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</si>
  <si>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</si>
  <si>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</si>
  <si>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</si>
  <si>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</si>
  <si>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</si>
  <si>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</si>
  <si>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</si>
  <si>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</si>
  <si>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</si>
  <si>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</si>
  <si>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</si>
  <si>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</si>
  <si>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</si>
  <si>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</si>
  <si>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</si>
  <si>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</si>
  <si>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</si>
  <si>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</si>
  <si>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</si>
  <si>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</si>
  <si>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</si>
  <si>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</si>
  <si>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</si>
  <si>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</si>
  <si>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</si>
  <si>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</si>
  <si>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</si>
  <si>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</si>
  <si>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</si>
  <si>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</si>
  <si>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</si>
  <si>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</si>
  <si>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</si>
  <si>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</si>
  <si>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</si>
  <si>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</si>
  <si>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</si>
  <si>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</si>
  <si>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</si>
  <si>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</si>
  <si>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</si>
  <si>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</si>
  <si>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</si>
  <si>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</si>
  <si>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</si>
  <si>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</si>
  <si>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</si>
  <si>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</si>
  <si>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</si>
  <si>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</si>
  <si>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</si>
  <si>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</si>
  <si>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</si>
  <si>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</si>
  <si>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</si>
  <si>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</si>
  <si>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</si>
  <si>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</si>
  <si>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</si>
  <si>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</si>
  <si>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</si>
  <si>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</si>
  <si>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</si>
  <si>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</si>
  <si>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</si>
  <si>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</si>
  <si>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</si>
  <si>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</si>
  <si>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</si>
  <si>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</si>
  <si>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</si>
  <si>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</si>
  <si>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</si>
  <si>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</si>
  <si>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</si>
  <si>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</si>
  <si>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</si>
  <si>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</si>
  <si>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</si>
  <si>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</si>
  <si>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</si>
  <si>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</si>
  <si>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</si>
  <si>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</si>
  <si>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</si>
  <si>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</si>
  <si>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</si>
  <si>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</si>
  <si>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</si>
  <si>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</si>
  <si>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</si>
  <si>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</si>
  <si>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</si>
  <si>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</si>
  <si>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</si>
  <si>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</si>
  <si>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</si>
  <si>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</si>
  <si>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</si>
  <si>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</si>
  <si>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</si>
  <si>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</si>
  <si>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</si>
  <si>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</si>
  <si>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</si>
  <si>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</si>
  <si>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</si>
  <si>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</si>
  <si>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</si>
  <si>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</si>
  <si>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</si>
  <si>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</si>
  <si>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</si>
  <si>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</si>
  <si>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</si>
  <si>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</si>
  <si>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</si>
  <si>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</si>
  <si>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</si>
  <si>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</si>
  <si>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</si>
  <si>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</si>
  <si>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</si>
  <si>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</si>
  <si>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</si>
  <si>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</si>
  <si>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</si>
  <si>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</si>
  <si>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</si>
  <si>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</si>
  <si>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</si>
  <si>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</si>
  <si>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</si>
  <si>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</si>
  <si>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</si>
  <si>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</si>
  <si>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</si>
  <si>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</si>
  <si>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</si>
  <si>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</si>
  <si>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</si>
  <si>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</si>
  <si>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</si>
  <si>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</si>
  <si>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</si>
  <si>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</si>
  <si>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</si>
  <si>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</si>
  <si>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</si>
  <si>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</si>
  <si>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</si>
  <si>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</si>
  <si>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</si>
  <si>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</si>
  <si>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</si>
  <si>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</si>
  <si>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</si>
  <si>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</si>
  <si>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</si>
  <si>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</si>
  <si>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</si>
  <si>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</si>
  <si>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</si>
  <si>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</si>
  <si>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</si>
  <si>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</si>
  <si>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</si>
  <si>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</si>
  <si>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</si>
  <si>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</si>
  <si>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</si>
  <si>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</si>
  <si>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</si>
  <si>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</si>
  <si>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</si>
  <si>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</si>
  <si>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</si>
  <si>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</si>
  <si>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</si>
  <si>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</si>
  <si>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</si>
  <si>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</si>
  <si>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</si>
  <si>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</si>
  <si>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</si>
  <si>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</si>
  <si>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</si>
  <si>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</si>
  <si>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</si>
  <si>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</si>
  <si>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</si>
  <si>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</si>
  <si>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</si>
  <si>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</si>
  <si>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</si>
  <si>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</si>
  <si>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</si>
  <si>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</si>
  <si>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</si>
  <si>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</si>
  <si>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</si>
  <si>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</si>
  <si>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</si>
  <si>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</si>
  <si>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</si>
  <si>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</si>
  <si>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</si>
  <si>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</si>
  <si>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</si>
  <si>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</si>
  <si>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</si>
  <si>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</si>
  <si>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</si>
  <si>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</si>
  <si>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</si>
  <si>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</si>
  <si>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</si>
  <si>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</si>
  <si>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</si>
  <si>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</si>
  <si>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</si>
  <si>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</si>
  <si>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</si>
  <si>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</si>
  <si>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</si>
  <si>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</si>
  <si>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</si>
  <si>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</si>
  <si>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</si>
  <si>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</si>
  <si>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</si>
  <si>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</si>
  <si>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</si>
  <si>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</si>
  <si>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</si>
  <si>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</si>
  <si>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</si>
  <si>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</si>
  <si>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</si>
  <si>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</si>
  <si>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</si>
  <si>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</si>
  <si>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</si>
  <si>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</si>
  <si>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</si>
  <si>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</si>
  <si>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</si>
  <si>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</si>
  <si>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</si>
  <si>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</si>
  <si>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</si>
  <si>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</si>
  <si>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</si>
  <si>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</si>
  <si>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</si>
  <si>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</si>
  <si>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</si>
  <si>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</si>
  <si>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</si>
  <si>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</si>
  <si>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</si>
  <si>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</si>
  <si>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</si>
  <si>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</si>
  <si>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</si>
  <si>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</si>
  <si>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</si>
  <si>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</si>
  <si>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</si>
  <si>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</si>
  <si>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</si>
  <si>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</si>
  <si>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</si>
  <si>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</si>
  <si>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</si>
  <si>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</si>
  <si>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</si>
  <si>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</si>
  <si>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</si>
  <si>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</si>
  <si>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</si>
  <si>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</si>
  <si>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</si>
  <si>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</si>
  <si>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</si>
  <si>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</si>
  <si>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</si>
  <si>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</si>
  <si>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</si>
  <si>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</si>
  <si>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</si>
  <si>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</si>
  <si>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</si>
  <si>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</si>
  <si>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</si>
  <si>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</si>
  <si>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</si>
  <si>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</si>
  <si>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</si>
  <si>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</si>
  <si>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</si>
  <si>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</si>
  <si>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</si>
  <si>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</si>
  <si>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</si>
  <si>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</si>
  <si>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</si>
  <si>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</si>
  <si>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</si>
  <si>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</si>
  <si>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</si>
  <si>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</si>
  <si>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</si>
  <si>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</si>
  <si>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</si>
  <si>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</si>
  <si>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</si>
  <si>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</si>
  <si>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</si>
  <si>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</si>
  <si>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</si>
  <si>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</si>
  <si>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</si>
  <si>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</si>
  <si>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</si>
  <si>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</si>
  <si>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</si>
  <si>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</si>
  <si>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</si>
  <si>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</si>
  <si>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</si>
  <si>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</si>
  <si>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</si>
  <si>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</si>
  <si>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</si>
  <si>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</si>
  <si>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</si>
  <si>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</si>
  <si>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</si>
  <si>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</si>
  <si>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</si>
  <si>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</si>
  <si>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</si>
  <si>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</si>
  <si>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</si>
  <si>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</si>
  <si>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</si>
  <si>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</si>
  <si>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</si>
  <si>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</si>
  <si>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</si>
  <si>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</si>
  <si>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</si>
  <si>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</si>
  <si>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XIISELCHY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</si>
  <si>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</si>
  <si>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</si>
  <si>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</si>
  <si>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</si>
  <si>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</si>
  <si>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</si>
  <si>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</si>
  <si>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</si>
  <si>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</si>
  <si>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</si>
  <si>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IISHHELC</t>
  </si>
  <si>
    <t>IISHGCRS</t>
  </si>
  <si>
    <t>IISHBI</t>
  </si>
  <si>
    <t>IISFEORE</t>
  </si>
  <si>
    <t>REGION1</t>
  </si>
  <si>
    <t>NCAP_TLIFE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</si>
  <si>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</si>
  <si>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</si>
  <si>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</si>
  <si>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</si>
  <si>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</si>
  <si>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</si>
  <si>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</si>
  <si>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</si>
  <si>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</si>
  <si>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</si>
  <si>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</si>
  <si>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</si>
  <si>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</si>
  <si>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</si>
  <si>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</si>
  <si>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</si>
  <si>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</si>
  <si>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</si>
  <si>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</si>
  <si>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</si>
  <si>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</si>
  <si>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</si>
  <si>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</si>
  <si>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</si>
  <si>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</si>
  <si>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</si>
  <si>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</si>
  <si>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</si>
  <si>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</si>
  <si>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</si>
  <si>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</si>
  <si>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</si>
  <si>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</si>
  <si>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</si>
  <si>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</si>
  <si>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</si>
  <si>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</si>
  <si>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</si>
  <si>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</si>
  <si>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</si>
  <si>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</si>
  <si>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</si>
  <si>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</si>
  <si>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</si>
  <si>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</si>
  <si>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</si>
  <si>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</si>
  <si>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</si>
  <si>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</si>
  <si>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</si>
  <si>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</si>
  <si>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</si>
  <si>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</si>
  <si>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</si>
  <si>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</si>
  <si>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</si>
  <si>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</si>
  <si>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</si>
  <si>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</si>
  <si>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</si>
  <si>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</si>
  <si>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</si>
  <si>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</si>
  <si>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</si>
  <si>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</si>
  <si>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</si>
  <si>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</si>
  <si>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</si>
  <si>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</si>
  <si>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</si>
  <si>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</si>
  <si>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</si>
  <si>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</si>
  <si>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</si>
  <si>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</si>
  <si>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</si>
  <si>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</si>
  <si>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</si>
  <si>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</si>
  <si>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</si>
  <si>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</si>
  <si>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</si>
  <si>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</si>
  <si>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</si>
  <si>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</si>
  <si>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</si>
  <si>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</si>
  <si>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</si>
  <si>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</si>
  <si>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</si>
  <si>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</si>
  <si>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</si>
  <si>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</si>
  <si>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</si>
  <si>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</si>
  <si>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</si>
  <si>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</si>
  <si>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</si>
  <si>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</si>
  <si>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</si>
  <si>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</si>
  <si>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</si>
  <si>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</si>
  <si>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</si>
  <si>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</si>
  <si>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</si>
  <si>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</si>
  <si>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</si>
  <si>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</si>
  <si>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</si>
  <si>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</si>
  <si>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</si>
  <si>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</si>
  <si>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</si>
  <si>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</si>
  <si>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</si>
  <si>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</si>
  <si>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</si>
  <si>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</si>
  <si>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</si>
  <si>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</si>
  <si>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</si>
  <si>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</si>
  <si>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</si>
  <si>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</si>
  <si>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</si>
  <si>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</si>
  <si>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</si>
  <si>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</si>
  <si>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</si>
  <si>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</si>
  <si>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</si>
  <si>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</si>
  <si>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</si>
  <si>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</si>
  <si>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</si>
  <si>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</si>
  <si>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</si>
  <si>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</si>
  <si>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</si>
  <si>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</si>
  <si>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</si>
  <si>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</si>
  <si>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</si>
  <si>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</si>
  <si>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</si>
  <si>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</si>
  <si>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</si>
  <si>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PAMS</t>
  </si>
  <si>
    <t>---&gt; the choice of adjustment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</si>
  <si>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</si>
  <si>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</si>
  <si>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</si>
  <si>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</si>
  <si>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</si>
  <si>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</si>
  <si>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</si>
  <si>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</si>
  <si>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</si>
  <si>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</si>
  <si>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</si>
  <si>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</si>
  <si>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</si>
  <si>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</si>
  <si>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</si>
  <si>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</si>
  <si>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</si>
  <si>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</si>
  <si>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</si>
  <si>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</si>
  <si>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</si>
  <si>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</si>
  <si>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</si>
  <si>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</si>
  <si>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</si>
  <si>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</si>
  <si>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</si>
  <si>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</si>
  <si>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</si>
  <si>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</si>
  <si>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</si>
  <si>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</si>
  <si>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</si>
  <si>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</si>
  <si>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</si>
  <si>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</si>
  <si>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</si>
  <si>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</si>
  <si>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</si>
  <si>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</si>
  <si>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</si>
  <si>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</si>
  <si>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</si>
  <si>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</si>
  <si>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</si>
  <si>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</si>
  <si>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</si>
  <si>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</si>
  <si>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</si>
  <si>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</si>
  <si>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</si>
  <si>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</si>
  <si>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</si>
  <si>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</si>
  <si>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</si>
  <si>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</si>
  <si>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</si>
  <si>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</si>
  <si>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</si>
  <si>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</si>
  <si>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</si>
  <si>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</si>
  <si>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</si>
  <si>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</si>
  <si>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</si>
  <si>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</si>
  <si>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</si>
  <si>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</si>
  <si>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</si>
  <si>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</si>
  <si>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</si>
  <si>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</si>
  <si>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</si>
  <si>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</si>
  <si>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</si>
  <si>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</si>
  <si>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</si>
  <si>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</si>
  <si>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</si>
  <si>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</si>
  <si>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</si>
  <si>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</si>
  <si>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</si>
  <si>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</si>
  <si>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</si>
  <si>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</si>
  <si>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</si>
  <si>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</si>
  <si>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</si>
  <si>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</si>
  <si>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</si>
  <si>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</si>
  <si>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</si>
  <si>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</si>
  <si>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</si>
  <si>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</si>
  <si>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</si>
  <si>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</si>
  <si>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</si>
  <si>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</si>
  <si>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</si>
  <si>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</si>
  <si>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</si>
  <si>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</si>
  <si>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</si>
  <si>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</si>
  <si>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</si>
  <si>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</si>
  <si>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</si>
  <si>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</si>
  <si>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</si>
  <si>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</si>
  <si>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</si>
  <si>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</si>
  <si>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</si>
  <si>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</si>
  <si>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</si>
  <si>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</si>
  <si>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</si>
  <si>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</si>
  <si>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</si>
  <si>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</si>
  <si>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</si>
  <si>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</si>
  <si>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</si>
  <si>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</si>
  <si>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</si>
  <si>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</si>
  <si>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</si>
  <si>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</si>
  <si>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</si>
  <si>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</si>
  <si>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</si>
  <si>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</si>
  <si>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</si>
  <si>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</si>
  <si>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</si>
  <si>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</si>
  <si>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</si>
  <si>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PRC_RESID~2029</t>
  </si>
  <si>
    <t>NCAP_BND~LO~2017</t>
  </si>
  <si>
    <t xml:space="preserve">The start date is a lever. </t>
  </si>
  <si>
    <t xml:space="preserve">2032 here is just a guess.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</si>
</sst>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.00_);_(* \(#,##0.00\);_(* &quot;-&quot;??_);_(@_)"/>
    <numFmt numFmtId="176" formatCode="\Te\x\t"/>
    <numFmt numFmtId="177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5" fillId="0" borderId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6" fillId="0" borderId="0" applyNumberFormat="0" applyFill="0" applyBorder="0" applyAlignment="0" applyProtection="0"/>
    <xf numFmtId="177" fontId="4" fillId="0" borderId="0"/>
    <xf numFmtId="0" fontId="10" fillId="0" borderId="0"/>
    <xf numFmtId="0" fontId="67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8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34" borderId="67" applyNumberFormat="0" applyAlignment="0" applyProtection="0"/>
    <xf numFmtId="0" fontId="62" fillId="33" borderId="67" applyNumberFormat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33" fillId="35" borderId="0" applyNumberFormat="0" applyBorder="0" applyAlignment="0" applyProtection="0"/>
    <xf numFmtId="43" fontId="1" fillId="0" borderId="0" applyFont="0" applyFill="0" applyBorder="0" applyAlignment="0" applyProtection="0"/>
    <xf numFmtId="0" fontId="70" fillId="32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9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52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3" fillId="0" borderId="0" xfId="0" quotePrefix="1" applyFont="1"/>
    <xf numFmtId="0" fontId="49" fillId="28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6" fontId="50" fillId="0" borderId="0" xfId="29" applyNumberFormat="1" applyFill="1"/>
    <xf numFmtId="0" fontId="50" fillId="0" borderId="0" xfId="29" applyFill="1"/>
    <xf numFmtId="176" fontId="50" fillId="0" borderId="2" xfId="29" applyNumberFormat="1" applyFill="1" applyBorder="1" applyAlignment="1">
      <alignment horizontal="left"/>
    </xf>
    <xf numFmtId="0" fontId="51" fillId="0" borderId="0" xfId="0" applyFont="1"/>
    <xf numFmtId="0" fontId="52" fillId="0" borderId="0" xfId="30" applyFont="1"/>
    <xf numFmtId="0" fontId="51" fillId="0" borderId="0" xfId="30" applyFont="1"/>
    <xf numFmtId="0" fontId="53" fillId="0" borderId="0" xfId="0" applyFont="1"/>
    <xf numFmtId="0" fontId="53" fillId="0" borderId="0" xfId="30" applyFont="1"/>
    <xf numFmtId="0" fontId="51" fillId="0" borderId="0" xfId="30" applyFont="1" applyAlignment="1">
      <alignment horizontal="center" wrapText="1"/>
    </xf>
    <xf numFmtId="0" fontId="51" fillId="0" borderId="0" xfId="0" applyFont="1" applyAlignment="1">
      <alignment horizontal="left"/>
    </xf>
    <xf numFmtId="0" fontId="51" fillId="0" borderId="0" xfId="30" applyFont="1" applyAlignment="1">
      <alignment horizontal="center"/>
    </xf>
    <xf numFmtId="167" fontId="51" fillId="0" borderId="0" xfId="0" applyNumberFormat="1" applyFont="1"/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30" applyFont="1" applyAlignment="1">
      <alignment horizontal="left"/>
    </xf>
    <xf numFmtId="164" fontId="51" fillId="0" borderId="0" xfId="0" applyNumberFormat="1" applyFont="1"/>
    <xf numFmtId="164" fontId="51" fillId="0" borderId="0" xfId="0" applyNumberFormat="1" applyFont="1" applyAlignment="1">
      <alignment horizontal="center"/>
    </xf>
    <xf numFmtId="0" fontId="54" fillId="0" borderId="0" xfId="30" applyFont="1"/>
    <xf numFmtId="0" fontId="4" fillId="0" borderId="0" xfId="30"/>
    <xf numFmtId="0" fontId="55" fillId="29" borderId="2" xfId="30" applyFont="1" applyFill="1" applyBorder="1"/>
    <xf numFmtId="0" fontId="55" fillId="29" borderId="9" xfId="30" applyFont="1" applyFill="1" applyBorder="1"/>
    <xf numFmtId="0" fontId="55" fillId="29" borderId="2" xfId="30" applyFont="1" applyFill="1" applyBorder="1" applyAlignment="1">
      <alignment horizontal="left"/>
    </xf>
    <xf numFmtId="0" fontId="4" fillId="30" borderId="45" xfId="31" applyFill="1" applyBorder="1" applyAlignment="1">
      <alignment horizontal="left" wrapText="1"/>
    </xf>
    <xf numFmtId="0" fontId="4" fillId="30" borderId="60" xfId="31" applyFill="1" applyBorder="1" applyAlignment="1">
      <alignment horizontal="left" wrapText="1"/>
    </xf>
    <xf numFmtId="0" fontId="51" fillId="0" borderId="0" xfId="32" applyFont="1"/>
    <xf numFmtId="0" fontId="4" fillId="31" borderId="0" xfId="30" applyFill="1"/>
    <xf numFmtId="0" fontId="56" fillId="0" borderId="0" xfId="3" applyFont="1"/>
    <xf numFmtId="0" fontId="51" fillId="0" borderId="0" xfId="3" applyFont="1"/>
    <xf numFmtId="176" fontId="50" fillId="0" borderId="0" xfId="29" applyNumberFormat="1" applyFill="1" applyBorder="1" applyAlignment="1">
      <alignment horizontal="left"/>
    </xf>
    <xf numFmtId="0" fontId="51" fillId="0" borderId="7" xfId="0" applyFont="1" applyBorder="1"/>
    <xf numFmtId="0" fontId="54" fillId="0" borderId="7" xfId="30" applyFont="1" applyBorder="1"/>
    <xf numFmtId="0" fontId="52" fillId="0" borderId="7" xfId="30" applyFont="1" applyBorder="1"/>
    <xf numFmtId="0" fontId="51" fillId="0" borderId="7" xfId="30" applyFont="1" applyBorder="1"/>
    <xf numFmtId="0" fontId="59" fillId="0" borderId="0" xfId="0" applyFont="1"/>
    <xf numFmtId="0" fontId="50" fillId="0" borderId="0" xfId="29"/>
    <xf numFmtId="0" fontId="4" fillId="0" borderId="0" xfId="3"/>
    <xf numFmtId="2" fontId="4" fillId="0" borderId="0" xfId="3" applyNumberFormat="1"/>
    <xf numFmtId="0" fontId="60" fillId="0" borderId="0" xfId="3" applyFont="1"/>
    <xf numFmtId="0" fontId="61" fillId="0" borderId="0" xfId="0" applyFont="1"/>
    <xf numFmtId="168" fontId="51" fillId="0" borderId="0" xfId="0" applyNumberFormat="1" applyFont="1"/>
    <xf numFmtId="165" fontId="51" fillId="0" borderId="0" xfId="0" applyNumberFormat="1" applyFont="1" applyAlignment="1">
      <alignment horizontal="center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7" borderId="0" xfId="0" applyFill="1"/>
    <xf numFmtId="0" fontId="2" fillId="37" borderId="0" xfId="0" applyFont="1" applyFill="1"/>
    <xf numFmtId="0" fontId="54" fillId="37" borderId="7" xfId="30" applyFont="1" applyFill="1" applyBorder="1"/>
    <xf numFmtId="0" fontId="51" fillId="37" borderId="0" xfId="0" applyFont="1" applyFill="1"/>
    <xf numFmtId="176" fontId="50" fillId="37" borderId="0" xfId="29" applyNumberFormat="1" applyFill="1" applyBorder="1" applyAlignment="1">
      <alignment horizontal="left"/>
    </xf>
    <xf numFmtId="0" fontId="51" fillId="37" borderId="0" xfId="30" applyFont="1" applyFill="1"/>
    <xf numFmtId="0" fontId="53" fillId="37" borderId="0" xfId="30" applyFont="1" applyFill="1"/>
    <xf numFmtId="0" fontId="50" fillId="37" borderId="0" xfId="29" applyFill="1" applyAlignment="1">
      <alignment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8">
    <cellStyle name="20% - Accent1" xfId="20" builtinId="30"/>
    <cellStyle name="20% - Accent5 2" xfId="70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1" xr:uid="{69E38B50-B8B7-4474-B9DB-A07A159D2B19}"/>
    <cellStyle name="Accent1 2" xfId="11" xr:uid="{00000000-0005-0000-0000-000002000000}"/>
    <cellStyle name="Calculation 2" xfId="61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59" xr:uid="{BF96C840-E66B-43B7-B721-DF7020E6B1EB}"/>
    <cellStyle name="Comma 2 2 3" xfId="44" xr:uid="{D132692C-9077-4842-AC56-F1AF20B9E9F8}"/>
    <cellStyle name="Comma 2 3" xfId="35" xr:uid="{0745F685-150F-4333-8077-099C6944E181}"/>
    <cellStyle name="Comma 2 4" xfId="58" xr:uid="{0B36C180-D896-42B5-8A93-9F476F4348EC}"/>
    <cellStyle name="Comma 2 5" xfId="72" xr:uid="{20E1E648-C23D-487D-BA84-4D4A96D58378}"/>
    <cellStyle name="Comma 2 6" xfId="36" xr:uid="{1FCCED5B-B890-4974-A67B-37F0DE8DB7EA}"/>
    <cellStyle name="Comma 3" xfId="27" xr:uid="{522DE0E0-E915-4DFE-B3B8-6B3CF252A0EE}"/>
    <cellStyle name="Comma 3 2" xfId="56" xr:uid="{C0E4CB2C-6980-4B74-8450-E5E98855F015}"/>
    <cellStyle name="Comma 3 3" xfId="45" xr:uid="{592B85A1-B3B2-4B8B-B51A-D3903ADA20B7}"/>
    <cellStyle name="Comma 4" xfId="69" xr:uid="{2E019470-9395-4DB0-871A-740C17D02445}"/>
    <cellStyle name="Comma 5" xfId="65" xr:uid="{185BC562-DBCC-4010-9AD6-A92171120113}"/>
    <cellStyle name="Explanatory Text 2" xfId="8" xr:uid="{00000000-0005-0000-0000-000005000000}"/>
    <cellStyle name="Heading 1" xfId="5" builtinId="16"/>
    <cellStyle name="Heading 2" xfId="6" builtinId="17"/>
    <cellStyle name="Heading 4" xfId="29" builtinId="19"/>
    <cellStyle name="Hyperlink" xfId="16" builtinId="8"/>
    <cellStyle name="Hyperlink 2" xfId="19" xr:uid="{0143E5AC-13E9-4364-AA0C-7B5064949C3C}"/>
    <cellStyle name="Hyperlink 2 2" xfId="57" xr:uid="{CE3D3C34-4D72-4F83-A7BC-B779DF758910}"/>
    <cellStyle name="Hyperlink 2 2 2" xfId="63" xr:uid="{E99210B5-16EE-47DC-A16A-788C94B6C8D6}"/>
    <cellStyle name="Hyperlink 2 3" xfId="40" xr:uid="{80545631-B204-4435-B02F-5E345F394B9D}"/>
    <cellStyle name="Hyperlink 3" xfId="47" xr:uid="{24164DA1-0B11-4AA5-B442-DA45C9E3572B}"/>
    <cellStyle name="Input 2" xfId="62" xr:uid="{B1B13825-719D-41E1-981E-F321FF8D337E}"/>
    <cellStyle name="IPCC" xfId="18" xr:uid="{060CFEAA-B409-4E5C-B4B9-C84A33D3D71A}"/>
    <cellStyle name="Neutral 2" xfId="73" xr:uid="{5768FB37-07DA-4B2A-97A4-9D9A8E670D36}"/>
    <cellStyle name="Normal" xfId="0" builtinId="0"/>
    <cellStyle name="Normal 10" xfId="31" xr:uid="{17E18196-C2DF-4196-B848-84AB6B147782}"/>
    <cellStyle name="Normal 10 4" xfId="39" xr:uid="{7317FE44-9E36-469F-8430-12415F3BBAF1}"/>
    <cellStyle name="Normal 11" xfId="26" xr:uid="{78DEB395-FB3B-4F08-B9EE-F9879AB5464E}"/>
    <cellStyle name="Normal 12" xfId="25" xr:uid="{0E5F3C21-CC91-4388-B1DE-DAB2319F08BA}"/>
    <cellStyle name="Normal 12 2" xfId="50" xr:uid="{AFBCB984-7D73-43F8-8F5C-198F85165FAB}"/>
    <cellStyle name="Normal 13" xfId="30" xr:uid="{36F30AC0-E6CA-44FF-850B-787C5409CE3B}"/>
    <cellStyle name="Normal 2" xfId="4" xr:uid="{00000000-0005-0000-0000-00000A000000}"/>
    <cellStyle name="Normal 2 2" xfId="3" xr:uid="{00000000-0005-0000-0000-00000B000000}"/>
    <cellStyle name="Normal 2 2 2" xfId="32" xr:uid="{9A04ACF4-BE91-49EC-95F2-425379334EF8}"/>
    <cellStyle name="Normal 2 2 2 2" xfId="38" xr:uid="{3224F7F9-DDAA-49B4-8DBD-98E01A26E482}"/>
    <cellStyle name="Normal 2 2 3" xfId="48" xr:uid="{81B5CD67-81BE-41B6-8615-CCC0570F47EE}"/>
    <cellStyle name="Normal 2 2 4" xfId="33" xr:uid="{0A55A013-AEA2-41A5-9123-7E54946C000B}"/>
    <cellStyle name="Normal 2 3" xfId="43" xr:uid="{ACB29999-D58F-49CE-AF0F-1780E67B7A94}"/>
    <cellStyle name="Normal 2 3 2" xfId="60" xr:uid="{BC615520-8453-4F4F-91A5-CFB6A6DE8AAE}"/>
    <cellStyle name="Normal 3" xfId="7" xr:uid="{00000000-0005-0000-0000-00000C000000}"/>
    <cellStyle name="Normal 3 2" xfId="49" xr:uid="{5DCE9351-86C3-4C41-A3C2-62D277A9DD0C}"/>
    <cellStyle name="Normal 3 3" xfId="34" xr:uid="{E57FDC6B-BD0D-4437-A2F3-5429A29743AF}"/>
    <cellStyle name="Normal 4" xfId="24" xr:uid="{3CD82EF2-3FA7-4DB6-9E45-512B557BA2E2}"/>
    <cellStyle name="Normal 4 2" xfId="75" xr:uid="{24D3FCE6-564E-48DF-9D74-D3B135EB5136}"/>
    <cellStyle name="Normal 4 3" xfId="55" xr:uid="{B4825CFE-E00F-4928-9FA2-DB95BD61B1F8}"/>
    <cellStyle name="Normal 4 4" xfId="74" xr:uid="{8D463985-87F7-4890-B60D-A1AE8BCF3938}"/>
    <cellStyle name="Normal 4 5" xfId="41" xr:uid="{9059ECE2-EBEB-49DD-BAD3-B00920D65950}"/>
    <cellStyle name="Normal 5" xfId="23" xr:uid="{1F07B887-6BEA-46A2-81EA-61A464C4B4E4}"/>
    <cellStyle name="Normal 5 2" xfId="52" xr:uid="{74B26293-5786-41EA-923B-259064FF0473}"/>
    <cellStyle name="Normal 6" xfId="51" xr:uid="{12973A00-36B5-4AFE-9938-0B59917A488B}"/>
    <cellStyle name="Normal 7" xfId="14" xr:uid="{00000000-0005-0000-0000-00000D000000}"/>
    <cellStyle name="Normal 7 2" xfId="53" xr:uid="{9E0A64DA-C571-49B6-BE86-3CA5CBCB3184}"/>
    <cellStyle name="Normal 8" xfId="15" xr:uid="{00000000-0005-0000-0000-00000E000000}"/>
    <cellStyle name="Normal 8 2" xfId="76" xr:uid="{C6DAD715-6B22-416D-ACAA-E4859EB8525C}"/>
    <cellStyle name="Normal 9" xfId="67" xr:uid="{A193766E-E7BC-42DA-8D00-B06EA78F8A1E}"/>
    <cellStyle name="Normal 9 2" xfId="77" xr:uid="{CA6D9846-D514-420B-9F15-1EFBA0464CFF}"/>
    <cellStyle name="Normale_B2020" xfId="78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6" xr:uid="{1BDC7AEF-BB4F-45D8-B038-C14FB4D7E72F}"/>
    <cellStyle name="Percent 2 3" xfId="54" xr:uid="{24464BBE-A588-4D44-8C7F-6FB21301985C}"/>
    <cellStyle name="Percent 2 4" xfId="79" xr:uid="{4B5C6498-2621-4A70-A1E3-1BEB87AA78D0}"/>
    <cellStyle name="Percent 2 5" xfId="42" xr:uid="{06A3377C-CDFC-446E-B9DA-D76B018A5A0E}"/>
    <cellStyle name="Percent 3" xfId="28" xr:uid="{B1800769-9E19-4312-B101-6C6432B5EE24}"/>
    <cellStyle name="Percent 3 2" xfId="80" xr:uid="{ECF35FE6-BF60-4DC2-B265-E0AC9E24EE9F}"/>
    <cellStyle name="Percent 3 3" xfId="81" xr:uid="{467FE99D-1A30-403A-9370-2069D65E78B9}"/>
    <cellStyle name="Percent 3 4" xfId="37" xr:uid="{78EF846D-8400-4677-8BAB-93AE0B16A9E8}"/>
    <cellStyle name="Percent 4" xfId="66" xr:uid="{1C8CAF59-0D7C-4541-91F9-431AC602F268}"/>
    <cellStyle name="Percent 4 2" xfId="83" xr:uid="{C947F130-E5EE-4A54-8716-D17505C6B5D7}"/>
    <cellStyle name="Percent 4 3" xfId="84" xr:uid="{355024EC-5E0F-4954-9B69-A72DA8256975}"/>
    <cellStyle name="Percent 4 4" xfId="82" xr:uid="{BDB56372-A57F-4E6F-9613-C3741FB501C4}"/>
    <cellStyle name="Percent 5" xfId="68" xr:uid="{36574065-F959-4B59-B32F-93B153DF0821}"/>
    <cellStyle name="Percent 5 2" xfId="85" xr:uid="{C613E249-C7A5-40CC-870D-D22DDB7205E2}"/>
    <cellStyle name="Percent 6" xfId="86" xr:uid="{40E71785-2454-4B14-8A64-6E4292429D4B}"/>
    <cellStyle name="Percent 7" xfId="64" xr:uid="{AB10B231-58C9-4145-BC4D-4F48CF1432ED}"/>
    <cellStyle name="Standard_Sce_D_Extraction" xfId="87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25460" y="3377293"/>
          <a:ext cx="7334523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8908" y="2566307"/>
          <a:ext cx="9666356" cy="4200493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arcelormittalsa.com/Portals/0/mittal_steel_eng1.pdf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40" t="s">
        <v>1179</v>
      </c>
      <c r="D1" s="18" t="s">
        <v>1180</v>
      </c>
      <c r="E1" s="18" t="s">
        <v>1181</v>
      </c>
    </row>
    <row r="2" spans="3:5" ht="30" x14ac:dyDescent="0.25">
      <c r="C2" s="304" t="s">
        <v>1182</v>
      </c>
      <c r="D2" t="s">
        <v>1183</v>
      </c>
      <c r="E2" s="541">
        <v>44452</v>
      </c>
    </row>
    <row r="3" spans="3:5" x14ac:dyDescent="0.25">
      <c r="C3" s="304" t="s">
        <v>1184</v>
      </c>
      <c r="D3" t="s">
        <v>1183</v>
      </c>
      <c r="E3" s="542">
        <v>44460</v>
      </c>
    </row>
    <row r="4" spans="3:5" x14ac:dyDescent="0.25">
      <c r="C4" s="304" t="s">
        <v>1185</v>
      </c>
    </row>
    <row r="5" spans="3:5" ht="30" x14ac:dyDescent="0.25">
      <c r="C5" s="304" t="s">
        <v>1186</v>
      </c>
    </row>
    <row r="7" spans="3:5" x14ac:dyDescent="0.25">
      <c r="C7" s="304" t="s">
        <v>1188</v>
      </c>
      <c r="D7" t="s">
        <v>1189</v>
      </c>
      <c r="E7" t="s">
        <v>1190</v>
      </c>
    </row>
    <row r="9" spans="3:5" x14ac:dyDescent="0.25">
      <c r="C9" s="304" t="s">
        <v>1197</v>
      </c>
      <c r="D9" t="s">
        <v>1189</v>
      </c>
      <c r="E9" s="541">
        <v>44732</v>
      </c>
    </row>
    <row r="10" spans="3:5" x14ac:dyDescent="0.25">
      <c r="C10" s="304" t="s">
        <v>1201</v>
      </c>
      <c r="E10" s="541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H5"/>
  <sheetViews>
    <sheetView workbookViewId="0">
      <selection activeCell="E28" sqref="E28"/>
    </sheetView>
  </sheetViews>
  <sheetFormatPr defaultRowHeight="15" x14ac:dyDescent="0.25"/>
  <sheetData>
    <row r="3" spans="2:8" x14ac:dyDescent="0.25">
      <c r="B3" t="s">
        <v>1160</v>
      </c>
      <c r="G3" s="18" t="s">
        <v>1162</v>
      </c>
    </row>
    <row r="4" spans="2:8" x14ac:dyDescent="0.25">
      <c r="B4" s="453" t="b">
        <v>0</v>
      </c>
      <c r="G4" t="s">
        <v>1158</v>
      </c>
      <c r="H4" t="s">
        <v>1196</v>
      </c>
    </row>
    <row r="5" spans="2:8" x14ac:dyDescent="0.25">
      <c r="B5" s="453" t="s">
        <v>1158</v>
      </c>
      <c r="C5" s="538" t="s">
        <v>1159</v>
      </c>
      <c r="G5" t="s">
        <v>1161</v>
      </c>
      <c r="H5" t="s">
        <v>1163</v>
      </c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84"/>
    <col min="2" max="2" width="13.5703125" style="484" customWidth="1"/>
    <col min="3" max="7" width="9.140625" style="484"/>
    <col min="8" max="9" width="10.42578125" style="484" bestFit="1" customWidth="1"/>
    <col min="10" max="10" width="10.85546875" style="484" bestFit="1" customWidth="1"/>
    <col min="11" max="16384" width="9.140625" style="484"/>
  </cols>
  <sheetData>
    <row r="2" spans="2:21" x14ac:dyDescent="0.2">
      <c r="B2" s="496" t="s">
        <v>991</v>
      </c>
    </row>
    <row r="3" spans="2:21" x14ac:dyDescent="0.2">
      <c r="B3" s="499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7"/>
    </row>
    <row r="4" spans="2:21" x14ac:dyDescent="0.2">
      <c r="B4" s="492" t="s">
        <v>989</v>
      </c>
      <c r="G4" s="496" t="s">
        <v>990</v>
      </c>
      <c r="N4" s="496" t="s">
        <v>989</v>
      </c>
      <c r="U4" s="488"/>
    </row>
    <row r="5" spans="2:21" x14ac:dyDescent="0.2">
      <c r="B5" s="499"/>
      <c r="C5" s="498"/>
      <c r="D5" s="498"/>
      <c r="E5" s="497"/>
      <c r="G5" s="500" t="s">
        <v>988</v>
      </c>
      <c r="H5" s="498"/>
      <c r="I5" s="498"/>
      <c r="J5" s="498"/>
      <c r="K5" s="498"/>
      <c r="L5" s="497"/>
      <c r="N5" s="499"/>
      <c r="O5" s="498">
        <v>2020</v>
      </c>
      <c r="P5" s="498">
        <v>2030</v>
      </c>
      <c r="Q5" s="498">
        <v>2040</v>
      </c>
      <c r="R5" s="497"/>
      <c r="U5" s="488"/>
    </row>
    <row r="6" spans="2:21" x14ac:dyDescent="0.2">
      <c r="B6" s="489"/>
      <c r="E6" s="488"/>
      <c r="G6" s="489"/>
      <c r="H6" s="496">
        <v>2020</v>
      </c>
      <c r="I6" s="496">
        <v>2030</v>
      </c>
      <c r="J6" s="496">
        <v>2040</v>
      </c>
      <c r="L6" s="488"/>
      <c r="N6" s="490" t="s">
        <v>987</v>
      </c>
      <c r="O6" s="491">
        <f>SUMIFS(H7:H9,$G$7:$G$9,$B$11)*$N$28</f>
        <v>11152.439999999999</v>
      </c>
      <c r="P6" s="491">
        <f>SUMIFS(I7:I9,$G$7:$G$9,$B$11)*$N$28</f>
        <v>7446.8749999999991</v>
      </c>
      <c r="Q6" s="491">
        <f>SUMIFS(J7:J9,$G$7:$G$9,$B$11)*$N$28</f>
        <v>5361.75</v>
      </c>
      <c r="R6" s="488"/>
      <c r="U6" s="488"/>
    </row>
    <row r="7" spans="2:21" x14ac:dyDescent="0.2">
      <c r="B7" s="492" t="s">
        <v>986</v>
      </c>
      <c r="E7" s="488"/>
      <c r="G7" s="490" t="s">
        <v>530</v>
      </c>
      <c r="H7" s="484">
        <v>500</v>
      </c>
      <c r="I7" s="484">
        <v>400</v>
      </c>
      <c r="J7" s="484">
        <v>200</v>
      </c>
      <c r="L7" s="488"/>
      <c r="N7" s="490" t="s">
        <v>780</v>
      </c>
      <c r="O7" s="495">
        <f>1/SUMIFS(H14:H16,$G$14:$G$16,$B$14)</f>
        <v>1.5037593984962405</v>
      </c>
      <c r="P7" s="495">
        <f>1/SUMIFS(I14:I16,$G$14:$G$16,$B$14)</f>
        <v>1.4705882352941178</v>
      </c>
      <c r="Q7" s="495">
        <f>1/SUMIFS(J14:J16,$G$14:$G$16,$B$14)</f>
        <v>1.3333333333333333</v>
      </c>
      <c r="R7" s="488"/>
      <c r="U7" s="488"/>
    </row>
    <row r="8" spans="2:21" x14ac:dyDescent="0.2">
      <c r="B8" s="493">
        <f>B29</f>
        <v>2028</v>
      </c>
      <c r="E8" s="488"/>
      <c r="G8" s="490" t="s">
        <v>531</v>
      </c>
      <c r="H8" s="484">
        <v>1372</v>
      </c>
      <c r="I8" s="484">
        <v>850</v>
      </c>
      <c r="J8" s="484">
        <v>700</v>
      </c>
      <c r="L8" s="488"/>
      <c r="N8" s="490" t="s">
        <v>734</v>
      </c>
      <c r="O8" s="495">
        <f>ROUNDUP(SUMIFS(H20:H22,$G$20:$G$22,$B$17)/(8760*$T$8),0)</f>
        <v>10</v>
      </c>
      <c r="P8" s="495">
        <f>ROUNDUP(SUMIFS(I20:I22,$G$20:$G$22,$B$17)/(8760*$T$8),0)</f>
        <v>13</v>
      </c>
      <c r="Q8" s="495">
        <f>ROUNDUP(SUMIFS(J20:J22,$G$20:$G$22,$B$17)/(8760*$T$8),0)</f>
        <v>16</v>
      </c>
      <c r="R8" s="488"/>
      <c r="T8" s="494">
        <v>0.9</v>
      </c>
      <c r="U8" s="488"/>
    </row>
    <row r="9" spans="2:21" x14ac:dyDescent="0.2">
      <c r="B9" s="489"/>
      <c r="E9" s="488"/>
      <c r="G9" s="490" t="s">
        <v>978</v>
      </c>
      <c r="H9" s="484">
        <f>AVERAGE(H7:H8)</f>
        <v>936</v>
      </c>
      <c r="I9" s="484">
        <f>AVERAGE(I7:I8)</f>
        <v>625</v>
      </c>
      <c r="J9" s="484">
        <f>AVERAGE(J7:J8)</f>
        <v>450</v>
      </c>
      <c r="L9" s="488"/>
      <c r="N9" s="490" t="s">
        <v>985</v>
      </c>
      <c r="O9" s="484">
        <f>O6*$T$9</f>
        <v>557.62199999999996</v>
      </c>
      <c r="P9" s="484">
        <f>P6*$T$9</f>
        <v>372.34375</v>
      </c>
      <c r="Q9" s="484">
        <f>Q6*$T$9</f>
        <v>268.08750000000003</v>
      </c>
      <c r="R9" s="488"/>
      <c r="T9" s="494">
        <v>0.05</v>
      </c>
      <c r="U9" s="488"/>
    </row>
    <row r="10" spans="2:21" x14ac:dyDescent="0.2">
      <c r="B10" s="492" t="s">
        <v>984</v>
      </c>
      <c r="E10" s="488"/>
      <c r="G10" s="489"/>
      <c r="L10" s="488"/>
      <c r="N10" s="489"/>
      <c r="R10" s="488"/>
      <c r="U10" s="488"/>
    </row>
    <row r="11" spans="2:21" x14ac:dyDescent="0.2">
      <c r="B11" s="493" t="s">
        <v>978</v>
      </c>
      <c r="E11" s="488"/>
      <c r="G11" s="489"/>
      <c r="L11" s="488"/>
      <c r="N11" s="489"/>
      <c r="R11" s="488"/>
      <c r="U11" s="488"/>
    </row>
    <row r="12" spans="2:21" x14ac:dyDescent="0.2">
      <c r="B12" s="489"/>
      <c r="E12" s="488"/>
      <c r="G12" s="492" t="s">
        <v>983</v>
      </c>
      <c r="L12" s="488"/>
      <c r="N12" s="489"/>
      <c r="R12" s="488"/>
      <c r="U12" s="488"/>
    </row>
    <row r="13" spans="2:21" x14ac:dyDescent="0.2">
      <c r="B13" s="492" t="s">
        <v>982</v>
      </c>
      <c r="E13" s="488"/>
      <c r="G13" s="489"/>
      <c r="L13" s="488"/>
      <c r="N13" s="489"/>
      <c r="R13" s="488"/>
      <c r="U13" s="488"/>
    </row>
    <row r="14" spans="2:21" x14ac:dyDescent="0.2">
      <c r="B14" s="493" t="s">
        <v>978</v>
      </c>
      <c r="E14" s="488"/>
      <c r="G14" s="490" t="s">
        <v>530</v>
      </c>
      <c r="H14" s="494">
        <v>0.63</v>
      </c>
      <c r="I14" s="494">
        <v>0.65</v>
      </c>
      <c r="J14" s="494">
        <v>0.7</v>
      </c>
      <c r="L14" s="488"/>
      <c r="N14" s="489"/>
      <c r="R14" s="488"/>
      <c r="U14" s="488"/>
    </row>
    <row r="15" spans="2:21" x14ac:dyDescent="0.2">
      <c r="B15" s="489"/>
      <c r="E15" s="488"/>
      <c r="G15" s="490" t="s">
        <v>531</v>
      </c>
      <c r="H15" s="494">
        <v>0.7</v>
      </c>
      <c r="I15" s="494">
        <v>0.71</v>
      </c>
      <c r="J15" s="494">
        <v>0.8</v>
      </c>
      <c r="L15" s="488"/>
      <c r="N15" s="489"/>
      <c r="R15" s="488"/>
      <c r="U15" s="488"/>
    </row>
    <row r="16" spans="2:21" x14ac:dyDescent="0.2">
      <c r="B16" s="492" t="s">
        <v>981</v>
      </c>
      <c r="E16" s="488"/>
      <c r="G16" s="490" t="s">
        <v>978</v>
      </c>
      <c r="H16" s="484">
        <f>AVERAGE(H14:H15)</f>
        <v>0.66500000000000004</v>
      </c>
      <c r="I16" s="484">
        <f>AVERAGE(I14:I15)</f>
        <v>0.67999999999999994</v>
      </c>
      <c r="J16" s="484">
        <f>AVERAGE(J14:J15)</f>
        <v>0.75</v>
      </c>
      <c r="L16" s="488"/>
      <c r="N16" s="489"/>
      <c r="R16" s="488"/>
      <c r="U16" s="488"/>
    </row>
    <row r="17" spans="2:21" x14ac:dyDescent="0.2">
      <c r="B17" s="493" t="s">
        <v>978</v>
      </c>
      <c r="E17" s="488"/>
      <c r="G17" s="489"/>
      <c r="L17" s="488"/>
      <c r="N17" s="489"/>
      <c r="R17" s="488"/>
      <c r="U17" s="488"/>
    </row>
    <row r="18" spans="2:21" x14ac:dyDescent="0.2">
      <c r="B18" s="489"/>
      <c r="E18" s="488"/>
      <c r="G18" s="492" t="s">
        <v>980</v>
      </c>
      <c r="L18" s="488"/>
      <c r="N18" s="489"/>
      <c r="R18" s="488"/>
      <c r="U18" s="488"/>
    </row>
    <row r="19" spans="2:21" x14ac:dyDescent="0.2">
      <c r="B19" s="487"/>
      <c r="C19" s="486"/>
      <c r="D19" s="486"/>
      <c r="E19" s="485"/>
      <c r="G19" s="490" t="s">
        <v>979</v>
      </c>
      <c r="L19" s="488"/>
      <c r="N19" s="489"/>
      <c r="R19" s="488"/>
      <c r="U19" s="488"/>
    </row>
    <row r="20" spans="2:21" x14ac:dyDescent="0.2">
      <c r="B20" s="499"/>
      <c r="G20" s="490" t="s">
        <v>530</v>
      </c>
      <c r="H20" s="491">
        <v>60000</v>
      </c>
      <c r="I20" s="491">
        <v>90000</v>
      </c>
      <c r="J20" s="491">
        <v>100000</v>
      </c>
      <c r="L20" s="488"/>
      <c r="N20" s="489"/>
      <c r="R20" s="488"/>
      <c r="U20" s="488"/>
    </row>
    <row r="21" spans="2:21" x14ac:dyDescent="0.2">
      <c r="B21" s="489"/>
      <c r="G21" s="490" t="s">
        <v>531</v>
      </c>
      <c r="H21" s="491">
        <v>90000</v>
      </c>
      <c r="I21" s="491">
        <v>100000</v>
      </c>
      <c r="J21" s="491">
        <v>150000</v>
      </c>
      <c r="L21" s="488"/>
      <c r="N21" s="489"/>
      <c r="R21" s="488"/>
      <c r="U21" s="488"/>
    </row>
    <row r="22" spans="2:21" x14ac:dyDescent="0.2">
      <c r="B22" s="489"/>
      <c r="G22" s="490" t="s">
        <v>978</v>
      </c>
      <c r="H22" s="484">
        <f>AVERAGE(H20:H21)</f>
        <v>75000</v>
      </c>
      <c r="I22" s="484">
        <f>AVERAGE(I20:I21)</f>
        <v>95000</v>
      </c>
      <c r="J22" s="484">
        <f>AVERAGE(J20:J21)</f>
        <v>125000</v>
      </c>
      <c r="L22" s="488"/>
      <c r="N22" s="489"/>
      <c r="R22" s="488"/>
      <c r="U22" s="488"/>
    </row>
    <row r="23" spans="2:21" x14ac:dyDescent="0.2">
      <c r="B23" s="489"/>
      <c r="G23" s="489"/>
      <c r="L23" s="488"/>
      <c r="N23" s="489"/>
      <c r="R23" s="488"/>
      <c r="U23" s="488"/>
    </row>
    <row r="24" spans="2:21" x14ac:dyDescent="0.2">
      <c r="B24" s="489"/>
      <c r="G24" s="487"/>
      <c r="H24" s="486"/>
      <c r="I24" s="486"/>
      <c r="J24" s="486"/>
      <c r="K24" s="486"/>
      <c r="L24" s="485"/>
      <c r="N24" s="487"/>
      <c r="O24" s="486"/>
      <c r="P24" s="486"/>
      <c r="Q24" s="486"/>
      <c r="R24" s="485"/>
      <c r="U24" s="488"/>
    </row>
    <row r="25" spans="2:21" x14ac:dyDescent="0.2">
      <c r="B25" s="489"/>
      <c r="U25" s="488"/>
    </row>
    <row r="26" spans="2:21" x14ac:dyDescent="0.2">
      <c r="B26" s="492" t="s">
        <v>1193</v>
      </c>
      <c r="U26" s="488"/>
    </row>
    <row r="27" spans="2:21" x14ac:dyDescent="0.2">
      <c r="B27" s="492"/>
      <c r="U27" s="488"/>
    </row>
    <row r="28" spans="2:21" x14ac:dyDescent="0.2">
      <c r="B28" s="490" t="s">
        <v>1194</v>
      </c>
      <c r="N28" s="484">
        <v>11.914999999999999</v>
      </c>
      <c r="O28" s="501" t="s">
        <v>992</v>
      </c>
      <c r="U28" s="488"/>
    </row>
    <row r="29" spans="2:21" x14ac:dyDescent="0.2">
      <c r="B29" s="489">
        <v>2028</v>
      </c>
      <c r="C29" s="501" t="s">
        <v>1195</v>
      </c>
      <c r="U29" s="488"/>
    </row>
    <row r="30" spans="2:21" x14ac:dyDescent="0.2">
      <c r="B30" s="489">
        <v>2032</v>
      </c>
      <c r="C30" s="501" t="s">
        <v>1200</v>
      </c>
      <c r="U30" s="488"/>
    </row>
    <row r="31" spans="2:21" x14ac:dyDescent="0.2">
      <c r="B31" s="487"/>
      <c r="C31" s="486"/>
      <c r="D31" s="486"/>
      <c r="E31" s="486"/>
      <c r="F31" s="486"/>
      <c r="G31" s="486"/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6"/>
      <c r="U31" s="485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abSelected="1" topLeftCell="A121" zoomScale="70" zoomScaleNormal="70" workbookViewId="0">
      <selection activeCell="O150" sqref="O15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795</v>
      </c>
      <c r="D2">
        <v>120</v>
      </c>
      <c r="E2" t="s">
        <v>432</v>
      </c>
      <c r="J2" t="s">
        <v>1028</v>
      </c>
    </row>
    <row r="3" spans="1:45" x14ac:dyDescent="0.25">
      <c r="J3" s="14" t="s">
        <v>1029</v>
      </c>
      <c r="K3" s="15"/>
      <c r="L3" s="15" t="s">
        <v>1030</v>
      </c>
      <c r="M3" s="15"/>
      <c r="N3" s="3"/>
      <c r="P3" t="s">
        <v>960</v>
      </c>
      <c r="Q3" s="481"/>
      <c r="R3">
        <v>1.1499999999999999</v>
      </c>
      <c r="S3" s="118" t="s">
        <v>809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1287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1035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1025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4"/>
    </row>
    <row r="12" spans="1:45" x14ac:dyDescent="0.25">
      <c r="B12" s="505"/>
      <c r="C12" s="505"/>
      <c r="D12" s="505" t="s">
        <v>1038</v>
      </c>
      <c r="E12" s="505"/>
      <c r="F12" s="505"/>
      <c r="G12" s="505"/>
      <c r="H12" s="505"/>
      <c r="I12" s="505"/>
      <c r="J12" s="505"/>
      <c r="K12" s="505"/>
      <c r="L12" s="505"/>
      <c r="M12" s="505"/>
      <c r="N12" s="505"/>
      <c r="X12" s="504"/>
    </row>
    <row r="13" spans="1:45" x14ac:dyDescent="0.25">
      <c r="B13" s="505"/>
      <c r="C13" s="505"/>
      <c r="D13" s="505"/>
      <c r="E13" s="505"/>
      <c r="F13" s="505"/>
      <c r="G13" s="505"/>
      <c r="H13" s="505"/>
      <c r="I13" s="505"/>
      <c r="J13" s="505"/>
      <c r="K13" s="505"/>
      <c r="L13" s="505"/>
      <c r="M13" s="505"/>
      <c r="N13" s="505"/>
      <c r="X13" s="504"/>
    </row>
    <row r="14" spans="1:45" ht="21" x14ac:dyDescent="0.35">
      <c r="B14" s="505"/>
      <c r="C14" s="505"/>
      <c r="D14" s="505"/>
      <c r="E14" s="505"/>
      <c r="F14" s="505"/>
      <c r="G14" s="505"/>
      <c r="H14" s="505"/>
      <c r="I14" s="505"/>
      <c r="J14" s="505"/>
      <c r="K14" s="505"/>
      <c r="L14" s="505"/>
      <c r="M14" s="505"/>
      <c r="N14" s="505"/>
      <c r="X14" s="504"/>
      <c r="Z14" s="441" t="s">
        <v>1015</v>
      </c>
    </row>
    <row r="15" spans="1:45" ht="21" x14ac:dyDescent="0.35"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X15" s="504"/>
      <c r="Z15" s="441"/>
    </row>
    <row r="16" spans="1:45" x14ac:dyDescent="0.25"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X16" s="504"/>
      <c r="Z16" t="s">
        <v>770</v>
      </c>
      <c r="AM16" t="s">
        <v>771</v>
      </c>
    </row>
    <row r="17" spans="2:40" x14ac:dyDescent="0.25">
      <c r="B17" s="505"/>
      <c r="C17" s="505"/>
      <c r="D17" s="505"/>
      <c r="E17" s="505"/>
      <c r="F17" s="505"/>
      <c r="G17" s="505"/>
      <c r="H17" s="505"/>
      <c r="I17" s="505"/>
      <c r="J17" s="505"/>
      <c r="K17" s="505"/>
      <c r="L17" s="505"/>
      <c r="M17" s="505"/>
      <c r="N17" s="505"/>
      <c r="X17" s="504"/>
      <c r="AM17" t="s">
        <v>772</v>
      </c>
    </row>
    <row r="18" spans="2:40" x14ac:dyDescent="0.25">
      <c r="B18" s="505"/>
      <c r="C18" s="505"/>
      <c r="D18" s="505"/>
      <c r="E18" s="505"/>
      <c r="F18" s="505"/>
      <c r="G18" s="505"/>
      <c r="H18" s="505"/>
      <c r="I18" s="505"/>
      <c r="J18" s="505"/>
      <c r="K18" s="505"/>
      <c r="L18" s="505"/>
      <c r="M18" s="505"/>
      <c r="N18" s="505"/>
      <c r="X18" s="504"/>
      <c r="AM18" t="s">
        <v>773</v>
      </c>
    </row>
    <row r="19" spans="2:40" x14ac:dyDescent="0.25">
      <c r="B19" s="505"/>
      <c r="C19" s="505"/>
      <c r="D19" s="505"/>
      <c r="E19" s="505"/>
      <c r="F19" s="505"/>
      <c r="G19" s="505"/>
      <c r="H19" s="505"/>
      <c r="I19" s="505"/>
      <c r="J19" s="505"/>
      <c r="K19" s="505"/>
      <c r="L19" s="505"/>
      <c r="M19" s="505"/>
      <c r="N19" s="505"/>
      <c r="X19" s="504"/>
      <c r="AM19" t="s">
        <v>774</v>
      </c>
      <c r="AN19" t="s">
        <v>775</v>
      </c>
    </row>
    <row r="20" spans="2:40" x14ac:dyDescent="0.25">
      <c r="B20" s="505"/>
      <c r="C20" s="505"/>
      <c r="D20" s="505"/>
      <c r="E20" s="505"/>
      <c r="F20" s="505"/>
      <c r="G20" s="505"/>
      <c r="H20" s="505"/>
      <c r="I20" s="505"/>
      <c r="J20" s="505"/>
      <c r="K20" s="505"/>
      <c r="L20" s="505"/>
      <c r="M20" s="505"/>
      <c r="N20" s="505"/>
      <c r="X20" s="504"/>
      <c r="AM20">
        <v>300</v>
      </c>
      <c r="AN20" t="s">
        <v>776</v>
      </c>
    </row>
    <row r="21" spans="2:40" x14ac:dyDescent="0.25"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X21" s="504"/>
      <c r="AM21" t="s">
        <v>777</v>
      </c>
    </row>
    <row r="22" spans="2:40" x14ac:dyDescent="0.25"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X22" s="504"/>
    </row>
    <row r="23" spans="2:40" x14ac:dyDescent="0.25">
      <c r="B23" s="505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X23" s="504"/>
    </row>
    <row r="24" spans="2:40" x14ac:dyDescent="0.25">
      <c r="B24" s="505"/>
      <c r="C24" s="505"/>
      <c r="D24" s="505"/>
      <c r="E24" s="505"/>
      <c r="F24" s="505"/>
      <c r="G24" s="505"/>
      <c r="H24" s="505"/>
      <c r="I24" s="505"/>
      <c r="J24" s="505"/>
      <c r="K24" s="505"/>
      <c r="L24" s="505"/>
      <c r="M24" s="505"/>
      <c r="N24" s="505"/>
      <c r="X24" s="504"/>
    </row>
    <row r="25" spans="2:40" x14ac:dyDescent="0.25">
      <c r="B25" s="505"/>
      <c r="C25" s="505"/>
      <c r="D25" s="505"/>
      <c r="E25" s="505"/>
      <c r="F25" s="505"/>
      <c r="G25" s="505"/>
      <c r="H25" s="505"/>
      <c r="I25" s="505"/>
      <c r="J25" s="505"/>
      <c r="K25" s="505"/>
      <c r="L25" s="505"/>
      <c r="M25" s="505"/>
      <c r="N25" s="505"/>
      <c r="X25" s="504"/>
    </row>
    <row r="26" spans="2:40" x14ac:dyDescent="0.25">
      <c r="B26" s="505"/>
      <c r="C26" s="505"/>
      <c r="D26" s="505"/>
      <c r="E26" s="505"/>
      <c r="F26" s="505"/>
      <c r="G26" s="505"/>
      <c r="H26" s="505"/>
      <c r="I26" s="505"/>
      <c r="J26" s="505"/>
      <c r="K26" s="505"/>
      <c r="L26" s="505"/>
      <c r="M26" s="505"/>
      <c r="N26" s="505"/>
      <c r="X26" s="504"/>
    </row>
    <row r="27" spans="2:40" x14ac:dyDescent="0.25"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X27" s="504"/>
    </row>
    <row r="28" spans="2:40" x14ac:dyDescent="0.25"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X28" s="504"/>
    </row>
    <row r="29" spans="2:40" x14ac:dyDescent="0.25"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X29" s="504"/>
    </row>
    <row r="30" spans="2:40" x14ac:dyDescent="0.25">
      <c r="B30" s="505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X30" s="504"/>
    </row>
    <row r="31" spans="2:40" x14ac:dyDescent="0.25">
      <c r="B31" s="505"/>
      <c r="C31" s="505"/>
      <c r="D31" s="505"/>
      <c r="E31" s="505"/>
      <c r="F31" s="505"/>
      <c r="G31" s="505"/>
      <c r="H31" s="505"/>
      <c r="I31" s="505"/>
      <c r="J31" s="505"/>
      <c r="K31" s="505"/>
      <c r="L31" s="505"/>
      <c r="M31" s="505"/>
      <c r="N31" s="505"/>
      <c r="X31" s="504"/>
    </row>
    <row r="32" spans="2:40" x14ac:dyDescent="0.25">
      <c r="B32" s="505"/>
      <c r="C32" s="505"/>
      <c r="D32" s="505"/>
      <c r="E32" s="505"/>
      <c r="F32" s="505"/>
      <c r="G32" s="505"/>
      <c r="H32" s="505"/>
      <c r="I32" s="505"/>
      <c r="J32" s="505"/>
      <c r="K32" s="505"/>
      <c r="L32" s="505"/>
      <c r="M32" s="505"/>
      <c r="N32" s="505"/>
      <c r="X32" s="504"/>
    </row>
    <row r="33" spans="2:24" x14ac:dyDescent="0.25"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X33" s="504"/>
    </row>
    <row r="34" spans="2:24" x14ac:dyDescent="0.25">
      <c r="B34" s="505"/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X34" s="504"/>
    </row>
    <row r="35" spans="2:24" x14ac:dyDescent="0.25">
      <c r="B35" s="505"/>
      <c r="C35" s="505"/>
      <c r="D35" s="505"/>
      <c r="E35" s="505"/>
      <c r="F35" s="505"/>
      <c r="G35" s="505"/>
      <c r="H35" s="505"/>
      <c r="I35" s="505"/>
      <c r="J35" s="505"/>
      <c r="K35" s="505"/>
      <c r="L35" s="505"/>
      <c r="M35" s="505"/>
      <c r="N35" s="505"/>
      <c r="X35" s="504"/>
    </row>
    <row r="36" spans="2:24" x14ac:dyDescent="0.25">
      <c r="X36" s="504"/>
    </row>
    <row r="37" spans="2:24" x14ac:dyDescent="0.25">
      <c r="X37" s="504"/>
    </row>
    <row r="38" spans="2:24" x14ac:dyDescent="0.25">
      <c r="X38" s="504"/>
    </row>
    <row r="39" spans="2:24" x14ac:dyDescent="0.25">
      <c r="X39" s="504"/>
    </row>
    <row r="40" spans="2:24" x14ac:dyDescent="0.25">
      <c r="X40" s="504"/>
    </row>
    <row r="41" spans="2:24" x14ac:dyDescent="0.25">
      <c r="X41" s="504"/>
    </row>
    <row r="42" spans="2:24" x14ac:dyDescent="0.25">
      <c r="X42" s="504"/>
    </row>
    <row r="43" spans="2:24" x14ac:dyDescent="0.25">
      <c r="X43" s="504"/>
    </row>
    <row r="44" spans="2:24" x14ac:dyDescent="0.25">
      <c r="X44" s="504"/>
    </row>
    <row r="45" spans="2:24" x14ac:dyDescent="0.25">
      <c r="X45" s="504"/>
    </row>
    <row r="46" spans="2:24" x14ac:dyDescent="0.25">
      <c r="X46" s="504"/>
    </row>
    <row r="47" spans="2:24" x14ac:dyDescent="0.25">
      <c r="X47" s="504"/>
    </row>
    <row r="48" spans="2:24" x14ac:dyDescent="0.25">
      <c r="X48" s="504"/>
    </row>
    <row r="49" spans="2:36" x14ac:dyDescent="0.25">
      <c r="X49" s="504"/>
    </row>
    <row r="50" spans="2:36" x14ac:dyDescent="0.25">
      <c r="X50" s="504"/>
    </row>
    <row r="51" spans="2:36" x14ac:dyDescent="0.25">
      <c r="X51" s="504"/>
    </row>
    <row r="52" spans="2:36" x14ac:dyDescent="0.25">
      <c r="X52" s="504"/>
    </row>
    <row r="53" spans="2:36" x14ac:dyDescent="0.25">
      <c r="X53" s="504"/>
    </row>
    <row r="54" spans="2:36" ht="15.75" x14ac:dyDescent="0.25">
      <c r="B54" s="506" t="s">
        <v>1034</v>
      </c>
      <c r="X54" s="504"/>
    </row>
    <row r="55" spans="2:36" x14ac:dyDescent="0.25">
      <c r="X55" s="504"/>
    </row>
    <row r="56" spans="2:36" x14ac:dyDescent="0.25">
      <c r="C56" s="5"/>
      <c r="D56" s="620" t="s">
        <v>778</v>
      </c>
      <c r="E56" s="621"/>
      <c r="F56" s="622"/>
      <c r="G56" s="620" t="s">
        <v>784</v>
      </c>
      <c r="H56" s="621"/>
      <c r="I56" s="622"/>
      <c r="X56" s="504"/>
    </row>
    <row r="57" spans="2:36" x14ac:dyDescent="0.25">
      <c r="B57" s="8"/>
      <c r="C57" s="9" t="s">
        <v>1018</v>
      </c>
      <c r="D57" s="11" t="s">
        <v>779</v>
      </c>
      <c r="E57" s="11">
        <v>2030</v>
      </c>
      <c r="F57" s="448" t="s">
        <v>1016</v>
      </c>
      <c r="G57" s="11" t="s">
        <v>779</v>
      </c>
      <c r="H57" s="11">
        <v>2030</v>
      </c>
      <c r="I57" s="448" t="s">
        <v>1016</v>
      </c>
      <c r="X57" s="504"/>
      <c r="AB57" s="5"/>
      <c r="AC57" t="s">
        <v>778</v>
      </c>
      <c r="AE57" s="5"/>
      <c r="AF57" t="s">
        <v>784</v>
      </c>
      <c r="AH57" s="5"/>
    </row>
    <row r="58" spans="2:36" x14ac:dyDescent="0.25">
      <c r="B58" s="617" t="s">
        <v>1020</v>
      </c>
      <c r="C58" s="5" t="s">
        <v>781</v>
      </c>
      <c r="D58" s="511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4"/>
      <c r="AA58" s="8"/>
      <c r="AB58" s="9" t="s">
        <v>1018</v>
      </c>
      <c r="AC58" s="8" t="s">
        <v>779</v>
      </c>
      <c r="AD58" s="8">
        <v>2030</v>
      </c>
      <c r="AE58" s="9" t="s">
        <v>1016</v>
      </c>
      <c r="AF58" s="8" t="s">
        <v>779</v>
      </c>
      <c r="AG58" s="8">
        <v>2030</v>
      </c>
      <c r="AH58" s="9" t="s">
        <v>1016</v>
      </c>
      <c r="AI58" s="399"/>
      <c r="AJ58" s="399"/>
    </row>
    <row r="59" spans="2:36" x14ac:dyDescent="0.25">
      <c r="B59" s="618"/>
      <c r="C59" s="5" t="s">
        <v>783</v>
      </c>
      <c r="D59" s="511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4"/>
      <c r="AA59" t="s">
        <v>1020</v>
      </c>
      <c r="AB59" s="5" t="s">
        <v>781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19"/>
      <c r="C60" s="9" t="s">
        <v>978</v>
      </c>
      <c r="D60" s="511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4"/>
      <c r="AB60" s="5" t="s">
        <v>783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17" t="s">
        <v>1036</v>
      </c>
      <c r="C61" s="5" t="s">
        <v>781</v>
      </c>
      <c r="D61" s="512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1037</v>
      </c>
      <c r="X61" s="504"/>
      <c r="AA61" s="8"/>
      <c r="AB61" s="9" t="s">
        <v>978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18"/>
      <c r="C62" s="5" t="s">
        <v>783</v>
      </c>
      <c r="D62" s="512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4"/>
      <c r="AA62" t="s">
        <v>1019</v>
      </c>
      <c r="AB62" s="5" t="s">
        <v>781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19"/>
      <c r="C63" s="9" t="s">
        <v>978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4"/>
      <c r="AB63" s="5" t="s">
        <v>783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17" t="s">
        <v>1021</v>
      </c>
      <c r="C64" s="5" t="s">
        <v>781</v>
      </c>
      <c r="D64" s="7">
        <v>30000</v>
      </c>
      <c r="E64" s="8">
        <v>60000</v>
      </c>
      <c r="F64" s="9">
        <v>10000</v>
      </c>
      <c r="G64" s="8">
        <v>60000</v>
      </c>
      <c r="H64" s="513">
        <v>90000</v>
      </c>
      <c r="I64" s="514">
        <v>100000</v>
      </c>
      <c r="X64" s="504"/>
      <c r="AA64" s="8"/>
      <c r="AB64" s="9" t="s">
        <v>978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18"/>
      <c r="C65" s="5" t="s">
        <v>783</v>
      </c>
      <c r="D65" s="7">
        <v>90000</v>
      </c>
      <c r="E65" s="8">
        <v>90000</v>
      </c>
      <c r="F65" s="9">
        <v>15000</v>
      </c>
      <c r="G65" s="8">
        <v>90000</v>
      </c>
      <c r="H65" s="513">
        <v>100000</v>
      </c>
      <c r="I65" s="514">
        <v>150000</v>
      </c>
      <c r="X65" s="504"/>
      <c r="AA65" t="s">
        <v>1021</v>
      </c>
      <c r="AB65" s="5" t="s">
        <v>781</v>
      </c>
      <c r="AC65">
        <v>30000</v>
      </c>
      <c r="AD65">
        <v>60000</v>
      </c>
      <c r="AE65" s="5">
        <v>10000</v>
      </c>
      <c r="AF65">
        <v>60000</v>
      </c>
      <c r="AG65" s="440">
        <v>90000</v>
      </c>
      <c r="AH65" s="503">
        <v>100000</v>
      </c>
    </row>
    <row r="66" spans="2:37" x14ac:dyDescent="0.25">
      <c r="B66" s="619"/>
      <c r="C66" s="9" t="s">
        <v>978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4"/>
      <c r="AB66" s="5" t="s">
        <v>783</v>
      </c>
      <c r="AC66">
        <v>90000</v>
      </c>
      <c r="AD66">
        <v>90000</v>
      </c>
      <c r="AE66" s="5">
        <v>15000</v>
      </c>
      <c r="AF66">
        <v>90000</v>
      </c>
      <c r="AG66" s="440">
        <v>100000</v>
      </c>
      <c r="AH66" s="503">
        <v>150000</v>
      </c>
    </row>
    <row r="67" spans="2:37" x14ac:dyDescent="0.25">
      <c r="X67" s="504"/>
      <c r="AA67" s="8"/>
      <c r="AB67" s="9" t="s">
        <v>978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4"/>
      <c r="AJ68" s="285"/>
      <c r="AK68" s="285"/>
    </row>
    <row r="69" spans="2:37" x14ac:dyDescent="0.25">
      <c r="X69" s="504"/>
      <c r="AJ69" s="285"/>
      <c r="AK69" s="285"/>
    </row>
    <row r="70" spans="2:37" x14ac:dyDescent="0.25">
      <c r="X70" s="504"/>
    </row>
    <row r="71" spans="2:37" x14ac:dyDescent="0.25">
      <c r="D71" s="608"/>
      <c r="E71" s="609" t="s">
        <v>732</v>
      </c>
      <c r="F71" s="608"/>
      <c r="G71" s="608"/>
      <c r="H71" s="608"/>
      <c r="I71" s="608"/>
      <c r="J71" s="608"/>
      <c r="X71" s="504"/>
    </row>
    <row r="72" spans="2:37" ht="21" x14ac:dyDescent="0.35">
      <c r="D72" s="610" t="s">
        <v>1224</v>
      </c>
      <c r="E72" s="608">
        <v>2020</v>
      </c>
      <c r="F72" s="611">
        <v>2030</v>
      </c>
      <c r="G72" s="611">
        <v>2050</v>
      </c>
      <c r="H72" s="608">
        <v>2020</v>
      </c>
      <c r="I72" s="611">
        <v>2030</v>
      </c>
      <c r="J72" s="611">
        <v>2050</v>
      </c>
      <c r="K72" s="547"/>
      <c r="X72" s="504"/>
      <c r="Z72" s="441" t="s">
        <v>1022</v>
      </c>
    </row>
    <row r="73" spans="2:37" x14ac:dyDescent="0.25">
      <c r="D73" s="612" t="s">
        <v>1203</v>
      </c>
      <c r="E73" s="613" t="str">
        <f>"NCAP_COST~"&amp;E72</f>
        <v>NCAP_COST~2020</v>
      </c>
      <c r="F73" s="613" t="str">
        <f>"NCAP_COST~"&amp;F72</f>
        <v>NCAP_COST~2030</v>
      </c>
      <c r="G73" s="613" t="str">
        <f>"NCAP_COST~"&amp;G72</f>
        <v>NCAP_COST~2050</v>
      </c>
      <c r="H73" s="613" t="str">
        <f>"LIFE~"&amp;H72</f>
        <v>LIFE~2020</v>
      </c>
      <c r="I73" s="613" t="str">
        <f>"LIFE~"&amp;I72</f>
        <v>LIFE~2030</v>
      </c>
      <c r="J73" s="613" t="str">
        <f>"LIFE~"&amp;J72</f>
        <v>LIFE~2050</v>
      </c>
      <c r="X73" s="504"/>
      <c r="AA73" s="442"/>
    </row>
    <row r="74" spans="2:37" x14ac:dyDescent="0.25">
      <c r="D74" s="502" t="s">
        <v>1001</v>
      </c>
      <c r="E74" s="557">
        <f>G63</f>
        <v>11319.25</v>
      </c>
      <c r="F74" s="557">
        <f>H63</f>
        <v>7446.8749999999991</v>
      </c>
      <c r="G74" s="557">
        <f>I63</f>
        <v>5361.75</v>
      </c>
      <c r="H74" s="558">
        <f>G66/8760</f>
        <v>8.5616438356164384</v>
      </c>
      <c r="I74" s="558">
        <f t="shared" ref="I74:J74" si="6">H66/8760</f>
        <v>10.844748858447488</v>
      </c>
      <c r="J74" s="558">
        <f t="shared" si="6"/>
        <v>14.269406392694064</v>
      </c>
      <c r="X74" s="504"/>
      <c r="AA74" s="11" t="s">
        <v>786</v>
      </c>
      <c r="AB74" s="8"/>
      <c r="AC74" s="8"/>
    </row>
    <row r="75" spans="2:37" x14ac:dyDescent="0.25">
      <c r="D75" s="553"/>
      <c r="E75" s="556"/>
      <c r="F75" s="558"/>
      <c r="H75" s="556"/>
      <c r="I75" s="547"/>
      <c r="J75" s="547"/>
      <c r="X75" s="504"/>
      <c r="AA75" t="s">
        <v>787</v>
      </c>
    </row>
    <row r="76" spans="2:37" x14ac:dyDescent="0.25">
      <c r="X76" s="504"/>
      <c r="AA76" s="118" t="s">
        <v>788</v>
      </c>
    </row>
    <row r="77" spans="2:37" x14ac:dyDescent="0.25">
      <c r="D77" s="502"/>
      <c r="E77" s="556"/>
      <c r="F77" s="556"/>
      <c r="H77" s="558"/>
      <c r="I77" s="584"/>
      <c r="J77" s="584"/>
      <c r="X77" s="504"/>
    </row>
    <row r="78" spans="2:37" x14ac:dyDescent="0.25">
      <c r="X78" s="504"/>
      <c r="AA78" t="s">
        <v>789</v>
      </c>
    </row>
    <row r="79" spans="2:37" x14ac:dyDescent="0.25">
      <c r="D79" s="608"/>
      <c r="E79" s="608"/>
      <c r="F79" s="610" t="s">
        <v>1224</v>
      </c>
      <c r="G79" s="608"/>
      <c r="H79" s="608">
        <v>2020</v>
      </c>
      <c r="I79" s="608">
        <v>2030</v>
      </c>
      <c r="J79" s="608">
        <v>2050</v>
      </c>
      <c r="X79" s="504"/>
      <c r="AA79">
        <v>500</v>
      </c>
      <c r="AB79" t="s">
        <v>790</v>
      </c>
    </row>
    <row r="80" spans="2:37" x14ac:dyDescent="0.25">
      <c r="D80" s="612" t="s">
        <v>1203</v>
      </c>
      <c r="E80" s="614" t="s">
        <v>1225</v>
      </c>
      <c r="F80" s="614" t="s">
        <v>1226</v>
      </c>
      <c r="G80" s="615" t="s">
        <v>1013</v>
      </c>
      <c r="H80" s="608" t="str">
        <f>"ACT_EFF~"&amp;H79</f>
        <v>ACT_EFF~2020</v>
      </c>
      <c r="I80" s="608" t="str">
        <f t="shared" ref="I80:J80" si="7">"ACT_EFF~"&amp;I79</f>
        <v>ACT_EFF~2030</v>
      </c>
      <c r="J80" s="608" t="str">
        <f t="shared" si="7"/>
        <v>ACT_EFF~2050</v>
      </c>
      <c r="X80" s="504"/>
      <c r="AA80" t="s">
        <v>791</v>
      </c>
      <c r="AB80" t="s">
        <v>792</v>
      </c>
    </row>
    <row r="81" spans="4:28" x14ac:dyDescent="0.25">
      <c r="D81" s="502" t="s">
        <v>1001</v>
      </c>
      <c r="E81" t="str">
        <f>'Iron and Steel input'!AD103</f>
        <v>IISELC</v>
      </c>
      <c r="F81" t="str">
        <f>D197</f>
        <v>IISHHGN</v>
      </c>
      <c r="G81" s="549">
        <v>31.536000000000001</v>
      </c>
      <c r="H81" s="268">
        <f>1/G60</f>
        <v>1.5037593984962405</v>
      </c>
      <c r="I81" s="268">
        <f>1/H60</f>
        <v>1.4705882352941178</v>
      </c>
      <c r="J81" s="268">
        <f>1/I60</f>
        <v>1.3333333333333333</v>
      </c>
      <c r="X81" s="504"/>
      <c r="AA81">
        <v>516</v>
      </c>
      <c r="AB81" t="s">
        <v>793</v>
      </c>
    </row>
    <row r="82" spans="4:28" x14ac:dyDescent="0.25">
      <c r="X82" s="504"/>
    </row>
    <row r="83" spans="4:28" x14ac:dyDescent="0.25">
      <c r="X83" s="504"/>
    </row>
    <row r="84" spans="4:28" x14ac:dyDescent="0.25">
      <c r="X84" s="504"/>
    </row>
    <row r="85" spans="4:28" x14ac:dyDescent="0.25">
      <c r="X85" s="504"/>
    </row>
    <row r="86" spans="4:28" x14ac:dyDescent="0.25">
      <c r="X86" s="504"/>
      <c r="AA86" s="285"/>
    </row>
    <row r="87" spans="4:28" x14ac:dyDescent="0.25">
      <c r="X87" s="504"/>
    </row>
    <row r="88" spans="4:28" x14ac:dyDescent="0.25">
      <c r="X88" s="504"/>
      <c r="AA88" s="443"/>
    </row>
    <row r="89" spans="4:28" x14ac:dyDescent="0.25">
      <c r="X89" s="504"/>
    </row>
    <row r="90" spans="4:28" x14ac:dyDescent="0.25">
      <c r="X90" s="504"/>
    </row>
    <row r="91" spans="4:28" x14ac:dyDescent="0.25">
      <c r="X91" s="504"/>
    </row>
    <row r="92" spans="4:28" x14ac:dyDescent="0.25">
      <c r="X92" s="504"/>
    </row>
    <row r="93" spans="4:28" x14ac:dyDescent="0.25">
      <c r="X93" s="504"/>
    </row>
    <row r="94" spans="4:28" x14ac:dyDescent="0.25">
      <c r="X94" s="504"/>
    </row>
    <row r="95" spans="4:28" x14ac:dyDescent="0.25">
      <c r="X95" s="504"/>
    </row>
    <row r="96" spans="4:28" x14ac:dyDescent="0.25">
      <c r="X96" s="504"/>
    </row>
    <row r="97" spans="2:33" x14ac:dyDescent="0.25">
      <c r="X97" s="504"/>
    </row>
    <row r="98" spans="2:33" x14ac:dyDescent="0.25">
      <c r="X98" s="504"/>
    </row>
    <row r="99" spans="2:33" x14ac:dyDescent="0.25">
      <c r="X99" s="504"/>
    </row>
    <row r="100" spans="2:33" x14ac:dyDescent="0.25">
      <c r="X100" s="504"/>
    </row>
    <row r="101" spans="2:33" x14ac:dyDescent="0.25">
      <c r="X101" s="504"/>
    </row>
    <row r="102" spans="2:33" ht="15.75" x14ac:dyDescent="0.25">
      <c r="B102" s="506" t="s">
        <v>1033</v>
      </c>
      <c r="X102" s="504"/>
    </row>
    <row r="103" spans="2:33" x14ac:dyDescent="0.25">
      <c r="X103" s="504"/>
      <c r="AA103" t="s">
        <v>794</v>
      </c>
    </row>
    <row r="104" spans="2:33" x14ac:dyDescent="0.25">
      <c r="X104" s="504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667</v>
      </c>
      <c r="G105" s="135" t="s">
        <v>424</v>
      </c>
      <c r="X105" s="504"/>
      <c r="AA105">
        <f>L6</f>
        <v>11.78</v>
      </c>
      <c r="AB105" t="s">
        <v>1031</v>
      </c>
    </row>
    <row r="106" spans="2:33" x14ac:dyDescent="0.25">
      <c r="B106" s="117" t="s">
        <v>1032</v>
      </c>
      <c r="C106" s="508">
        <f>AA109*$R$5</f>
        <v>71219.52399999999</v>
      </c>
      <c r="D106" s="508">
        <f>AB109*$R$5</f>
        <v>47717.081079999989</v>
      </c>
      <c r="E106" s="508">
        <f>D106*(1-I106)</f>
        <v>42945.37297199999</v>
      </c>
      <c r="F106" s="117" t="s">
        <v>1053</v>
      </c>
      <c r="G106" s="515" t="s">
        <v>1026</v>
      </c>
      <c r="I106" s="470">
        <v>0.1</v>
      </c>
      <c r="X106" s="504"/>
      <c r="AA106" s="440">
        <f>AA81*AA105</f>
        <v>6078.48</v>
      </c>
      <c r="AB106" t="s">
        <v>796</v>
      </c>
      <c r="AF106">
        <v>9.1999999999999998E-3</v>
      </c>
      <c r="AG106" t="s">
        <v>140</v>
      </c>
    </row>
    <row r="107" spans="2:33" x14ac:dyDescent="0.25">
      <c r="B107" s="117" t="s">
        <v>734</v>
      </c>
      <c r="C107" s="117">
        <v>20</v>
      </c>
      <c r="D107" s="117"/>
      <c r="E107" s="117"/>
      <c r="F107" s="117" t="s">
        <v>748</v>
      </c>
      <c r="G107" s="117" t="s">
        <v>918</v>
      </c>
      <c r="H107" s="285"/>
      <c r="X107" s="504"/>
      <c r="AA107" s="321">
        <f>AA106/D2</f>
        <v>50.653999999999996</v>
      </c>
      <c r="AB107" t="s">
        <v>797</v>
      </c>
      <c r="AF107" s="384">
        <f>AF106*AB109</f>
        <v>312.23125599999992</v>
      </c>
      <c r="AG107" t="s">
        <v>798</v>
      </c>
    </row>
    <row r="108" spans="2:33" x14ac:dyDescent="0.25">
      <c r="B108" s="117" t="s">
        <v>1027</v>
      </c>
      <c r="C108" s="117">
        <f>AA117*3.6/D2</f>
        <v>3.0000000000000002E-2</v>
      </c>
      <c r="D108" s="117"/>
      <c r="E108" s="117"/>
      <c r="F108" s="117" t="s">
        <v>1054</v>
      </c>
      <c r="G108" s="117"/>
      <c r="X108" s="504"/>
      <c r="AA108" s="18">
        <v>2020</v>
      </c>
      <c r="AB108" s="18">
        <v>2030</v>
      </c>
    </row>
    <row r="109" spans="2:33" x14ac:dyDescent="0.25">
      <c r="B109" s="117" t="s">
        <v>985</v>
      </c>
      <c r="C109" s="508">
        <f>$I$109*C106</f>
        <v>712.1952399999999</v>
      </c>
      <c r="D109" s="508">
        <f>$I$109*D106</f>
        <v>477.17081079999991</v>
      </c>
      <c r="E109" s="508">
        <f>$I$109*E106</f>
        <v>429.4537297199999</v>
      </c>
      <c r="F109" s="117" t="s">
        <v>954</v>
      </c>
      <c r="G109" s="117" t="s">
        <v>1055</v>
      </c>
      <c r="I109" s="470">
        <v>0.01</v>
      </c>
      <c r="X109" s="504"/>
      <c r="AA109" s="444">
        <f>AA107*1000000000/1000000</f>
        <v>50654</v>
      </c>
      <c r="AB109" s="445">
        <f>AA109*(1-AA110)</f>
        <v>33938.179999999993</v>
      </c>
      <c r="AC109" s="18" t="s">
        <v>799</v>
      </c>
      <c r="AF109" s="360"/>
    </row>
    <row r="110" spans="2:33" x14ac:dyDescent="0.25">
      <c r="B110" s="117" t="s">
        <v>780</v>
      </c>
      <c r="C110" s="509">
        <v>0.99</v>
      </c>
      <c r="D110" s="117"/>
      <c r="E110" s="117"/>
      <c r="F110" s="117"/>
      <c r="G110" s="510"/>
      <c r="X110" s="504"/>
      <c r="AA110" s="285">
        <v>0.33</v>
      </c>
      <c r="AB110" t="s">
        <v>800</v>
      </c>
    </row>
    <row r="111" spans="2:33" x14ac:dyDescent="0.25">
      <c r="X111" s="504"/>
      <c r="AF111" s="443"/>
    </row>
    <row r="112" spans="2:33" x14ac:dyDescent="0.25">
      <c r="X112" s="504"/>
    </row>
    <row r="113" spans="2:39" x14ac:dyDescent="0.25">
      <c r="X113" s="504"/>
      <c r="AA113" s="18" t="s">
        <v>786</v>
      </c>
    </row>
    <row r="114" spans="2:39" x14ac:dyDescent="0.25">
      <c r="X114" s="504"/>
      <c r="AA114" t="s">
        <v>801</v>
      </c>
    </row>
    <row r="115" spans="2:39" x14ac:dyDescent="0.25">
      <c r="X115" s="504"/>
      <c r="AA115" s="118" t="s">
        <v>802</v>
      </c>
    </row>
    <row r="116" spans="2:39" x14ac:dyDescent="0.25">
      <c r="X116" s="504"/>
      <c r="AA116" t="s">
        <v>955</v>
      </c>
    </row>
    <row r="117" spans="2:39" x14ac:dyDescent="0.25">
      <c r="X117" s="504"/>
      <c r="AA117">
        <v>1</v>
      </c>
      <c r="AB117" t="s">
        <v>956</v>
      </c>
    </row>
    <row r="118" spans="2:39" x14ac:dyDescent="0.25">
      <c r="X118" s="504"/>
      <c r="AB118" t="s">
        <v>957</v>
      </c>
    </row>
    <row r="119" spans="2:39" x14ac:dyDescent="0.25">
      <c r="X119" s="504"/>
    </row>
    <row r="120" spans="2:39" ht="21" x14ac:dyDescent="0.35">
      <c r="B120" s="506" t="s">
        <v>1039</v>
      </c>
      <c r="X120" s="504"/>
      <c r="Z120" s="441" t="s">
        <v>1024</v>
      </c>
    </row>
    <row r="121" spans="2:39" ht="21" x14ac:dyDescent="0.35">
      <c r="X121" s="504"/>
      <c r="Z121" s="441"/>
    </row>
    <row r="122" spans="2:39" x14ac:dyDescent="0.25">
      <c r="B122" s="117"/>
      <c r="C122" s="117"/>
      <c r="D122" s="135" t="s">
        <v>1051</v>
      </c>
      <c r="E122" s="135" t="s">
        <v>667</v>
      </c>
      <c r="F122" s="135" t="s">
        <v>1052</v>
      </c>
      <c r="X122" s="504"/>
      <c r="AA122" s="446" t="s">
        <v>803</v>
      </c>
      <c r="AB122" s="446"/>
      <c r="AC122" s="446"/>
      <c r="AD122" s="446"/>
    </row>
    <row r="123" spans="2:39" x14ac:dyDescent="0.25">
      <c r="B123" s="117" t="s">
        <v>768</v>
      </c>
      <c r="C123" s="117" t="s">
        <v>1017</v>
      </c>
      <c r="D123" s="352">
        <f>AK131*R3*L6*R5</f>
        <v>4380.8288599999996</v>
      </c>
      <c r="E123" s="117" t="s">
        <v>1045</v>
      </c>
      <c r="F123" s="117"/>
      <c r="X123" s="504"/>
      <c r="AA123" t="s">
        <v>804</v>
      </c>
    </row>
    <row r="124" spans="2:39" x14ac:dyDescent="0.25">
      <c r="B124" s="117"/>
      <c r="C124" s="117" t="s">
        <v>1040</v>
      </c>
      <c r="D124" s="352">
        <f>'AMSA reports'!O13/2</f>
        <v>725.14525500322793</v>
      </c>
      <c r="E124" s="117" t="s">
        <v>481</v>
      </c>
      <c r="F124" s="117" t="s">
        <v>1046</v>
      </c>
      <c r="X124" s="504"/>
      <c r="AA124" t="s">
        <v>805</v>
      </c>
      <c r="AH124" t="s">
        <v>806</v>
      </c>
    </row>
    <row r="125" spans="2:39" x14ac:dyDescent="0.25">
      <c r="B125" s="117"/>
      <c r="C125" s="117" t="s">
        <v>817</v>
      </c>
      <c r="D125" s="352">
        <f>D123*H125</f>
        <v>219.04144299999999</v>
      </c>
      <c r="E125" s="117" t="s">
        <v>481</v>
      </c>
      <c r="F125" s="117" t="s">
        <v>1056</v>
      </c>
      <c r="H125" s="470">
        <v>0.05</v>
      </c>
      <c r="X125" s="504"/>
      <c r="AH125" t="s">
        <v>807</v>
      </c>
      <c r="AI125">
        <v>1.1499999999999999</v>
      </c>
      <c r="AJ125" t="s">
        <v>808</v>
      </c>
      <c r="AK125" s="118" t="s">
        <v>809</v>
      </c>
    </row>
    <row r="126" spans="2:39" ht="21" x14ac:dyDescent="0.35">
      <c r="B126" s="117"/>
      <c r="C126" s="117" t="s">
        <v>734</v>
      </c>
      <c r="D126" s="117">
        <v>20</v>
      </c>
      <c r="E126" s="117" t="s">
        <v>736</v>
      </c>
      <c r="F126" s="117"/>
      <c r="X126" s="504"/>
      <c r="Z126" s="441"/>
    </row>
    <row r="127" spans="2:39" ht="21" x14ac:dyDescent="0.35">
      <c r="B127" s="117" t="s">
        <v>824</v>
      </c>
      <c r="C127" s="117" t="s">
        <v>1041</v>
      </c>
      <c r="D127" s="507">
        <f>AK137/1000</f>
        <v>1.504</v>
      </c>
      <c r="E127" s="117" t="s">
        <v>1043</v>
      </c>
      <c r="F127" s="117"/>
      <c r="X127" s="504"/>
      <c r="Z127" s="441"/>
    </row>
    <row r="128" spans="2:39" ht="21" x14ac:dyDescent="0.35">
      <c r="B128" s="117"/>
      <c r="C128" s="117" t="s">
        <v>829</v>
      </c>
      <c r="D128" s="117">
        <f>AK136*D2*1000000/1000000000</f>
        <v>6.12</v>
      </c>
      <c r="E128" s="117" t="s">
        <v>1044</v>
      </c>
      <c r="F128" s="117"/>
      <c r="X128" s="504"/>
      <c r="Z128" s="447"/>
      <c r="AA128" s="11" t="s">
        <v>810</v>
      </c>
      <c r="AB128" s="11"/>
      <c r="AC128" s="11"/>
      <c r="AD128" s="448"/>
      <c r="AE128" s="11" t="s">
        <v>1</v>
      </c>
      <c r="AF128" s="11"/>
      <c r="AG128" s="11"/>
      <c r="AH128" s="448"/>
      <c r="AI128" s="11" t="s">
        <v>811</v>
      </c>
      <c r="AJ128" s="8"/>
      <c r="AK128" s="8"/>
      <c r="AL128" s="8"/>
      <c r="AM128" s="8"/>
    </row>
    <row r="129" spans="2:44" x14ac:dyDescent="0.25">
      <c r="B129" s="117"/>
      <c r="C129" s="117" t="s">
        <v>1042</v>
      </c>
      <c r="D129" s="117">
        <f>AE216*3.6/1.5</f>
        <v>0.74400000000000022</v>
      </c>
      <c r="E129" s="117" t="s">
        <v>1044</v>
      </c>
      <c r="F129" s="117"/>
      <c r="X129" s="504"/>
      <c r="Z129" s="5"/>
      <c r="AD129" s="5"/>
      <c r="AH129" s="5"/>
      <c r="AO129" t="s">
        <v>812</v>
      </c>
    </row>
    <row r="130" spans="2:44" x14ac:dyDescent="0.25">
      <c r="X130" s="504"/>
      <c r="Z130" s="5"/>
      <c r="AA130" t="s">
        <v>667</v>
      </c>
      <c r="AD130" s="5" t="s">
        <v>813</v>
      </c>
      <c r="AE130" t="s">
        <v>142</v>
      </c>
      <c r="AH130" s="5" t="s">
        <v>813</v>
      </c>
      <c r="AI130" t="s">
        <v>142</v>
      </c>
      <c r="AO130">
        <v>120</v>
      </c>
      <c r="AP130" t="s">
        <v>432</v>
      </c>
    </row>
    <row r="131" spans="2:44" x14ac:dyDescent="0.25">
      <c r="X131" s="504"/>
      <c r="Z131" s="3" t="s">
        <v>762</v>
      </c>
      <c r="AA131" s="15" t="s">
        <v>814</v>
      </c>
      <c r="AB131" s="15"/>
      <c r="AC131" s="449">
        <v>0.58499999999999996</v>
      </c>
      <c r="AD131" s="3" t="s">
        <v>815</v>
      </c>
      <c r="AE131" s="450" t="s">
        <v>816</v>
      </c>
      <c r="AF131" s="15"/>
      <c r="AG131" s="449">
        <v>184</v>
      </c>
      <c r="AH131" s="3"/>
      <c r="AI131" s="450" t="s">
        <v>816</v>
      </c>
      <c r="AJ131" s="15"/>
      <c r="AK131" s="449">
        <v>230</v>
      </c>
      <c r="AL131" s="15"/>
      <c r="AM131" s="15"/>
    </row>
    <row r="132" spans="2:44" x14ac:dyDescent="0.25">
      <c r="X132" s="504"/>
      <c r="Z132" s="451" t="s">
        <v>817</v>
      </c>
      <c r="AA132" s="450" t="s">
        <v>818</v>
      </c>
      <c r="AB132" s="450"/>
      <c r="AC132" s="452">
        <v>0.03</v>
      </c>
      <c r="AD132" s="451"/>
      <c r="AE132" s="450" t="s">
        <v>818</v>
      </c>
      <c r="AF132" s="450"/>
      <c r="AG132" s="452">
        <v>0.03</v>
      </c>
      <c r="AH132" s="451"/>
      <c r="AI132" s="450" t="s">
        <v>819</v>
      </c>
      <c r="AJ132" s="450"/>
      <c r="AK132" s="452">
        <v>0.03</v>
      </c>
      <c r="AL132" s="450"/>
      <c r="AM132" s="450"/>
    </row>
    <row r="133" spans="2:44" ht="15.75" x14ac:dyDescent="0.25">
      <c r="B133" s="506" t="s">
        <v>370</v>
      </c>
      <c r="D133" s="18"/>
      <c r="E133" s="18"/>
      <c r="F133" s="18"/>
      <c r="X133" s="504"/>
      <c r="Z133" s="5" t="s">
        <v>693</v>
      </c>
      <c r="AD133" s="5"/>
      <c r="AE133" t="s">
        <v>816</v>
      </c>
      <c r="AG133">
        <v>53</v>
      </c>
      <c r="AH133" s="5" t="s">
        <v>820</v>
      </c>
    </row>
    <row r="134" spans="2:44" x14ac:dyDescent="0.25">
      <c r="B134" s="117"/>
      <c r="C134" s="117"/>
      <c r="D134" s="135" t="s">
        <v>1051</v>
      </c>
      <c r="E134" s="135" t="s">
        <v>667</v>
      </c>
      <c r="F134" s="135" t="s">
        <v>1052</v>
      </c>
      <c r="X134" s="504"/>
      <c r="Z134" s="5" t="s">
        <v>821</v>
      </c>
      <c r="AD134" s="5"/>
      <c r="AE134" s="450" t="s">
        <v>816</v>
      </c>
      <c r="AG134">
        <v>8</v>
      </c>
      <c r="AH134" s="5" t="s">
        <v>822</v>
      </c>
      <c r="AO134" s="14" t="s">
        <v>823</v>
      </c>
      <c r="AP134" s="15"/>
      <c r="AQ134" s="15"/>
      <c r="AR134" s="3"/>
    </row>
    <row r="135" spans="2:44" x14ac:dyDescent="0.25">
      <c r="B135" s="117" t="s">
        <v>768</v>
      </c>
      <c r="C135" s="117" t="s">
        <v>1017</v>
      </c>
      <c r="D135" s="508">
        <f>AG131*AI125*L6*R5</f>
        <v>3504.6630879999993</v>
      </c>
      <c r="E135" s="117" t="s">
        <v>1047</v>
      </c>
      <c r="F135" s="117"/>
      <c r="X135" s="504"/>
      <c r="Z135" s="9" t="s">
        <v>824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825</v>
      </c>
      <c r="AR135" s="5"/>
    </row>
    <row r="136" spans="2:44" x14ac:dyDescent="0.25">
      <c r="B136" s="117"/>
      <c r="C136" s="117" t="s">
        <v>1040</v>
      </c>
      <c r="D136" s="508">
        <f>D124</f>
        <v>725.14525500322793</v>
      </c>
      <c r="E136" s="117" t="s">
        <v>1048</v>
      </c>
      <c r="F136" s="117" t="s">
        <v>1049</v>
      </c>
      <c r="X136" s="504"/>
      <c r="Z136" s="5"/>
      <c r="AB136" t="s">
        <v>231</v>
      </c>
      <c r="AD136" s="5"/>
      <c r="AE136" t="s">
        <v>826</v>
      </c>
      <c r="AF136" t="s">
        <v>827</v>
      </c>
      <c r="AG136" s="453">
        <f>AG142*AO140</f>
        <v>1</v>
      </c>
      <c r="AH136" s="5"/>
      <c r="AI136" t="s">
        <v>828</v>
      </c>
      <c r="AJ136" t="s">
        <v>829</v>
      </c>
      <c r="AK136" s="446">
        <v>51</v>
      </c>
      <c r="AL136" t="s">
        <v>830</v>
      </c>
      <c r="AM136">
        <f>AK136/(AK137/1000)</f>
        <v>33.909574468085104</v>
      </c>
      <c r="AN136" t="s">
        <v>831</v>
      </c>
      <c r="AO136" s="4">
        <v>0</v>
      </c>
      <c r="AP136">
        <v>1</v>
      </c>
      <c r="AQ136" t="s">
        <v>832</v>
      </c>
      <c r="AR136" s="5"/>
    </row>
    <row r="137" spans="2:44" x14ac:dyDescent="0.25">
      <c r="B137" s="117"/>
      <c r="C137" s="117" t="s">
        <v>817</v>
      </c>
      <c r="D137" s="508">
        <f>D135*$F$137</f>
        <v>175.23315439999999</v>
      </c>
      <c r="E137" s="117" t="s">
        <v>1048</v>
      </c>
      <c r="F137" s="470">
        <v>0.05</v>
      </c>
      <c r="X137" s="504"/>
      <c r="Z137" s="5"/>
      <c r="AA137" t="s">
        <v>140</v>
      </c>
      <c r="AB137" t="s">
        <v>14</v>
      </c>
      <c r="AC137">
        <f>AC142/AC146</f>
        <v>1.3888888888888888</v>
      </c>
      <c r="AD137" s="5" t="s">
        <v>833</v>
      </c>
      <c r="AE137" t="s">
        <v>834</v>
      </c>
      <c r="AF137" t="s">
        <v>14</v>
      </c>
      <c r="AG137">
        <f>AO137+AO140*AP138</f>
        <v>0.753</v>
      </c>
      <c r="AH137" s="5" t="s">
        <v>835</v>
      </c>
      <c r="AI137" t="s">
        <v>828</v>
      </c>
      <c r="AJ137" t="s">
        <v>244</v>
      </c>
      <c r="AK137" s="446">
        <v>1504</v>
      </c>
      <c r="AL137" s="454"/>
      <c r="AO137" s="455">
        <v>0.66700000000000004</v>
      </c>
      <c r="AP137" s="446">
        <v>0.753</v>
      </c>
      <c r="AQ137" t="s">
        <v>834</v>
      </c>
      <c r="AR137" s="5"/>
    </row>
    <row r="138" spans="2:44" x14ac:dyDescent="0.25">
      <c r="B138" s="117"/>
      <c r="C138" s="117" t="s">
        <v>734</v>
      </c>
      <c r="D138" s="117">
        <v>20</v>
      </c>
      <c r="E138" s="117" t="s">
        <v>736</v>
      </c>
      <c r="F138" s="117" t="s">
        <v>1050</v>
      </c>
      <c r="X138" s="504"/>
      <c r="Z138" s="5"/>
      <c r="AD138" s="5"/>
      <c r="AE138" t="s">
        <v>828</v>
      </c>
      <c r="AF138" t="s">
        <v>836</v>
      </c>
      <c r="AG138" s="446">
        <v>50</v>
      </c>
      <c r="AH138" s="5"/>
      <c r="AI138" t="s">
        <v>837</v>
      </c>
      <c r="AJ138" t="s">
        <v>14</v>
      </c>
      <c r="AK138" s="446">
        <v>140</v>
      </c>
      <c r="AO138" s="7"/>
      <c r="AP138" s="8">
        <f>AP137-AO137</f>
        <v>8.5999999999999965E-2</v>
      </c>
      <c r="AQ138" s="8" t="s">
        <v>838</v>
      </c>
      <c r="AR138" s="9"/>
    </row>
    <row r="139" spans="2:44" x14ac:dyDescent="0.25">
      <c r="B139" s="117" t="s">
        <v>769</v>
      </c>
      <c r="C139" s="117" t="s">
        <v>20</v>
      </c>
      <c r="D139" s="117">
        <f>AG136</f>
        <v>1</v>
      </c>
      <c r="E139" s="117" t="s">
        <v>187</v>
      </c>
      <c r="F139" s="117"/>
      <c r="X139" s="504"/>
      <c r="Z139" s="5"/>
      <c r="AD139" s="5"/>
      <c r="AE139" t="s">
        <v>826</v>
      </c>
      <c r="AF139" t="s">
        <v>839</v>
      </c>
      <c r="AG139" s="453">
        <f>AG136*(1-AO140)/AO140</f>
        <v>0</v>
      </c>
      <c r="AH139" s="5" t="s">
        <v>840</v>
      </c>
    </row>
    <row r="140" spans="2:44" x14ac:dyDescent="0.25">
      <c r="B140" s="117"/>
      <c r="C140" s="117" t="s">
        <v>14</v>
      </c>
      <c r="D140" s="507">
        <f>AG137*1000000*J140</f>
        <v>2.7107999999999999</v>
      </c>
      <c r="E140" s="117" t="s">
        <v>540</v>
      </c>
      <c r="F140" s="117"/>
      <c r="I140" t="s">
        <v>882</v>
      </c>
      <c r="J140">
        <f>1000000*3600/1000000000000000</f>
        <v>3.5999999999999998E-6</v>
      </c>
      <c r="K140" t="s">
        <v>883</v>
      </c>
      <c r="X140" s="504"/>
      <c r="Z140" s="5"/>
      <c r="AD140" s="5"/>
      <c r="AH140" s="5"/>
      <c r="AO140" s="456">
        <f>'[16]Facility technicals and LCOE'!$H$6</f>
        <v>1</v>
      </c>
      <c r="AP140" s="453" t="s">
        <v>841</v>
      </c>
      <c r="AQ140" s="453"/>
      <c r="AR140" s="453"/>
    </row>
    <row r="141" spans="2:44" x14ac:dyDescent="0.25">
      <c r="B141" s="117" t="s">
        <v>391</v>
      </c>
      <c r="C141" s="117" t="s">
        <v>1079</v>
      </c>
      <c r="D141" s="117">
        <v>0.08</v>
      </c>
      <c r="E141" s="117" t="s">
        <v>1152</v>
      </c>
      <c r="F141" s="117" t="s">
        <v>1153</v>
      </c>
      <c r="X141" s="504"/>
      <c r="Z141" s="9" t="s">
        <v>842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4"/>
      <c r="Z142" s="5"/>
      <c r="AA142" t="s">
        <v>140</v>
      </c>
      <c r="AB142" t="s">
        <v>829</v>
      </c>
      <c r="AC142" s="453">
        <v>1</v>
      </c>
      <c r="AD142" s="5"/>
      <c r="AE142" t="s">
        <v>843</v>
      </c>
      <c r="AF142" t="s">
        <v>844</v>
      </c>
      <c r="AG142" s="453">
        <v>1</v>
      </c>
      <c r="AH142" s="5"/>
      <c r="AI142" t="s">
        <v>845</v>
      </c>
      <c r="AJ142" t="s">
        <v>827</v>
      </c>
      <c r="AK142" s="453">
        <v>1000</v>
      </c>
      <c r="AO142" t="s">
        <v>846</v>
      </c>
      <c r="AP142">
        <v>1.5</v>
      </c>
      <c r="AQ142" t="s">
        <v>847</v>
      </c>
    </row>
    <row r="143" spans="2:44" x14ac:dyDescent="0.25">
      <c r="G143" s="18" t="s">
        <v>732</v>
      </c>
      <c r="X143" s="504"/>
      <c r="Z143" s="5"/>
      <c r="AB143" t="s">
        <v>680</v>
      </c>
      <c r="AD143" s="5"/>
      <c r="AH143" s="5"/>
      <c r="AI143" t="s">
        <v>845</v>
      </c>
      <c r="AJ143" t="s">
        <v>829</v>
      </c>
    </row>
    <row r="144" spans="2:44" x14ac:dyDescent="0.25">
      <c r="B144" s="608"/>
      <c r="C144" s="608"/>
      <c r="D144" s="608" t="s">
        <v>1224</v>
      </c>
      <c r="E144" s="608"/>
      <c r="F144" s="608"/>
      <c r="G144" s="608"/>
      <c r="H144" s="608"/>
      <c r="I144" s="608"/>
      <c r="J144" s="608"/>
      <c r="K144" s="608"/>
      <c r="L144" s="608"/>
      <c r="M144" s="608"/>
      <c r="X144" s="504"/>
      <c r="Z144" s="5"/>
      <c r="AA144" t="s">
        <v>845</v>
      </c>
      <c r="AB144" t="s">
        <v>829</v>
      </c>
      <c r="AD144" s="5"/>
      <c r="AH144" s="5"/>
      <c r="AJ144" t="s">
        <v>231</v>
      </c>
    </row>
    <row r="145" spans="2:41" x14ac:dyDescent="0.25">
      <c r="B145" s="608" t="s">
        <v>1203</v>
      </c>
      <c r="C145" s="608" t="s">
        <v>1225</v>
      </c>
      <c r="D145" s="608" t="s">
        <v>1226</v>
      </c>
      <c r="E145" s="608" t="s">
        <v>896</v>
      </c>
      <c r="F145" s="608" t="s">
        <v>896</v>
      </c>
      <c r="G145" s="608" t="s">
        <v>896</v>
      </c>
      <c r="H145" s="608" t="s">
        <v>1010</v>
      </c>
      <c r="I145" s="608" t="s">
        <v>1285</v>
      </c>
      <c r="J145" s="608" t="s">
        <v>1284</v>
      </c>
      <c r="K145" s="608" t="s">
        <v>1286</v>
      </c>
      <c r="L145" s="608" t="s">
        <v>1279</v>
      </c>
      <c r="M145" s="608" t="s">
        <v>1014</v>
      </c>
      <c r="X145" s="504"/>
      <c r="Z145" s="9"/>
      <c r="AA145" s="8"/>
      <c r="AB145" s="8" t="s">
        <v>680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848</v>
      </c>
    </row>
    <row r="146" spans="2:41" x14ac:dyDescent="0.25">
      <c r="B146" s="502" t="s">
        <v>997</v>
      </c>
      <c r="C146" s="502" t="s">
        <v>1003</v>
      </c>
      <c r="D146" s="553"/>
      <c r="E146" s="557">
        <v>20.407577497129733</v>
      </c>
      <c r="F146" s="547"/>
      <c r="H146" s="556"/>
      <c r="I146" s="547"/>
      <c r="J146" s="547"/>
      <c r="L146" s="547"/>
      <c r="X146" s="504"/>
      <c r="Z146" s="5" t="s">
        <v>780</v>
      </c>
      <c r="AB146" t="s">
        <v>849</v>
      </c>
      <c r="AC146" s="457">
        <v>0.72</v>
      </c>
      <c r="AD146" s="5" t="s">
        <v>850</v>
      </c>
      <c r="AH146" s="5"/>
      <c r="AN146">
        <f>AN145/1000</f>
        <v>2.7108000000000003</v>
      </c>
      <c r="AO146" t="s">
        <v>146</v>
      </c>
    </row>
    <row r="147" spans="2:41" x14ac:dyDescent="0.25">
      <c r="C147" s="502" t="s">
        <v>1007</v>
      </c>
      <c r="D147" s="553"/>
      <c r="E147" s="556"/>
      <c r="F147" s="558">
        <v>4.0379205223880605</v>
      </c>
      <c r="H147" s="556"/>
      <c r="I147" s="547"/>
      <c r="J147" s="547"/>
      <c r="L147" s="547"/>
      <c r="X147" s="504"/>
      <c r="Z147" s="5" t="s">
        <v>734</v>
      </c>
      <c r="AA147" t="s">
        <v>736</v>
      </c>
      <c r="AC147">
        <v>10</v>
      </c>
      <c r="AD147" s="5"/>
      <c r="AE147" t="s">
        <v>748</v>
      </c>
      <c r="AG147">
        <v>20</v>
      </c>
      <c r="AH147" s="5"/>
      <c r="AI147" t="s">
        <v>748</v>
      </c>
      <c r="AK147">
        <v>20</v>
      </c>
    </row>
    <row r="148" spans="2:41" x14ac:dyDescent="0.25">
      <c r="C148" s="502" t="s">
        <v>1004</v>
      </c>
      <c r="G148">
        <f>D129</f>
        <v>0.74400000000000022</v>
      </c>
      <c r="X148" s="504"/>
    </row>
    <row r="149" spans="2:41" x14ac:dyDescent="0.25">
      <c r="D149" s="502" t="s">
        <v>1006</v>
      </c>
      <c r="E149" s="556"/>
      <c r="F149" s="556"/>
      <c r="H149" s="558">
        <f>D123</f>
        <v>4380.8288599999996</v>
      </c>
      <c r="I149" s="584">
        <f>D124</f>
        <v>725.14525500322793</v>
      </c>
      <c r="J149" s="584">
        <f>D125</f>
        <v>219.04144299999999</v>
      </c>
      <c r="K149">
        <f>D126</f>
        <v>20</v>
      </c>
      <c r="L149" s="547"/>
      <c r="M149">
        <v>2032</v>
      </c>
      <c r="O149" t="s">
        <v>1301</v>
      </c>
      <c r="X149" s="504"/>
      <c r="AK149" s="458"/>
    </row>
    <row r="150" spans="2:41" x14ac:dyDescent="0.25">
      <c r="B150" s="502" t="s">
        <v>999</v>
      </c>
      <c r="C150" s="502" t="s">
        <v>1006</v>
      </c>
      <c r="D150" s="553"/>
      <c r="E150" s="547">
        <v>1</v>
      </c>
      <c r="F150" s="547"/>
      <c r="H150" s="547"/>
      <c r="I150" s="560"/>
      <c r="J150" s="547"/>
      <c r="L150" s="547"/>
      <c r="O150" t="s">
        <v>1302</v>
      </c>
      <c r="X150" s="504"/>
    </row>
    <row r="151" spans="2:41" x14ac:dyDescent="0.25">
      <c r="C151" s="502" t="s">
        <v>1004</v>
      </c>
      <c r="E151" s="555"/>
      <c r="F151" s="301">
        <f>D140</f>
        <v>2.7107999999999999</v>
      </c>
      <c r="J151" s="556"/>
      <c r="K151" s="561"/>
      <c r="L151" s="556"/>
      <c r="X151" s="504"/>
    </row>
    <row r="152" spans="2:41" x14ac:dyDescent="0.25">
      <c r="C152" s="553"/>
      <c r="D152" s="502" t="s">
        <v>1005</v>
      </c>
      <c r="E152" s="555"/>
      <c r="H152" s="19">
        <f>D135</f>
        <v>3504.6630879999993</v>
      </c>
      <c r="I152" s="19">
        <f>D136</f>
        <v>725.14525500322793</v>
      </c>
      <c r="J152" s="585">
        <f>D137</f>
        <v>175.23315439999999</v>
      </c>
      <c r="K152" s="547">
        <f>D138</f>
        <v>20</v>
      </c>
      <c r="L152" s="547">
        <f>D141*1000</f>
        <v>80</v>
      </c>
      <c r="P152" s="556"/>
      <c r="R152" s="547"/>
      <c r="X152" s="504"/>
      <c r="AO152" s="458"/>
    </row>
    <row r="153" spans="2:41" x14ac:dyDescent="0.25">
      <c r="X153" s="504"/>
    </row>
    <row r="154" spans="2:41" x14ac:dyDescent="0.25">
      <c r="X154" s="504"/>
    </row>
    <row r="155" spans="2:41" x14ac:dyDescent="0.25">
      <c r="X155" s="504"/>
    </row>
    <row r="156" spans="2:41" x14ac:dyDescent="0.25">
      <c r="X156" s="504"/>
    </row>
    <row r="157" spans="2:41" ht="21" x14ac:dyDescent="0.35">
      <c r="B157" s="441" t="s">
        <v>1282</v>
      </c>
      <c r="X157" s="504"/>
    </row>
    <row r="158" spans="2:41" x14ac:dyDescent="0.25">
      <c r="X158" s="504"/>
    </row>
    <row r="159" spans="2:41" x14ac:dyDescent="0.25">
      <c r="B159" t="s">
        <v>1173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1174</v>
      </c>
      <c r="X159" s="504"/>
    </row>
    <row r="160" spans="2:41" x14ac:dyDescent="0.25">
      <c r="D160" s="119">
        <f>D159*$H$159</f>
        <v>4084.9852746535375</v>
      </c>
      <c r="E160" s="119" t="s">
        <v>1175</v>
      </c>
      <c r="X160" s="504"/>
    </row>
    <row r="161" spans="2:24" x14ac:dyDescent="0.25">
      <c r="X161" s="504"/>
    </row>
    <row r="162" spans="2:24" x14ac:dyDescent="0.25">
      <c r="F162" s="18"/>
      <c r="G162" s="18"/>
      <c r="X162" s="504"/>
    </row>
    <row r="163" spans="2:24" x14ac:dyDescent="0.25">
      <c r="B163" s="610"/>
      <c r="C163" s="608"/>
      <c r="D163" s="611" t="s">
        <v>1224</v>
      </c>
      <c r="E163" s="611"/>
      <c r="F163" s="608" t="s">
        <v>732</v>
      </c>
      <c r="G163" s="18"/>
      <c r="X163" s="504"/>
    </row>
    <row r="164" spans="2:24" x14ac:dyDescent="0.25">
      <c r="B164" s="608" t="s">
        <v>1203</v>
      </c>
      <c r="C164" s="608" t="s">
        <v>1225</v>
      </c>
      <c r="D164" s="608" t="s">
        <v>1226</v>
      </c>
      <c r="E164" s="608" t="s">
        <v>913</v>
      </c>
      <c r="F164" s="608" t="s">
        <v>904</v>
      </c>
      <c r="G164" s="18"/>
      <c r="I164" s="549"/>
      <c r="X164" s="504"/>
    </row>
    <row r="165" spans="2:24" x14ac:dyDescent="0.25">
      <c r="B165" s="502" t="s">
        <v>1002</v>
      </c>
      <c r="C165" s="502" t="s">
        <v>1005</v>
      </c>
      <c r="D165" s="99" t="s">
        <v>39</v>
      </c>
      <c r="E165">
        <v>1</v>
      </c>
      <c r="G165" s="18"/>
      <c r="X165" s="504"/>
    </row>
    <row r="166" spans="2:24" x14ac:dyDescent="0.25">
      <c r="B166" t="s">
        <v>1176</v>
      </c>
      <c r="C166" s="502" t="s">
        <v>1006</v>
      </c>
      <c r="E166">
        <v>1</v>
      </c>
      <c r="F166">
        <v>-4162.2431015000002</v>
      </c>
      <c r="G166" s="18"/>
      <c r="I166" s="355" t="s">
        <v>1297</v>
      </c>
      <c r="X166" s="504"/>
    </row>
    <row r="167" spans="2:24" x14ac:dyDescent="0.25">
      <c r="B167" s="502" t="s">
        <v>994</v>
      </c>
      <c r="D167" s="502" t="s">
        <v>1007</v>
      </c>
      <c r="E167">
        <v>1</v>
      </c>
      <c r="F167">
        <v>1400</v>
      </c>
      <c r="I167" s="355" t="s">
        <v>1280</v>
      </c>
      <c r="X167" s="504"/>
    </row>
    <row r="168" spans="2:24" x14ac:dyDescent="0.25">
      <c r="X168" s="504"/>
    </row>
    <row r="169" spans="2:24" x14ac:dyDescent="0.25">
      <c r="X169" s="504"/>
    </row>
    <row r="170" spans="2:24" x14ac:dyDescent="0.25">
      <c r="X170" s="504"/>
    </row>
    <row r="171" spans="2:24" x14ac:dyDescent="0.25">
      <c r="X171" s="504"/>
    </row>
    <row r="172" spans="2:24" x14ac:dyDescent="0.25">
      <c r="X172" s="504"/>
    </row>
    <row r="173" spans="2:24" ht="21" x14ac:dyDescent="0.35">
      <c r="B173" s="441" t="s">
        <v>1283</v>
      </c>
      <c r="X173" s="504"/>
    </row>
    <row r="174" spans="2:24" x14ac:dyDescent="0.25">
      <c r="X174" s="504"/>
    </row>
    <row r="175" spans="2:24" x14ac:dyDescent="0.25">
      <c r="B175" s="544" t="s">
        <v>1202</v>
      </c>
      <c r="C175" s="545"/>
      <c r="H175" s="545"/>
      <c r="I175" s="484"/>
      <c r="X175" s="504"/>
    </row>
    <row r="176" spans="2:24" x14ac:dyDescent="0.25">
      <c r="B176" s="546" t="s">
        <v>1203</v>
      </c>
      <c r="C176" s="546" t="s">
        <v>1204</v>
      </c>
      <c r="D176" s="546" t="s">
        <v>1205</v>
      </c>
      <c r="E176" s="546" t="s">
        <v>1206</v>
      </c>
      <c r="F176" s="546" t="s">
        <v>1207</v>
      </c>
      <c r="G176" s="546" t="s">
        <v>1208</v>
      </c>
      <c r="H176" s="546" t="s">
        <v>1295</v>
      </c>
      <c r="I176" s="484"/>
      <c r="X176" s="504"/>
    </row>
    <row r="177" spans="2:33" x14ac:dyDescent="0.25">
      <c r="B177" s="502" t="s">
        <v>1002</v>
      </c>
      <c r="C177" s="502" t="str">
        <f t="shared" ref="C177:C186" si="8">"Industry - I&amp;S - "&amp;J177</f>
        <v>Industry - I&amp;S - ToLocalSteelMarket</v>
      </c>
      <c r="D177" t="s">
        <v>140</v>
      </c>
      <c r="E177" t="s">
        <v>1214</v>
      </c>
      <c r="F177" t="s">
        <v>1012</v>
      </c>
      <c r="G177" t="s">
        <v>1215</v>
      </c>
      <c r="H177" s="484"/>
      <c r="I177" s="484"/>
      <c r="J177" t="s">
        <v>1268</v>
      </c>
      <c r="X177" s="504"/>
    </row>
    <row r="178" spans="2:33" x14ac:dyDescent="0.25">
      <c r="B178" s="502" t="s">
        <v>1001</v>
      </c>
      <c r="C178" s="502" t="str">
        <f t="shared" si="8"/>
        <v>Industry - I&amp;S - Alkaline Electrolysers</v>
      </c>
      <c r="D178" s="502" t="s">
        <v>140</v>
      </c>
      <c r="E178" t="s">
        <v>1288</v>
      </c>
      <c r="F178" s="501" t="s">
        <v>1012</v>
      </c>
      <c r="G178" t="s">
        <v>1215</v>
      </c>
      <c r="H178" s="484" t="str">
        <f>E81</f>
        <v>IISELC</v>
      </c>
      <c r="I178" s="484"/>
      <c r="J178" t="s">
        <v>1277</v>
      </c>
      <c r="N178" t="s">
        <v>1296</v>
      </c>
      <c r="X178" s="504"/>
    </row>
    <row r="179" spans="2:33" x14ac:dyDescent="0.25">
      <c r="B179" s="502" t="s">
        <v>1000</v>
      </c>
      <c r="C179" s="502" t="str">
        <f t="shared" si="8"/>
        <v>Industry - I&amp;S - Battery</v>
      </c>
      <c r="D179" s="502" t="s">
        <v>140</v>
      </c>
      <c r="E179" t="s">
        <v>1288</v>
      </c>
      <c r="F179" s="501" t="s">
        <v>1012</v>
      </c>
      <c r="G179" t="s">
        <v>1215</v>
      </c>
      <c r="H179" s="484"/>
      <c r="I179" s="484"/>
      <c r="J179" t="s">
        <v>1269</v>
      </c>
      <c r="X179" s="504"/>
    </row>
    <row r="180" spans="2:33" x14ac:dyDescent="0.25">
      <c r="B180" s="502" t="s">
        <v>999</v>
      </c>
      <c r="C180" s="502" t="str">
        <f t="shared" si="8"/>
        <v>Industry - I&amp;S - Electric Arc</v>
      </c>
      <c r="D180" t="s">
        <v>140</v>
      </c>
      <c r="E180" t="s">
        <v>1214</v>
      </c>
      <c r="F180" s="501" t="s">
        <v>1011</v>
      </c>
      <c r="G180" t="s">
        <v>1215</v>
      </c>
      <c r="H180" s="484"/>
      <c r="I180" s="484"/>
      <c r="J180" t="s">
        <v>1276</v>
      </c>
      <c r="X180" s="504"/>
    </row>
    <row r="181" spans="2:33" x14ac:dyDescent="0.25">
      <c r="B181" s="502" t="s">
        <v>998</v>
      </c>
      <c r="C181" s="502" t="str">
        <f t="shared" si="8"/>
        <v>Industry - I&amp;S - HBI Storage</v>
      </c>
      <c r="D181" t="s">
        <v>140</v>
      </c>
      <c r="E181" t="s">
        <v>1214</v>
      </c>
      <c r="F181" s="501" t="s">
        <v>1012</v>
      </c>
      <c r="G181" t="s">
        <v>1215</v>
      </c>
      <c r="H181" s="484"/>
      <c r="I181" s="484"/>
      <c r="J181" t="s">
        <v>1275</v>
      </c>
      <c r="X181" s="504"/>
      <c r="AB181" t="s">
        <v>875</v>
      </c>
      <c r="AC181" t="s">
        <v>876</v>
      </c>
    </row>
    <row r="182" spans="2:33" x14ac:dyDescent="0.25">
      <c r="B182" s="502" t="s">
        <v>997</v>
      </c>
      <c r="C182" s="502" t="str">
        <f t="shared" si="8"/>
        <v>Industry - I&amp;S - H2 DRI</v>
      </c>
      <c r="D182" t="s">
        <v>140</v>
      </c>
      <c r="E182" t="s">
        <v>1214</v>
      </c>
      <c r="F182" s="501" t="s">
        <v>1012</v>
      </c>
      <c r="G182" t="s">
        <v>1215</v>
      </c>
      <c r="H182" s="484"/>
      <c r="I182" s="484"/>
      <c r="J182" t="s">
        <v>1273</v>
      </c>
      <c r="X182" s="504"/>
      <c r="AA182" t="s">
        <v>192</v>
      </c>
      <c r="AB182">
        <v>100</v>
      </c>
      <c r="AC182">
        <v>175</v>
      </c>
      <c r="AD182">
        <v>175</v>
      </c>
      <c r="AE182" s="434">
        <f>AD182*'[16]Facility technicals and LCOE'!$D$4</f>
        <v>3500</v>
      </c>
      <c r="AF182">
        <f>235-175</f>
        <v>60</v>
      </c>
    </row>
    <row r="183" spans="2:33" x14ac:dyDescent="0.25">
      <c r="B183" s="502" t="s">
        <v>996</v>
      </c>
      <c r="C183" s="502" t="str">
        <f t="shared" si="8"/>
        <v>Industry - I&amp;S - H2 Storage</v>
      </c>
      <c r="D183" t="s">
        <v>140</v>
      </c>
      <c r="E183" t="s">
        <v>1214</v>
      </c>
      <c r="F183" s="501" t="s">
        <v>1012</v>
      </c>
      <c r="G183" t="s">
        <v>1215</v>
      </c>
      <c r="H183" s="484"/>
      <c r="I183" s="484"/>
      <c r="J183" t="s">
        <v>1274</v>
      </c>
      <c r="X183" s="504"/>
      <c r="AA183" t="s">
        <v>877</v>
      </c>
      <c r="AB183">
        <v>100</v>
      </c>
      <c r="AC183">
        <v>235</v>
      </c>
      <c r="AD183">
        <f>AC183-AC182</f>
        <v>60</v>
      </c>
      <c r="AE183" s="434">
        <f>AD183*'[16]Facility technicals and LCOE'!$D$4</f>
        <v>1200</v>
      </c>
      <c r="AG183" t="s">
        <v>1023</v>
      </c>
    </row>
    <row r="184" spans="2:33" x14ac:dyDescent="0.25">
      <c r="B184" s="502" t="s">
        <v>994</v>
      </c>
      <c r="C184" s="502" t="str">
        <f t="shared" si="8"/>
        <v>Industry - I&amp;S - Iron Ore Mining</v>
      </c>
      <c r="D184" t="s">
        <v>140</v>
      </c>
      <c r="E184" t="s">
        <v>1214</v>
      </c>
      <c r="F184" s="501" t="s">
        <v>1012</v>
      </c>
      <c r="G184" t="s">
        <v>1215</v>
      </c>
      <c r="H184" s="484"/>
      <c r="I184" s="484"/>
      <c r="J184" t="s">
        <v>1270</v>
      </c>
      <c r="X184" s="504"/>
      <c r="AA184" t="s">
        <v>878</v>
      </c>
      <c r="AB184">
        <v>100</v>
      </c>
      <c r="AC184">
        <v>350</v>
      </c>
      <c r="AD184">
        <f>AC184-AC183</f>
        <v>115</v>
      </c>
      <c r="AE184" s="434">
        <f>AD184*'[16]Facility technicals and LCOE'!$D$4</f>
        <v>2300</v>
      </c>
    </row>
    <row r="185" spans="2:33" x14ac:dyDescent="0.25">
      <c r="B185" s="502" t="s">
        <v>993</v>
      </c>
      <c r="C185" s="502" t="str">
        <f t="shared" si="8"/>
        <v>Industry - I&amp;S - Electricity To - GreenSteel</v>
      </c>
      <c r="D185" t="s">
        <v>140</v>
      </c>
      <c r="E185" t="s">
        <v>1214</v>
      </c>
      <c r="F185" s="501" t="s">
        <v>1011</v>
      </c>
      <c r="G185" t="s">
        <v>1215</v>
      </c>
      <c r="H185" s="484"/>
      <c r="I185" s="484"/>
      <c r="J185" t="s">
        <v>1278</v>
      </c>
      <c r="X185" s="504"/>
      <c r="AA185" t="s">
        <v>879</v>
      </c>
      <c r="AB185">
        <v>100</v>
      </c>
      <c r="AC185">
        <v>590</v>
      </c>
      <c r="AD185">
        <f>AC185-AC184</f>
        <v>240</v>
      </c>
      <c r="AE185" s="434">
        <f>AD185*'[16]Facility technicals and LCOE'!$D$4</f>
        <v>4800</v>
      </c>
    </row>
    <row r="186" spans="2:33" x14ac:dyDescent="0.25">
      <c r="B186" t="s">
        <v>1176</v>
      </c>
      <c r="C186" s="502" t="str">
        <f t="shared" si="8"/>
        <v>Industry - I&amp;S - Export Green Iron</v>
      </c>
      <c r="D186" t="s">
        <v>140</v>
      </c>
      <c r="E186" t="s">
        <v>1214</v>
      </c>
      <c r="F186" s="501" t="s">
        <v>1012</v>
      </c>
      <c r="G186" t="s">
        <v>1215</v>
      </c>
      <c r="H186" s="484"/>
      <c r="I186" s="484"/>
      <c r="J186" t="s">
        <v>1272</v>
      </c>
      <c r="X186" s="504"/>
      <c r="AA186" t="s">
        <v>880</v>
      </c>
      <c r="AB186">
        <v>100</v>
      </c>
      <c r="AC186">
        <v>650</v>
      </c>
      <c r="AD186">
        <f>AC186-AC185</f>
        <v>60</v>
      </c>
      <c r="AE186" s="434">
        <f>AD186*'[16]Facility technicals and LCOE'!$D$4</f>
        <v>1200</v>
      </c>
    </row>
    <row r="187" spans="2:33" x14ac:dyDescent="0.25">
      <c r="X187" s="504"/>
    </row>
    <row r="188" spans="2:33" x14ac:dyDescent="0.25">
      <c r="X188" s="504"/>
    </row>
    <row r="189" spans="2:33" x14ac:dyDescent="0.25">
      <c r="X189" s="504"/>
    </row>
    <row r="190" spans="2:33" x14ac:dyDescent="0.25">
      <c r="B190" s="608" t="s">
        <v>1230</v>
      </c>
      <c r="C190" s="608"/>
      <c r="D190" s="608"/>
      <c r="E190" s="608"/>
      <c r="F190" s="608"/>
      <c r="G190" s="608"/>
      <c r="H190" s="608"/>
      <c r="I190" s="608"/>
      <c r="J190" s="608"/>
      <c r="X190" s="504"/>
    </row>
    <row r="191" spans="2:33" x14ac:dyDescent="0.25">
      <c r="B191" s="608" t="s">
        <v>1231</v>
      </c>
      <c r="C191" s="608" t="s">
        <v>1232</v>
      </c>
      <c r="D191" s="608" t="s">
        <v>1233</v>
      </c>
      <c r="E191" s="608" t="s">
        <v>1234</v>
      </c>
      <c r="F191" s="608" t="s">
        <v>667</v>
      </c>
      <c r="G191" s="608" t="s">
        <v>1235</v>
      </c>
      <c r="H191" s="608" t="s">
        <v>1236</v>
      </c>
      <c r="I191" s="608" t="s">
        <v>1237</v>
      </c>
      <c r="J191" s="608" t="s">
        <v>1238</v>
      </c>
      <c r="X191" s="504"/>
    </row>
    <row r="192" spans="2:33" ht="39.75" thickBot="1" x14ac:dyDescent="0.3">
      <c r="B192" s="567" t="s">
        <v>1239</v>
      </c>
      <c r="C192" s="568" t="s">
        <v>1240</v>
      </c>
      <c r="D192" s="567" t="s">
        <v>1241</v>
      </c>
      <c r="E192" s="567" t="s">
        <v>1242</v>
      </c>
      <c r="F192" s="567" t="s">
        <v>667</v>
      </c>
      <c r="G192" s="567" t="s">
        <v>1243</v>
      </c>
      <c r="H192" s="567" t="s">
        <v>1244</v>
      </c>
      <c r="I192" s="567" t="s">
        <v>1245</v>
      </c>
      <c r="J192" s="567" t="s">
        <v>1246</v>
      </c>
      <c r="X192" s="504"/>
    </row>
    <row r="193" spans="2:24" x14ac:dyDescent="0.25">
      <c r="B193" s="569" t="s">
        <v>1248</v>
      </c>
      <c r="C193" s="569" t="s">
        <v>1008</v>
      </c>
      <c r="D193" s="502" t="s">
        <v>1007</v>
      </c>
      <c r="E193" s="502" t="str">
        <f t="shared" ref="E193:E198" si="9">"Industry - I&amp;S - "&amp;L193</f>
        <v>Industry - I&amp;S - Iron Ore</v>
      </c>
      <c r="F193" s="502" t="s">
        <v>140</v>
      </c>
      <c r="G193" s="502"/>
      <c r="H193" s="484"/>
      <c r="I193" s="484"/>
      <c r="J193" s="484"/>
      <c r="K193" s="484"/>
      <c r="L193" t="s">
        <v>1266</v>
      </c>
      <c r="X193" s="504"/>
    </row>
    <row r="194" spans="2:24" x14ac:dyDescent="0.25">
      <c r="B194" s="569" t="s">
        <v>1248</v>
      </c>
      <c r="C194" s="569" t="s">
        <v>1008</v>
      </c>
      <c r="D194" s="502" t="s">
        <v>1006</v>
      </c>
      <c r="E194" s="502" t="str">
        <f t="shared" si="9"/>
        <v>Industry - I&amp;S - GreenHBI</v>
      </c>
      <c r="F194" s="502" t="s">
        <v>140</v>
      </c>
      <c r="G194" s="502"/>
      <c r="H194" s="484"/>
      <c r="I194" s="484"/>
      <c r="J194" s="484"/>
      <c r="K194" s="484"/>
      <c r="L194" t="s">
        <v>1281</v>
      </c>
      <c r="X194" s="504"/>
    </row>
    <row r="195" spans="2:24" x14ac:dyDescent="0.25">
      <c r="B195" s="569" t="s">
        <v>1248</v>
      </c>
      <c r="C195" s="569" t="s">
        <v>1008</v>
      </c>
      <c r="D195" s="502" t="s">
        <v>1005</v>
      </c>
      <c r="E195" s="502" t="str">
        <f t="shared" si="9"/>
        <v>Industry - I&amp;S - GreenSteel</v>
      </c>
      <c r="F195" s="502" t="s">
        <v>140</v>
      </c>
      <c r="G195" s="502"/>
      <c r="H195" s="484"/>
      <c r="I195" s="484"/>
      <c r="J195" s="484"/>
      <c r="K195" s="484"/>
      <c r="L195" t="s">
        <v>1267</v>
      </c>
      <c r="X195" s="504"/>
    </row>
    <row r="196" spans="2:24" x14ac:dyDescent="0.25">
      <c r="B196" s="569" t="s">
        <v>1248</v>
      </c>
      <c r="C196" s="569" t="s">
        <v>1008</v>
      </c>
      <c r="D196" s="502" t="s">
        <v>1004</v>
      </c>
      <c r="E196" s="502" t="str">
        <f t="shared" si="9"/>
        <v>Industry - I&amp;S - Electricity</v>
      </c>
      <c r="F196" s="502" t="s">
        <v>140</v>
      </c>
      <c r="G196" s="502"/>
      <c r="H196" s="501" t="s">
        <v>1011</v>
      </c>
      <c r="I196" s="484"/>
      <c r="J196" s="484"/>
      <c r="K196" s="484"/>
      <c r="L196" t="s">
        <v>14</v>
      </c>
      <c r="X196" s="504"/>
    </row>
    <row r="197" spans="2:24" x14ac:dyDescent="0.25">
      <c r="B197" s="569" t="s">
        <v>1248</v>
      </c>
      <c r="C197" s="569" t="s">
        <v>1008</v>
      </c>
      <c r="D197" s="502" t="s">
        <v>1003</v>
      </c>
      <c r="E197" s="502" t="str">
        <f t="shared" si="9"/>
        <v>Industry - I&amp;S - Hydrogen</v>
      </c>
      <c r="F197" s="502" t="s">
        <v>140</v>
      </c>
      <c r="G197" s="502"/>
      <c r="H197" s="484"/>
      <c r="I197" s="484"/>
      <c r="J197" s="484"/>
      <c r="K197" s="484"/>
      <c r="L197" t="s">
        <v>829</v>
      </c>
      <c r="X197" s="504"/>
    </row>
    <row r="198" spans="2:24" x14ac:dyDescent="0.25">
      <c r="B198" s="569" t="s">
        <v>1248</v>
      </c>
      <c r="C198" s="569" t="s">
        <v>1008</v>
      </c>
      <c r="D198" t="s">
        <v>1177</v>
      </c>
      <c r="E198" s="502" t="str">
        <f t="shared" si="9"/>
        <v>Industry - I&amp;S - DummyCommodity</v>
      </c>
      <c r="F198" t="s">
        <v>140</v>
      </c>
      <c r="H198" s="484"/>
      <c r="I198" s="484"/>
      <c r="J198" s="484"/>
      <c r="K198" s="484"/>
      <c r="L198" t="s">
        <v>1271</v>
      </c>
      <c r="X198" s="504"/>
    </row>
    <row r="199" spans="2:24" x14ac:dyDescent="0.25">
      <c r="X199" s="504"/>
    </row>
    <row r="200" spans="2:24" x14ac:dyDescent="0.25">
      <c r="X200" s="504"/>
    </row>
    <row r="201" spans="2:24" x14ac:dyDescent="0.25">
      <c r="X201" s="504"/>
    </row>
    <row r="202" spans="2:24" x14ac:dyDescent="0.25">
      <c r="X202" s="504"/>
    </row>
    <row r="203" spans="2:24" x14ac:dyDescent="0.25">
      <c r="X203" s="504"/>
    </row>
    <row r="204" spans="2:24" x14ac:dyDescent="0.25">
      <c r="X204" s="504"/>
    </row>
    <row r="205" spans="2:24" x14ac:dyDescent="0.25">
      <c r="X205" s="504"/>
    </row>
    <row r="206" spans="2:24" x14ac:dyDescent="0.25">
      <c r="X206" s="504"/>
    </row>
    <row r="207" spans="2:24" x14ac:dyDescent="0.25">
      <c r="X207" s="504"/>
    </row>
    <row r="208" spans="2:24" x14ac:dyDescent="0.25">
      <c r="X208" s="504"/>
    </row>
    <row r="209" spans="24:40" x14ac:dyDescent="0.25">
      <c r="X209" s="504"/>
      <c r="AB209" t="s">
        <v>857</v>
      </c>
    </row>
    <row r="210" spans="24:40" x14ac:dyDescent="0.25">
      <c r="X210" s="504"/>
      <c r="AB210" t="s">
        <v>862</v>
      </c>
      <c r="AC210" s="285" t="s">
        <v>863</v>
      </c>
      <c r="AD210" s="285"/>
      <c r="AE210" s="285"/>
      <c r="AF210" s="285"/>
      <c r="AG210" s="285"/>
      <c r="AH210" s="285"/>
    </row>
    <row r="211" spans="24:40" x14ac:dyDescent="0.25">
      <c r="X211" s="504"/>
      <c r="AB211" s="285">
        <v>1</v>
      </c>
      <c r="AC211">
        <v>0.66700000000000004</v>
      </c>
    </row>
    <row r="212" spans="24:40" x14ac:dyDescent="0.25">
      <c r="X212" s="504"/>
      <c r="AB212" s="285">
        <v>0</v>
      </c>
      <c r="AC212">
        <v>3.48</v>
      </c>
      <c r="AG212" s="363">
        <f>AC212-AC215</f>
        <v>0.75999999999999979</v>
      </c>
      <c r="AH212" t="s">
        <v>868</v>
      </c>
    </row>
    <row r="213" spans="24:40" x14ac:dyDescent="0.25">
      <c r="X213" s="504"/>
      <c r="AB213" s="285">
        <v>0.2</v>
      </c>
      <c r="AC213">
        <v>2.16</v>
      </c>
      <c r="AD213" t="s">
        <v>869</v>
      </c>
      <c r="AG213">
        <f>AC216</f>
        <v>2.41</v>
      </c>
      <c r="AH213" t="s">
        <v>870</v>
      </c>
      <c r="AJ213" s="122">
        <f>AG213/AG214</f>
        <v>0.69252873563218398</v>
      </c>
    </row>
    <row r="214" spans="24:40" x14ac:dyDescent="0.25">
      <c r="X214" s="504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871</v>
      </c>
    </row>
    <row r="215" spans="24:40" x14ac:dyDescent="0.25">
      <c r="X215" s="504"/>
      <c r="AB215" s="285">
        <v>0</v>
      </c>
      <c r="AC215">
        <v>2.72</v>
      </c>
      <c r="AG215">
        <f>AC217</f>
        <v>2.9</v>
      </c>
      <c r="AH215" t="s">
        <v>873</v>
      </c>
    </row>
    <row r="216" spans="24:40" x14ac:dyDescent="0.25">
      <c r="X216" s="504"/>
      <c r="AB216" s="285">
        <v>0</v>
      </c>
      <c r="AC216">
        <v>2.41</v>
      </c>
      <c r="AE216" s="268">
        <f>AC215-AC216</f>
        <v>0.31000000000000005</v>
      </c>
      <c r="AF216" t="s">
        <v>874</v>
      </c>
    </row>
    <row r="217" spans="24:40" x14ac:dyDescent="0.25">
      <c r="X217" s="504"/>
      <c r="AB217" s="285">
        <v>0.2</v>
      </c>
      <c r="AC217">
        <v>2.9</v>
      </c>
    </row>
    <row r="218" spans="24:40" x14ac:dyDescent="0.25">
      <c r="X218" s="504"/>
    </row>
    <row r="219" spans="24:40" x14ac:dyDescent="0.25">
      <c r="X219" s="504"/>
    </row>
    <row r="220" spans="24:40" x14ac:dyDescent="0.25">
      <c r="X220" s="504"/>
      <c r="AK220" s="459"/>
    </row>
    <row r="221" spans="24:40" x14ac:dyDescent="0.25">
      <c r="X221" s="504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0"/>
      <c r="AL221" s="8"/>
      <c r="AM221" s="8"/>
      <c r="AN221" s="8"/>
    </row>
    <row r="222" spans="24:40" x14ac:dyDescent="0.25">
      <c r="X222" s="504"/>
    </row>
    <row r="223" spans="24:40" x14ac:dyDescent="0.25">
      <c r="X223" s="504"/>
      <c r="Z223" t="s">
        <v>852</v>
      </c>
    </row>
    <row r="224" spans="24:40" x14ac:dyDescent="0.25">
      <c r="X224" s="504"/>
      <c r="Z224">
        <v>30.6</v>
      </c>
      <c r="AA224" t="s">
        <v>853</v>
      </c>
      <c r="AB224" s="118" t="s">
        <v>854</v>
      </c>
    </row>
    <row r="225" spans="24:38" x14ac:dyDescent="0.25">
      <c r="X225" s="504"/>
      <c r="Z225">
        <f>Z224*AK228</f>
        <v>489.6</v>
      </c>
      <c r="AA225" t="s">
        <v>855</v>
      </c>
      <c r="AK225" t="s">
        <v>856</v>
      </c>
    </row>
    <row r="226" spans="24:38" x14ac:dyDescent="0.25">
      <c r="X226" s="504"/>
    </row>
    <row r="227" spans="24:38" x14ac:dyDescent="0.25">
      <c r="X227" s="504"/>
      <c r="Z227" t="s">
        <v>858</v>
      </c>
      <c r="AK227" t="s">
        <v>860</v>
      </c>
      <c r="AL227" t="s">
        <v>861</v>
      </c>
    </row>
    <row r="228" spans="24:38" x14ac:dyDescent="0.25">
      <c r="X228" s="504"/>
      <c r="Z228" t="s">
        <v>864</v>
      </c>
      <c r="AK228">
        <v>16</v>
      </c>
      <c r="AL228">
        <v>2018</v>
      </c>
    </row>
    <row r="229" spans="24:38" x14ac:dyDescent="0.25">
      <c r="X229" s="504"/>
      <c r="Z229">
        <v>135</v>
      </c>
      <c r="AA229" t="s">
        <v>865</v>
      </c>
      <c r="AB229">
        <v>405</v>
      </c>
      <c r="AC229" t="s">
        <v>866</v>
      </c>
      <c r="AD229" s="118" t="s">
        <v>867</v>
      </c>
    </row>
    <row r="230" spans="24:38" x14ac:dyDescent="0.25">
      <c r="X230" s="504"/>
      <c r="Z230">
        <f>(Z229+AB229)/2</f>
        <v>270</v>
      </c>
      <c r="AA230" t="s">
        <v>785</v>
      </c>
    </row>
    <row r="231" spans="24:38" x14ac:dyDescent="0.25">
      <c r="X231" s="504"/>
    </row>
    <row r="232" spans="24:38" x14ac:dyDescent="0.25">
      <c r="X232" s="504"/>
      <c r="Z232">
        <f>Z230*1000/(12*20*8)</f>
        <v>140.625</v>
      </c>
      <c r="AA232" t="s">
        <v>872</v>
      </c>
    </row>
    <row r="233" spans="24:38" x14ac:dyDescent="0.25">
      <c r="X233" s="504"/>
    </row>
    <row r="234" spans="24:38" x14ac:dyDescent="0.25">
      <c r="X234" s="504"/>
    </row>
    <row r="235" spans="24:38" x14ac:dyDescent="0.25">
      <c r="X235" s="504"/>
    </row>
    <row r="236" spans="24:38" x14ac:dyDescent="0.25">
      <c r="X236" s="504"/>
    </row>
    <row r="237" spans="24:38" x14ac:dyDescent="0.25">
      <c r="X237" s="504"/>
    </row>
    <row r="238" spans="24:38" x14ac:dyDescent="0.25">
      <c r="X238" s="504"/>
      <c r="Z238" s="11" t="s">
        <v>1164</v>
      </c>
      <c r="AA238" s="8"/>
      <c r="AB238" s="8"/>
      <c r="AC238" s="8"/>
      <c r="AD238" s="8"/>
      <c r="AE238" s="8"/>
      <c r="AF238" s="8"/>
    </row>
    <row r="239" spans="24:38" x14ac:dyDescent="0.25">
      <c r="X239" s="504"/>
      <c r="Z239" s="118" t="s">
        <v>1165</v>
      </c>
    </row>
    <row r="240" spans="24:38" x14ac:dyDescent="0.25">
      <c r="X240" s="504"/>
    </row>
    <row r="241" spans="24:31" x14ac:dyDescent="0.25">
      <c r="X241" s="504"/>
      <c r="Z241" t="s">
        <v>1166</v>
      </c>
      <c r="AA241">
        <f>AVERAGE(AB292:AB303)</f>
        <v>342.83333333333331</v>
      </c>
      <c r="AB241" t="s">
        <v>1167</v>
      </c>
    </row>
    <row r="242" spans="24:31" x14ac:dyDescent="0.25">
      <c r="X242" s="504"/>
      <c r="AB242" s="616" t="s">
        <v>1168</v>
      </c>
      <c r="AC242" s="616"/>
      <c r="AD242" s="616"/>
      <c r="AE242" t="s">
        <v>1169</v>
      </c>
    </row>
    <row r="243" spans="24:31" ht="15.75" thickBot="1" x14ac:dyDescent="0.3">
      <c r="X243" s="504"/>
      <c r="AB243" t="s">
        <v>1166</v>
      </c>
      <c r="AC243" t="s">
        <v>1170</v>
      </c>
      <c r="AD243" t="s">
        <v>1171</v>
      </c>
      <c r="AE243" t="s">
        <v>1172</v>
      </c>
    </row>
    <row r="244" spans="24:31" ht="15.75" thickBot="1" x14ac:dyDescent="0.3">
      <c r="X244" s="504"/>
      <c r="Z244" s="539">
        <v>2015</v>
      </c>
      <c r="AA244" s="539">
        <v>1</v>
      </c>
      <c r="AB244" s="539">
        <v>389</v>
      </c>
      <c r="AC244" s="539">
        <v>365</v>
      </c>
      <c r="AD244" s="539">
        <v>320</v>
      </c>
      <c r="AE244" s="539">
        <v>390</v>
      </c>
    </row>
    <row r="245" spans="24:31" ht="15.75" thickBot="1" x14ac:dyDescent="0.3">
      <c r="X245" s="504"/>
      <c r="Z245" s="539">
        <v>2015</v>
      </c>
      <c r="AA245" s="539">
        <v>2</v>
      </c>
      <c r="AB245" s="539">
        <v>342</v>
      </c>
      <c r="AC245" s="539">
        <v>351</v>
      </c>
      <c r="AD245" s="539">
        <v>306</v>
      </c>
      <c r="AE245" s="539">
        <v>414</v>
      </c>
    </row>
    <row r="246" spans="24:31" ht="15.75" thickBot="1" x14ac:dyDescent="0.3">
      <c r="X246" s="504"/>
      <c r="Z246" s="539">
        <v>2015</v>
      </c>
      <c r="AA246" s="539">
        <v>3</v>
      </c>
      <c r="AB246" s="539">
        <v>338</v>
      </c>
      <c r="AC246" s="539">
        <v>313</v>
      </c>
      <c r="AD246" s="539">
        <v>280</v>
      </c>
      <c r="AE246" s="539">
        <v>340</v>
      </c>
    </row>
    <row r="247" spans="24:31" ht="15.75" thickBot="1" x14ac:dyDescent="0.3">
      <c r="X247" s="504"/>
      <c r="Z247" s="539">
        <v>2015</v>
      </c>
      <c r="AA247" s="539">
        <v>4</v>
      </c>
      <c r="AB247" s="539">
        <v>291</v>
      </c>
      <c r="AC247" s="539">
        <v>288</v>
      </c>
      <c r="AD247" s="539">
        <v>238</v>
      </c>
      <c r="AE247" s="539">
        <v>330</v>
      </c>
    </row>
    <row r="248" spans="24:31" ht="15.75" thickBot="1" x14ac:dyDescent="0.3">
      <c r="X248" s="504"/>
      <c r="Z248" s="539">
        <v>2015</v>
      </c>
      <c r="AA248" s="539">
        <v>5</v>
      </c>
      <c r="AB248" s="539">
        <v>278</v>
      </c>
      <c r="AC248" s="539">
        <v>283</v>
      </c>
      <c r="AD248" s="539">
        <v>247</v>
      </c>
      <c r="AE248" s="539">
        <v>325</v>
      </c>
    </row>
    <row r="249" spans="24:31" ht="15.75" thickBot="1" x14ac:dyDescent="0.3">
      <c r="X249" s="504"/>
      <c r="Z249" s="539">
        <v>2015</v>
      </c>
      <c r="AA249" s="539">
        <v>6</v>
      </c>
      <c r="AB249" s="539">
        <v>259</v>
      </c>
      <c r="AC249" s="539">
        <v>258</v>
      </c>
      <c r="AD249" s="539">
        <v>252</v>
      </c>
      <c r="AE249" s="539">
        <v>299</v>
      </c>
    </row>
    <row r="250" spans="24:31" ht="15.75" thickBot="1" x14ac:dyDescent="0.3">
      <c r="X250" s="504"/>
      <c r="Z250" s="539">
        <v>2015</v>
      </c>
      <c r="AA250" s="539">
        <v>7</v>
      </c>
      <c r="AB250" s="539">
        <v>279</v>
      </c>
      <c r="AC250" s="539">
        <v>253</v>
      </c>
      <c r="AD250" s="539">
        <v>252</v>
      </c>
      <c r="AE250" s="539">
        <v>316</v>
      </c>
    </row>
    <row r="251" spans="24:31" ht="15.75" thickBot="1" x14ac:dyDescent="0.3">
      <c r="X251" s="504"/>
      <c r="Z251" s="539">
        <v>2015</v>
      </c>
      <c r="AA251" s="539">
        <v>8</v>
      </c>
      <c r="AB251" s="539">
        <v>264</v>
      </c>
      <c r="AC251" s="539">
        <v>273</v>
      </c>
      <c r="AD251" s="539">
        <v>243</v>
      </c>
      <c r="AE251" s="539">
        <v>301</v>
      </c>
    </row>
    <row r="252" spans="24:31" ht="15.75" thickBot="1" x14ac:dyDescent="0.3">
      <c r="X252" s="504"/>
      <c r="Z252" s="539">
        <v>2015</v>
      </c>
      <c r="AA252" s="539">
        <v>9</v>
      </c>
      <c r="AB252" s="539">
        <v>280</v>
      </c>
      <c r="AC252" s="539">
        <v>233</v>
      </c>
      <c r="AD252" s="539">
        <v>228</v>
      </c>
      <c r="AE252" s="539">
        <v>295</v>
      </c>
    </row>
    <row r="253" spans="24:31" ht="15.75" thickBot="1" x14ac:dyDescent="0.3">
      <c r="X253" s="504"/>
      <c r="Z253" s="539">
        <v>2015</v>
      </c>
      <c r="AA253" s="539">
        <v>10</v>
      </c>
      <c r="AB253" s="539">
        <v>246</v>
      </c>
      <c r="AC253" s="539">
        <v>255</v>
      </c>
      <c r="AD253" s="539">
        <v>209</v>
      </c>
      <c r="AE253" s="539">
        <v>265</v>
      </c>
    </row>
    <row r="254" spans="24:31" ht="15.75" thickBot="1" x14ac:dyDescent="0.3">
      <c r="X254" s="504"/>
      <c r="Z254" s="539">
        <v>2015</v>
      </c>
      <c r="AA254" s="539">
        <v>11</v>
      </c>
      <c r="AB254" s="539">
        <v>222</v>
      </c>
      <c r="AC254" s="539">
        <v>201</v>
      </c>
      <c r="AD254" s="539">
        <v>184</v>
      </c>
      <c r="AE254" s="539">
        <v>213</v>
      </c>
    </row>
    <row r="255" spans="24:31" ht="15.75" thickBot="1" x14ac:dyDescent="0.3">
      <c r="X255" s="504"/>
      <c r="Z255" s="539">
        <v>2015</v>
      </c>
      <c r="AA255" s="539">
        <v>12</v>
      </c>
      <c r="AB255" s="539">
        <v>181</v>
      </c>
      <c r="AC255" s="539">
        <v>174</v>
      </c>
      <c r="AD255" s="539">
        <v>169</v>
      </c>
      <c r="AE255" s="539">
        <v>204</v>
      </c>
    </row>
    <row r="256" spans="24:31" ht="15.75" thickBot="1" x14ac:dyDescent="0.3">
      <c r="X256" s="504"/>
      <c r="Z256" s="539">
        <v>2016</v>
      </c>
      <c r="AA256" s="539">
        <v>1</v>
      </c>
      <c r="AB256" s="539">
        <v>252</v>
      </c>
      <c r="AC256" s="539">
        <v>203</v>
      </c>
      <c r="AD256" s="539">
        <v>167</v>
      </c>
      <c r="AE256" s="539">
        <v>215</v>
      </c>
    </row>
    <row r="257" spans="24:31" ht="15.75" thickBot="1" x14ac:dyDescent="0.3">
      <c r="X257" s="504"/>
      <c r="Z257" s="539">
        <v>2016</v>
      </c>
      <c r="AA257" s="539">
        <v>2</v>
      </c>
      <c r="AB257" s="539">
        <v>214</v>
      </c>
      <c r="AC257" s="539">
        <v>199</v>
      </c>
      <c r="AD257" s="539">
        <v>164</v>
      </c>
      <c r="AE257" s="539">
        <v>209</v>
      </c>
    </row>
    <row r="258" spans="24:31" ht="15.75" thickBot="1" x14ac:dyDescent="0.3">
      <c r="X258" s="504"/>
      <c r="Z258" s="539">
        <v>2016</v>
      </c>
      <c r="AA258" s="539">
        <v>3</v>
      </c>
      <c r="AB258" s="539">
        <v>198</v>
      </c>
      <c r="AC258" s="539">
        <v>182</v>
      </c>
      <c r="AD258" s="539">
        <v>175</v>
      </c>
      <c r="AE258" s="539">
        <v>211</v>
      </c>
    </row>
    <row r="259" spans="24:31" ht="15.75" thickBot="1" x14ac:dyDescent="0.3">
      <c r="X259" s="504"/>
      <c r="Z259" s="539">
        <v>2016</v>
      </c>
      <c r="AA259" s="539">
        <v>4</v>
      </c>
      <c r="AB259" s="539">
        <v>212</v>
      </c>
      <c r="AC259" s="539">
        <v>195</v>
      </c>
      <c r="AD259" s="539">
        <v>184</v>
      </c>
      <c r="AE259" s="539">
        <v>237</v>
      </c>
    </row>
    <row r="260" spans="24:31" ht="15.75" thickBot="1" x14ac:dyDescent="0.3">
      <c r="X260" s="504"/>
      <c r="Z260" s="539">
        <v>2016</v>
      </c>
      <c r="AA260" s="539">
        <v>5</v>
      </c>
      <c r="AB260" s="539">
        <v>212</v>
      </c>
      <c r="AC260" s="539">
        <v>202</v>
      </c>
      <c r="AD260" s="539">
        <v>227</v>
      </c>
      <c r="AE260" s="539">
        <v>247</v>
      </c>
    </row>
    <row r="261" spans="24:31" ht="15.75" thickBot="1" x14ac:dyDescent="0.3">
      <c r="X261" s="504"/>
      <c r="Z261" s="539">
        <v>2016</v>
      </c>
      <c r="AA261" s="539">
        <v>6</v>
      </c>
      <c r="AB261" s="539">
        <v>225</v>
      </c>
      <c r="AC261" s="539">
        <v>224</v>
      </c>
      <c r="AD261" s="539">
        <v>229</v>
      </c>
      <c r="AE261" s="539">
        <v>278</v>
      </c>
    </row>
    <row r="262" spans="24:31" ht="15.75" thickBot="1" x14ac:dyDescent="0.3">
      <c r="X262" s="504"/>
      <c r="Z262" s="539">
        <v>2016</v>
      </c>
      <c r="AA262" s="539">
        <v>7</v>
      </c>
      <c r="AB262" s="539">
        <v>261</v>
      </c>
      <c r="AC262" s="539">
        <v>248</v>
      </c>
      <c r="AD262" s="539">
        <v>246</v>
      </c>
      <c r="AE262" s="539">
        <v>259</v>
      </c>
    </row>
    <row r="263" spans="24:31" ht="15.75" thickBot="1" x14ac:dyDescent="0.3">
      <c r="X263" s="504"/>
      <c r="Z263" s="539">
        <v>2016</v>
      </c>
      <c r="AA263" s="539">
        <v>8</v>
      </c>
      <c r="AB263" s="539">
        <v>272</v>
      </c>
      <c r="AC263" s="539">
        <v>273</v>
      </c>
      <c r="AD263" s="539">
        <v>230</v>
      </c>
      <c r="AE263" s="539">
        <v>271</v>
      </c>
    </row>
    <row r="264" spans="24:31" ht="15.75" thickBot="1" x14ac:dyDescent="0.3">
      <c r="X264" s="504"/>
      <c r="Z264" s="539">
        <v>2016</v>
      </c>
      <c r="AA264" s="539">
        <v>9</v>
      </c>
      <c r="AB264" s="539">
        <v>261</v>
      </c>
      <c r="AC264" s="539">
        <v>241</v>
      </c>
      <c r="AD264" s="539">
        <v>226</v>
      </c>
      <c r="AE264" s="539">
        <v>261</v>
      </c>
    </row>
    <row r="265" spans="24:31" ht="15.75" thickBot="1" x14ac:dyDescent="0.3">
      <c r="X265" s="504"/>
      <c r="Z265" s="539">
        <v>2016</v>
      </c>
      <c r="AA265" s="539">
        <v>10</v>
      </c>
      <c r="AB265" s="539">
        <v>266</v>
      </c>
      <c r="AC265" s="539">
        <v>257</v>
      </c>
      <c r="AD265" s="539">
        <v>229</v>
      </c>
      <c r="AE265" s="539">
        <v>272</v>
      </c>
    </row>
    <row r="266" spans="24:31" ht="15.75" thickBot="1" x14ac:dyDescent="0.3">
      <c r="X266" s="504"/>
      <c r="Z266" s="539">
        <v>2016</v>
      </c>
      <c r="AA266" s="539">
        <v>11</v>
      </c>
      <c r="AB266" s="539">
        <v>255</v>
      </c>
      <c r="AC266" s="539">
        <v>245</v>
      </c>
      <c r="AD266" s="539">
        <v>227</v>
      </c>
      <c r="AE266" s="539">
        <v>264</v>
      </c>
    </row>
    <row r="267" spans="24:31" ht="15.75" thickBot="1" x14ac:dyDescent="0.3">
      <c r="X267" s="504"/>
      <c r="Z267" s="539">
        <v>2016</v>
      </c>
      <c r="AA267" s="539">
        <v>12</v>
      </c>
      <c r="AB267" s="539">
        <v>249</v>
      </c>
      <c r="AC267" s="539">
        <v>271</v>
      </c>
      <c r="AD267" s="539">
        <v>259</v>
      </c>
      <c r="AE267" s="539">
        <v>293</v>
      </c>
    </row>
    <row r="268" spans="24:31" ht="15.75" thickBot="1" x14ac:dyDescent="0.3">
      <c r="X268" s="504"/>
      <c r="Z268" s="539">
        <v>2017</v>
      </c>
      <c r="AA268" s="539">
        <v>1</v>
      </c>
      <c r="AB268" s="539">
        <v>276</v>
      </c>
      <c r="AC268" s="539">
        <v>316</v>
      </c>
      <c r="AD268" s="539">
        <v>284</v>
      </c>
      <c r="AE268" s="539">
        <v>305</v>
      </c>
    </row>
    <row r="269" spans="24:31" ht="15.75" thickBot="1" x14ac:dyDescent="0.3">
      <c r="X269" s="504"/>
      <c r="Z269" s="539">
        <v>2017</v>
      </c>
      <c r="AA269" s="539">
        <v>2</v>
      </c>
      <c r="AB269" s="539">
        <v>296</v>
      </c>
      <c r="AC269" s="539">
        <v>303</v>
      </c>
      <c r="AD269" s="539">
        <v>293</v>
      </c>
      <c r="AE269" s="539">
        <v>322</v>
      </c>
    </row>
    <row r="270" spans="24:31" ht="15.75" thickBot="1" x14ac:dyDescent="0.3">
      <c r="X270" s="504"/>
      <c r="Z270" s="539">
        <v>2017</v>
      </c>
      <c r="AA270" s="539">
        <v>3</v>
      </c>
      <c r="AB270" s="539">
        <v>313</v>
      </c>
      <c r="AC270" s="539">
        <v>316</v>
      </c>
      <c r="AD270" s="539">
        <v>280</v>
      </c>
      <c r="AE270" s="539">
        <v>328</v>
      </c>
    </row>
    <row r="271" spans="24:31" ht="15.75" thickBot="1" x14ac:dyDescent="0.3">
      <c r="X271" s="504"/>
      <c r="Z271" s="539">
        <v>2017</v>
      </c>
      <c r="AA271" s="539">
        <v>4</v>
      </c>
      <c r="AB271" s="539">
        <v>307</v>
      </c>
      <c r="AC271" s="539">
        <v>339</v>
      </c>
      <c r="AD271" s="539">
        <v>305</v>
      </c>
      <c r="AE271" s="539">
        <v>358</v>
      </c>
    </row>
    <row r="272" spans="24:31" ht="15.75" thickBot="1" x14ac:dyDescent="0.3">
      <c r="X272" s="504"/>
      <c r="Z272" s="539">
        <v>2017</v>
      </c>
      <c r="AA272" s="539">
        <v>5</v>
      </c>
      <c r="AB272" s="539">
        <v>319</v>
      </c>
      <c r="AC272" s="539">
        <v>346</v>
      </c>
      <c r="AD272" s="539">
        <v>331</v>
      </c>
      <c r="AE272" s="539">
        <v>378</v>
      </c>
    </row>
    <row r="273" spans="24:31" ht="15.75" thickBot="1" x14ac:dyDescent="0.3">
      <c r="X273" s="504"/>
      <c r="Z273" s="539">
        <v>2017</v>
      </c>
      <c r="AA273" s="539">
        <v>6</v>
      </c>
      <c r="AB273" s="539">
        <v>349</v>
      </c>
      <c r="AC273" s="539">
        <v>365</v>
      </c>
      <c r="AD273" s="539">
        <v>333</v>
      </c>
      <c r="AE273" s="539">
        <v>357</v>
      </c>
    </row>
    <row r="274" spans="24:31" ht="15.75" thickBot="1" x14ac:dyDescent="0.3">
      <c r="X274" s="504"/>
      <c r="Z274" s="539">
        <v>2017</v>
      </c>
      <c r="AA274" s="539">
        <v>7</v>
      </c>
      <c r="AB274" s="539">
        <v>359</v>
      </c>
      <c r="AC274" s="539">
        <v>369</v>
      </c>
      <c r="AD274" s="539">
        <v>324</v>
      </c>
      <c r="AE274" s="539">
        <v>350</v>
      </c>
    </row>
    <row r="275" spans="24:31" ht="15.75" thickBot="1" x14ac:dyDescent="0.3">
      <c r="X275" s="504"/>
      <c r="Z275" s="539">
        <v>2017</v>
      </c>
      <c r="AA275" s="539">
        <v>8</v>
      </c>
      <c r="AB275" s="539">
        <v>364</v>
      </c>
      <c r="AC275" s="539">
        <v>359</v>
      </c>
      <c r="AD275" s="539">
        <v>315</v>
      </c>
      <c r="AE275" s="539">
        <v>365</v>
      </c>
    </row>
    <row r="276" spans="24:31" ht="15.75" thickBot="1" x14ac:dyDescent="0.3">
      <c r="X276" s="504"/>
      <c r="Z276" s="539">
        <v>2017</v>
      </c>
      <c r="AA276" s="539">
        <v>9</v>
      </c>
      <c r="AB276" s="539">
        <v>349</v>
      </c>
      <c r="AC276" s="539">
        <v>345</v>
      </c>
      <c r="AD276" s="539">
        <v>319</v>
      </c>
      <c r="AE276" s="539">
        <v>373</v>
      </c>
    </row>
    <row r="277" spans="24:31" ht="15.75" thickBot="1" x14ac:dyDescent="0.3">
      <c r="X277" s="504"/>
      <c r="Z277" s="539">
        <v>2017</v>
      </c>
      <c r="AA277" s="539">
        <v>10</v>
      </c>
      <c r="AB277" s="539">
        <v>353</v>
      </c>
      <c r="AC277" s="539">
        <v>356</v>
      </c>
      <c r="AD277" s="539">
        <v>333</v>
      </c>
      <c r="AE277" s="539">
        <v>375</v>
      </c>
    </row>
    <row r="278" spans="24:31" ht="15.75" thickBot="1" x14ac:dyDescent="0.3">
      <c r="X278" s="504"/>
      <c r="Z278" s="539">
        <v>2017</v>
      </c>
      <c r="AA278" s="539">
        <v>11</v>
      </c>
      <c r="AB278" s="539">
        <v>353</v>
      </c>
      <c r="AC278" s="539">
        <v>365</v>
      </c>
      <c r="AD278" s="539">
        <v>325</v>
      </c>
      <c r="AE278" s="539">
        <v>364</v>
      </c>
    </row>
    <row r="279" spans="24:31" ht="15.75" thickBot="1" x14ac:dyDescent="0.3">
      <c r="X279" s="504"/>
      <c r="Z279" s="539">
        <v>2017</v>
      </c>
      <c r="AA279" s="539">
        <v>12</v>
      </c>
      <c r="AB279" s="539">
        <v>366</v>
      </c>
      <c r="AC279" s="539">
        <v>316</v>
      </c>
      <c r="AD279" s="539">
        <v>324</v>
      </c>
      <c r="AE279" s="539">
        <v>370</v>
      </c>
    </row>
    <row r="280" spans="24:31" ht="15.75" thickBot="1" x14ac:dyDescent="0.3">
      <c r="X280" s="504"/>
      <c r="Z280" s="539">
        <v>2018</v>
      </c>
      <c r="AA280" s="539">
        <v>1</v>
      </c>
      <c r="AB280" s="539">
        <v>357</v>
      </c>
      <c r="AC280" s="539">
        <v>379</v>
      </c>
      <c r="AD280" s="539">
        <v>325</v>
      </c>
      <c r="AE280" s="539">
        <v>380</v>
      </c>
    </row>
    <row r="281" spans="24:31" ht="15.75" thickBot="1" x14ac:dyDescent="0.3">
      <c r="X281" s="504"/>
      <c r="Z281" s="539">
        <v>2018</v>
      </c>
      <c r="AA281" s="539">
        <v>2</v>
      </c>
      <c r="AB281" s="539">
        <v>381</v>
      </c>
      <c r="AC281" s="539">
        <v>352</v>
      </c>
      <c r="AD281" s="539">
        <v>329</v>
      </c>
      <c r="AE281" s="539">
        <v>370</v>
      </c>
    </row>
    <row r="282" spans="24:31" ht="15.75" thickBot="1" x14ac:dyDescent="0.3">
      <c r="X282" s="504"/>
      <c r="Z282" s="539">
        <v>2018</v>
      </c>
      <c r="AA282" s="539">
        <v>3</v>
      </c>
      <c r="AB282" s="539">
        <v>370</v>
      </c>
      <c r="AC282" s="539">
        <v>334</v>
      </c>
      <c r="AD282" s="539">
        <v>341</v>
      </c>
      <c r="AE282" s="539">
        <v>377</v>
      </c>
    </row>
    <row r="283" spans="24:31" ht="15.75" thickBot="1" x14ac:dyDescent="0.3">
      <c r="X283" s="504"/>
      <c r="Z283" s="539">
        <v>2018</v>
      </c>
      <c r="AA283" s="539">
        <v>4</v>
      </c>
      <c r="AB283" s="539">
        <v>381</v>
      </c>
      <c r="AC283" s="539">
        <v>387</v>
      </c>
      <c r="AD283" s="539">
        <v>330</v>
      </c>
      <c r="AE283" s="539">
        <v>376</v>
      </c>
    </row>
    <row r="284" spans="24:31" ht="15.75" thickBot="1" x14ac:dyDescent="0.3">
      <c r="X284" s="504"/>
      <c r="Z284" s="539">
        <v>2018</v>
      </c>
      <c r="AA284" s="539">
        <v>5</v>
      </c>
      <c r="AB284" s="539">
        <v>387</v>
      </c>
      <c r="AC284" s="539">
        <v>399</v>
      </c>
      <c r="AD284" s="539">
        <v>350</v>
      </c>
      <c r="AE284" s="539">
        <v>406</v>
      </c>
    </row>
    <row r="285" spans="24:31" ht="15.75" thickBot="1" x14ac:dyDescent="0.3">
      <c r="X285" s="504"/>
      <c r="Z285" s="539">
        <v>2018</v>
      </c>
      <c r="AA285" s="539">
        <v>6</v>
      </c>
      <c r="AB285" s="539">
        <v>396</v>
      </c>
      <c r="AC285" s="539">
        <v>377</v>
      </c>
      <c r="AD285" s="539">
        <v>371</v>
      </c>
      <c r="AE285" s="539">
        <v>396</v>
      </c>
    </row>
    <row r="286" spans="24:31" ht="15.75" thickBot="1" x14ac:dyDescent="0.3">
      <c r="X286" s="504"/>
      <c r="Z286" s="539">
        <v>2018</v>
      </c>
      <c r="AA286" s="539">
        <v>7</v>
      </c>
      <c r="AB286" s="539">
        <v>433</v>
      </c>
      <c r="AC286" s="539">
        <v>370</v>
      </c>
      <c r="AD286" s="539">
        <v>368</v>
      </c>
      <c r="AE286" s="539">
        <v>408</v>
      </c>
    </row>
    <row r="287" spans="24:31" ht="15.75" thickBot="1" x14ac:dyDescent="0.3">
      <c r="X287" s="504"/>
      <c r="Z287" s="539">
        <v>2018</v>
      </c>
      <c r="AA287" s="539">
        <v>8</v>
      </c>
      <c r="AB287" s="539">
        <v>415</v>
      </c>
      <c r="AC287" s="539">
        <v>399</v>
      </c>
      <c r="AD287" s="539">
        <v>373</v>
      </c>
      <c r="AE287" s="539">
        <v>407</v>
      </c>
    </row>
    <row r="288" spans="24:31" ht="15.75" thickBot="1" x14ac:dyDescent="0.3">
      <c r="X288" s="504"/>
      <c r="Z288" s="539">
        <v>2018</v>
      </c>
      <c r="AA288" s="539">
        <v>9</v>
      </c>
      <c r="AB288" s="539">
        <v>391</v>
      </c>
      <c r="AC288" s="539">
        <v>394</v>
      </c>
      <c r="AD288" s="539">
        <v>363</v>
      </c>
      <c r="AE288" s="539">
        <v>412</v>
      </c>
    </row>
    <row r="289" spans="24:31" ht="15.75" thickBot="1" x14ac:dyDescent="0.3">
      <c r="X289" s="504"/>
      <c r="Z289" s="539">
        <v>2018</v>
      </c>
      <c r="AA289" s="539">
        <v>10</v>
      </c>
      <c r="AB289" s="539">
        <v>421</v>
      </c>
      <c r="AC289" s="539">
        <v>392</v>
      </c>
      <c r="AD289" s="539">
        <v>358</v>
      </c>
      <c r="AE289" s="539">
        <v>394</v>
      </c>
    </row>
    <row r="290" spans="24:31" ht="15.75" thickBot="1" x14ac:dyDescent="0.3">
      <c r="X290" s="504"/>
      <c r="Z290" s="539">
        <v>2018</v>
      </c>
      <c r="AA290" s="539">
        <v>11</v>
      </c>
      <c r="AB290" s="539">
        <v>410</v>
      </c>
      <c r="AC290" s="539">
        <v>382</v>
      </c>
      <c r="AD290" s="539">
        <v>349</v>
      </c>
      <c r="AE290" s="539">
        <v>393</v>
      </c>
    </row>
    <row r="291" spans="24:31" ht="15.75" thickBot="1" x14ac:dyDescent="0.3">
      <c r="X291" s="504"/>
      <c r="Z291" s="539">
        <v>2018</v>
      </c>
      <c r="AA291" s="539">
        <v>12</v>
      </c>
      <c r="AB291" s="539">
        <v>381</v>
      </c>
      <c r="AC291" s="539">
        <v>364</v>
      </c>
      <c r="AD291" s="539">
        <v>342</v>
      </c>
      <c r="AE291" s="539">
        <v>391</v>
      </c>
    </row>
    <row r="292" spans="24:31" ht="15.75" thickBot="1" x14ac:dyDescent="0.3">
      <c r="X292" s="504"/>
      <c r="Z292" s="539">
        <v>2019</v>
      </c>
      <c r="AA292" s="539">
        <v>1</v>
      </c>
      <c r="AB292" s="539">
        <v>382</v>
      </c>
      <c r="AC292" s="539">
        <v>365</v>
      </c>
      <c r="AD292" s="539">
        <v>344</v>
      </c>
      <c r="AE292" s="539">
        <v>379</v>
      </c>
    </row>
    <row r="293" spans="24:31" ht="15.75" thickBot="1" x14ac:dyDescent="0.3">
      <c r="X293" s="504"/>
      <c r="Z293" s="539">
        <v>2019</v>
      </c>
      <c r="AA293" s="539">
        <v>2</v>
      </c>
      <c r="AB293" s="539">
        <v>383</v>
      </c>
      <c r="AC293" s="539">
        <v>356</v>
      </c>
      <c r="AD293" s="539">
        <v>314</v>
      </c>
      <c r="AE293" s="539">
        <v>359</v>
      </c>
    </row>
    <row r="294" spans="24:31" ht="15.75" thickBot="1" x14ac:dyDescent="0.3">
      <c r="X294" s="504"/>
      <c r="Z294" s="539">
        <v>2019</v>
      </c>
      <c r="AA294" s="539">
        <v>3</v>
      </c>
      <c r="AB294" s="539">
        <v>345</v>
      </c>
      <c r="AC294" s="539">
        <v>345</v>
      </c>
      <c r="AD294" s="539">
        <v>313</v>
      </c>
      <c r="AE294" s="539">
        <v>363</v>
      </c>
    </row>
    <row r="295" spans="24:31" ht="15.75" thickBot="1" x14ac:dyDescent="0.3">
      <c r="X295" s="504"/>
      <c r="Z295" s="539">
        <v>2019</v>
      </c>
      <c r="AA295" s="539">
        <v>4</v>
      </c>
      <c r="AB295" s="539">
        <v>342</v>
      </c>
      <c r="AC295" s="539">
        <v>351</v>
      </c>
      <c r="AD295" s="539">
        <v>331</v>
      </c>
      <c r="AE295" s="539">
        <v>360</v>
      </c>
    </row>
    <row r="296" spans="24:31" ht="15.75" thickBot="1" x14ac:dyDescent="0.3">
      <c r="X296" s="504"/>
      <c r="Z296" s="539">
        <v>2019</v>
      </c>
      <c r="AA296" s="539">
        <v>5</v>
      </c>
      <c r="AB296" s="539">
        <v>369</v>
      </c>
      <c r="AC296" s="539">
        <v>346</v>
      </c>
      <c r="AD296" s="539">
        <v>326</v>
      </c>
      <c r="AE296" s="539">
        <v>358</v>
      </c>
    </row>
    <row r="297" spans="24:31" ht="15.75" thickBot="1" x14ac:dyDescent="0.3">
      <c r="X297" s="504"/>
      <c r="Z297" s="539">
        <v>2019</v>
      </c>
      <c r="AA297" s="539">
        <v>6</v>
      </c>
      <c r="AB297" s="539">
        <v>370</v>
      </c>
      <c r="AC297" s="539">
        <v>341</v>
      </c>
      <c r="AD297" s="539">
        <v>321</v>
      </c>
      <c r="AE297" s="539">
        <v>364</v>
      </c>
    </row>
    <row r="298" spans="24:31" ht="15.75" thickBot="1" x14ac:dyDescent="0.3">
      <c r="X298" s="504"/>
      <c r="Z298" s="539">
        <v>2019</v>
      </c>
      <c r="AA298" s="539">
        <v>7</v>
      </c>
      <c r="AB298" s="539">
        <v>332</v>
      </c>
      <c r="AC298" s="539">
        <v>337</v>
      </c>
      <c r="AD298" s="539">
        <v>316</v>
      </c>
      <c r="AE298" s="539">
        <v>374</v>
      </c>
    </row>
    <row r="299" spans="24:31" ht="15.75" thickBot="1" x14ac:dyDescent="0.3">
      <c r="X299" s="504"/>
      <c r="Z299" s="539">
        <v>2019</v>
      </c>
      <c r="AA299" s="539">
        <v>8</v>
      </c>
      <c r="AB299" s="539">
        <v>355</v>
      </c>
      <c r="AC299" s="539">
        <v>324</v>
      </c>
      <c r="AD299" s="539">
        <v>315</v>
      </c>
      <c r="AE299" s="539">
        <v>384</v>
      </c>
    </row>
    <row r="300" spans="24:31" ht="15.75" thickBot="1" x14ac:dyDescent="0.3">
      <c r="X300" s="504"/>
      <c r="Z300" s="539">
        <v>2019</v>
      </c>
      <c r="AA300" s="539">
        <v>9</v>
      </c>
      <c r="AB300" s="539">
        <v>328</v>
      </c>
      <c r="AC300" s="539">
        <v>335</v>
      </c>
      <c r="AD300" s="539">
        <v>319</v>
      </c>
      <c r="AE300" s="539">
        <v>375</v>
      </c>
    </row>
    <row r="301" spans="24:31" ht="15.75" thickBot="1" x14ac:dyDescent="0.3">
      <c r="X301" s="504"/>
      <c r="Z301" s="539">
        <v>2019</v>
      </c>
      <c r="AA301" s="539">
        <v>10</v>
      </c>
      <c r="AB301" s="539">
        <v>316</v>
      </c>
      <c r="AC301" s="539">
        <v>336</v>
      </c>
      <c r="AD301" s="539">
        <v>307</v>
      </c>
      <c r="AE301" s="539">
        <v>339</v>
      </c>
    </row>
    <row r="302" spans="24:31" ht="15.75" thickBot="1" x14ac:dyDescent="0.3">
      <c r="X302" s="504"/>
      <c r="Z302" s="539">
        <v>2019</v>
      </c>
      <c r="AA302" s="539">
        <v>11</v>
      </c>
      <c r="AB302" s="539">
        <v>313</v>
      </c>
      <c r="AC302" s="539">
        <v>320</v>
      </c>
      <c r="AD302" s="539">
        <v>270</v>
      </c>
      <c r="AE302" s="539">
        <v>336</v>
      </c>
    </row>
    <row r="303" spans="24:31" ht="15.75" thickBot="1" x14ac:dyDescent="0.3">
      <c r="X303" s="504"/>
      <c r="Z303" s="539">
        <v>2019</v>
      </c>
      <c r="AA303" s="539">
        <v>12</v>
      </c>
      <c r="AB303" s="539">
        <v>279</v>
      </c>
      <c r="AC303" s="539">
        <v>296</v>
      </c>
      <c r="AD303" s="539">
        <v>274</v>
      </c>
      <c r="AE303" s="539">
        <v>322</v>
      </c>
    </row>
    <row r="304" spans="24:31" ht="15.75" thickBot="1" x14ac:dyDescent="0.3">
      <c r="X304" s="504"/>
      <c r="Z304" s="539">
        <v>2020</v>
      </c>
      <c r="AA304" s="539">
        <v>1</v>
      </c>
      <c r="AB304" s="539">
        <v>291</v>
      </c>
      <c r="AC304" s="539">
        <v>304</v>
      </c>
      <c r="AD304" s="539">
        <v>305</v>
      </c>
      <c r="AE304" s="539">
        <v>330</v>
      </c>
    </row>
    <row r="305" spans="24:31" ht="15.75" thickBot="1" x14ac:dyDescent="0.3">
      <c r="X305" s="504"/>
      <c r="Z305" s="539">
        <v>2020</v>
      </c>
      <c r="AA305" s="539">
        <v>2</v>
      </c>
      <c r="AB305" s="539">
        <v>297</v>
      </c>
      <c r="AC305" s="539">
        <v>308</v>
      </c>
      <c r="AD305" s="539">
        <v>306</v>
      </c>
      <c r="AE305" s="539" t="s">
        <v>1092</v>
      </c>
    </row>
    <row r="306" spans="24:31" x14ac:dyDescent="0.25">
      <c r="X306" s="504"/>
    </row>
    <row r="307" spans="24:31" x14ac:dyDescent="0.25">
      <c r="X307" s="504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2" priority="3"/>
  </conditionalFormatting>
  <conditionalFormatting sqref="F79 D81">
    <cfRule type="duplicateValues" dxfId="1" priority="2"/>
  </conditionalFormatting>
  <conditionalFormatting sqref="B163">
    <cfRule type="duplicateValues" dxfId="0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topLeftCell="A90" workbookViewId="0">
      <selection activeCell="F125" sqref="F12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1298</v>
      </c>
    </row>
    <row r="3" spans="1:25" x14ac:dyDescent="0.25">
      <c r="B3" t="s">
        <v>881</v>
      </c>
      <c r="I3" t="s">
        <v>882</v>
      </c>
      <c r="J3">
        <v>3.5999999999999998E-6</v>
      </c>
      <c r="K3" t="s">
        <v>883</v>
      </c>
    </row>
    <row r="4" spans="1:25" x14ac:dyDescent="0.25">
      <c r="B4" t="s">
        <v>884</v>
      </c>
      <c r="I4" t="s">
        <v>829</v>
      </c>
      <c r="J4">
        <v>120</v>
      </c>
      <c r="K4" t="s">
        <v>432</v>
      </c>
    </row>
    <row r="5" spans="1:25" x14ac:dyDescent="0.25">
      <c r="B5" s="461">
        <v>1</v>
      </c>
      <c r="C5" s="453" t="s">
        <v>885</v>
      </c>
      <c r="I5" t="s">
        <v>886</v>
      </c>
      <c r="J5">
        <v>0.125</v>
      </c>
    </row>
    <row r="6" spans="1:25" ht="15.75" thickBot="1" x14ac:dyDescent="0.3">
      <c r="B6">
        <v>11.914999999999999</v>
      </c>
      <c r="C6" t="s">
        <v>887</v>
      </c>
    </row>
    <row r="7" spans="1:25" x14ac:dyDescent="0.25">
      <c r="A7" t="s">
        <v>960</v>
      </c>
      <c r="B7">
        <v>1.1499999999999999</v>
      </c>
      <c r="C7" s="118" t="s">
        <v>809</v>
      </c>
      <c r="K7" s="390"/>
      <c r="L7" s="391"/>
      <c r="M7" s="391"/>
      <c r="N7" s="391"/>
      <c r="O7" s="391"/>
      <c r="P7" s="391"/>
      <c r="Q7" s="391"/>
      <c r="R7" s="391"/>
      <c r="S7" s="391"/>
      <c r="T7" s="391"/>
      <c r="U7" s="391"/>
      <c r="V7" s="391"/>
      <c r="W7" s="391"/>
      <c r="X7" s="391"/>
      <c r="Y7" s="392"/>
    </row>
    <row r="8" spans="1:25" x14ac:dyDescent="0.25">
      <c r="B8" s="268">
        <v>0.85343228200371057</v>
      </c>
      <c r="C8" t="s">
        <v>961</v>
      </c>
      <c r="K8" s="393"/>
      <c r="Y8" s="394"/>
    </row>
    <row r="9" spans="1:25" x14ac:dyDescent="0.25">
      <c r="A9" s="11" t="s">
        <v>959</v>
      </c>
      <c r="B9" s="8"/>
      <c r="C9" s="8"/>
      <c r="D9" s="8"/>
      <c r="E9" s="8"/>
      <c r="F9" s="8"/>
      <c r="G9" s="8"/>
      <c r="H9" s="8"/>
      <c r="I9" s="8"/>
      <c r="K9" s="393"/>
      <c r="Y9" s="394"/>
    </row>
    <row r="10" spans="1:25" x14ac:dyDescent="0.25">
      <c r="A10" s="462" t="s">
        <v>888</v>
      </c>
      <c r="B10" t="s">
        <v>958</v>
      </c>
      <c r="C10" s="268">
        <v>1</v>
      </c>
      <c r="D10" t="s">
        <v>889</v>
      </c>
      <c r="K10" s="393"/>
      <c r="Y10" s="394"/>
    </row>
    <row r="11" spans="1:25" x14ac:dyDescent="0.25">
      <c r="B11" t="s">
        <v>890</v>
      </c>
      <c r="C11" s="363">
        <v>2.7107999999999999</v>
      </c>
      <c r="D11" t="s">
        <v>140</v>
      </c>
      <c r="K11" s="393"/>
      <c r="Y11" s="394"/>
    </row>
    <row r="12" spans="1:25" x14ac:dyDescent="0.25">
      <c r="B12" s="479" t="s">
        <v>891</v>
      </c>
      <c r="C12" s="480">
        <v>0</v>
      </c>
      <c r="D12" s="479" t="s">
        <v>889</v>
      </c>
      <c r="E12" s="479"/>
      <c r="K12" s="393"/>
      <c r="Y12" s="394"/>
    </row>
    <row r="13" spans="1:25" x14ac:dyDescent="0.25">
      <c r="B13" s="479" t="s">
        <v>892</v>
      </c>
      <c r="C13" s="479">
        <v>1</v>
      </c>
      <c r="D13" s="479" t="s">
        <v>889</v>
      </c>
      <c r="E13" s="479"/>
      <c r="F13" s="479"/>
      <c r="K13" s="393"/>
      <c r="Y13" s="394"/>
    </row>
    <row r="14" spans="1:25" x14ac:dyDescent="0.25">
      <c r="K14" s="393"/>
      <c r="Y14" s="394"/>
    </row>
    <row r="15" spans="1:25" x14ac:dyDescent="0.25">
      <c r="B15" t="s">
        <v>893</v>
      </c>
      <c r="C15" s="268">
        <v>3.7107999999999999</v>
      </c>
      <c r="D15" t="s">
        <v>894</v>
      </c>
      <c r="K15" s="393"/>
      <c r="Y15" s="394"/>
    </row>
    <row r="16" spans="1:25" x14ac:dyDescent="0.25">
      <c r="B16" t="s">
        <v>895</v>
      </c>
      <c r="C16" s="363">
        <v>0.26948366928964107</v>
      </c>
      <c r="D16" t="s">
        <v>827</v>
      </c>
      <c r="K16" s="393"/>
      <c r="S16" s="463"/>
      <c r="Y16" s="394"/>
    </row>
    <row r="17" spans="1:25" x14ac:dyDescent="0.25">
      <c r="B17" t="s">
        <v>895</v>
      </c>
      <c r="C17" s="363">
        <v>0.73051633071035893</v>
      </c>
      <c r="D17" t="s">
        <v>38</v>
      </c>
      <c r="K17" s="393"/>
      <c r="O17" s="464"/>
      <c r="U17" s="623"/>
      <c r="V17" s="623"/>
      <c r="Y17" s="394"/>
    </row>
    <row r="18" spans="1:25" x14ac:dyDescent="0.25">
      <c r="K18" s="393"/>
      <c r="S18" s="464"/>
      <c r="Y18" s="394"/>
    </row>
    <row r="19" spans="1:25" x14ac:dyDescent="0.25">
      <c r="B19" s="479" t="s">
        <v>896</v>
      </c>
      <c r="C19" s="479"/>
      <c r="D19" s="479" t="s">
        <v>897</v>
      </c>
      <c r="E19" s="479"/>
      <c r="K19" s="393"/>
      <c r="Y19" s="394"/>
    </row>
    <row r="20" spans="1:25" x14ac:dyDescent="0.25">
      <c r="K20" s="393"/>
      <c r="Y20" s="394"/>
    </row>
    <row r="21" spans="1:25" x14ac:dyDescent="0.25">
      <c r="A21" s="462" t="s">
        <v>898</v>
      </c>
      <c r="B21" s="462" t="s">
        <v>899</v>
      </c>
      <c r="C21" s="462">
        <v>184</v>
      </c>
      <c r="D21" s="462" t="s">
        <v>851</v>
      </c>
      <c r="K21" s="393"/>
      <c r="Y21" s="394"/>
    </row>
    <row r="22" spans="1:25" x14ac:dyDescent="0.25">
      <c r="C22">
        <v>211.6</v>
      </c>
      <c r="D22" t="s">
        <v>675</v>
      </c>
      <c r="K22" s="393"/>
      <c r="Y22" s="394"/>
    </row>
    <row r="23" spans="1:25" x14ac:dyDescent="0.25">
      <c r="B23" t="s">
        <v>901</v>
      </c>
      <c r="C23" s="440">
        <v>2521.2139999999999</v>
      </c>
      <c r="D23" t="s">
        <v>900</v>
      </c>
      <c r="K23" s="393"/>
      <c r="Y23" s="394"/>
    </row>
    <row r="24" spans="1:25" x14ac:dyDescent="0.25">
      <c r="B24" s="479"/>
      <c r="C24" s="482">
        <v>2521.2139999999999</v>
      </c>
      <c r="D24" s="479" t="s">
        <v>902</v>
      </c>
      <c r="E24" s="479"/>
      <c r="K24" s="465"/>
      <c r="Y24" s="394"/>
    </row>
    <row r="25" spans="1:25" x14ac:dyDescent="0.25">
      <c r="A25" t="s">
        <v>220</v>
      </c>
      <c r="B25" t="s">
        <v>693</v>
      </c>
      <c r="C25" s="440">
        <v>725.14525500322793</v>
      </c>
      <c r="D25" t="s">
        <v>903</v>
      </c>
      <c r="H25" s="285">
        <v>0.5</v>
      </c>
      <c r="I25" t="s">
        <v>976</v>
      </c>
      <c r="K25" s="393"/>
      <c r="Y25" s="394"/>
    </row>
    <row r="26" spans="1:25" x14ac:dyDescent="0.25">
      <c r="B26" t="s">
        <v>904</v>
      </c>
      <c r="C26" s="440">
        <v>618.86236976156738</v>
      </c>
      <c r="D26" t="s">
        <v>905</v>
      </c>
      <c r="K26" s="393"/>
      <c r="Y26" s="394"/>
    </row>
    <row r="27" spans="1:25" ht="15.75" thickBot="1" x14ac:dyDescent="0.3">
      <c r="K27" s="393"/>
      <c r="Y27" s="394"/>
    </row>
    <row r="28" spans="1:25" x14ac:dyDescent="0.25"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</row>
    <row r="29" spans="1:25" x14ac:dyDescent="0.25">
      <c r="A29" s="11" t="s">
        <v>977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22">
        <v>2030</v>
      </c>
      <c r="G30" s="422">
        <v>2050</v>
      </c>
    </row>
    <row r="31" spans="1:25" x14ac:dyDescent="0.25">
      <c r="F31" s="466"/>
      <c r="G31" s="466"/>
    </row>
    <row r="32" spans="1:25" x14ac:dyDescent="0.25">
      <c r="A32" s="467" t="s">
        <v>911</v>
      </c>
      <c r="B32" t="s">
        <v>890</v>
      </c>
      <c r="C32" s="287">
        <v>10.928571428571427</v>
      </c>
      <c r="D32" t="s">
        <v>140</v>
      </c>
      <c r="F32" s="466"/>
      <c r="G32" s="466"/>
      <c r="H32" t="s">
        <v>907</v>
      </c>
      <c r="I32" t="s">
        <v>908</v>
      </c>
    </row>
    <row r="33" spans="1:9" x14ac:dyDescent="0.25">
      <c r="B33" t="s">
        <v>909</v>
      </c>
      <c r="C33" s="287">
        <v>6.12</v>
      </c>
      <c r="D33" t="s">
        <v>140</v>
      </c>
      <c r="F33" s="466"/>
      <c r="G33" s="466"/>
      <c r="H33" s="458">
        <v>51000000</v>
      </c>
      <c r="I33" s="303">
        <v>5.0999999999999997E-2</v>
      </c>
    </row>
    <row r="34" spans="1:9" x14ac:dyDescent="0.25">
      <c r="B34" t="s">
        <v>910</v>
      </c>
      <c r="C34" s="303">
        <v>0.40799999999999997</v>
      </c>
      <c r="D34" t="s">
        <v>889</v>
      </c>
      <c r="F34" s="466"/>
      <c r="G34" s="466"/>
    </row>
    <row r="35" spans="1:9" x14ac:dyDescent="0.25">
      <c r="I35" s="363"/>
    </row>
    <row r="36" spans="1:9" x14ac:dyDescent="0.25">
      <c r="A36" s="467" t="s">
        <v>911</v>
      </c>
      <c r="B36" s="467" t="s">
        <v>912</v>
      </c>
      <c r="C36" s="467">
        <v>0.56000000000000005</v>
      </c>
      <c r="D36" s="467"/>
      <c r="E36" s="467"/>
      <c r="F36" s="467">
        <v>0.63</v>
      </c>
      <c r="G36" s="467">
        <v>0.67</v>
      </c>
    </row>
    <row r="37" spans="1:9" x14ac:dyDescent="0.25">
      <c r="B37" t="s">
        <v>913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896</v>
      </c>
      <c r="C38" s="287">
        <v>6.12</v>
      </c>
      <c r="D38" t="s">
        <v>914</v>
      </c>
      <c r="F38" s="468">
        <v>6.8849999999999998</v>
      </c>
      <c r="G38" s="468">
        <v>7.3221428571428575</v>
      </c>
      <c r="I38" t="s">
        <v>915</v>
      </c>
    </row>
    <row r="39" spans="1:9" x14ac:dyDescent="0.25">
      <c r="B39" t="s">
        <v>896</v>
      </c>
      <c r="C39" s="303">
        <v>0.40799999999999997</v>
      </c>
      <c r="D39" t="s">
        <v>916</v>
      </c>
      <c r="F39" s="468">
        <v>0.45899999999999996</v>
      </c>
      <c r="G39" s="468">
        <v>0.4881428571428571</v>
      </c>
      <c r="I39" t="s">
        <v>915</v>
      </c>
    </row>
    <row r="40" spans="1:9" x14ac:dyDescent="0.25">
      <c r="B40" t="s">
        <v>896</v>
      </c>
      <c r="C40" s="287">
        <v>10.928571428571427</v>
      </c>
      <c r="D40" t="s">
        <v>917</v>
      </c>
      <c r="F40" s="466"/>
      <c r="G40" s="466"/>
      <c r="I40" t="s">
        <v>915</v>
      </c>
    </row>
    <row r="42" spans="1:9" x14ac:dyDescent="0.25">
      <c r="A42" t="s">
        <v>918</v>
      </c>
      <c r="B42" t="s">
        <v>919</v>
      </c>
      <c r="C42" s="285">
        <v>0.9</v>
      </c>
    </row>
    <row r="43" spans="1:9" x14ac:dyDescent="0.25">
      <c r="A43" s="467" t="s">
        <v>911</v>
      </c>
      <c r="B43" s="467" t="s">
        <v>920</v>
      </c>
      <c r="C43" s="467">
        <v>1800</v>
      </c>
      <c r="D43" s="467" t="s">
        <v>782</v>
      </c>
      <c r="E43" s="467"/>
      <c r="F43" s="467">
        <v>1500</v>
      </c>
      <c r="G43" s="467">
        <v>900</v>
      </c>
    </row>
    <row r="44" spans="1:9" x14ac:dyDescent="0.25">
      <c r="A44" s="16" t="s">
        <v>921</v>
      </c>
      <c r="B44" t="s">
        <v>920</v>
      </c>
      <c r="C44" s="440">
        <v>21447</v>
      </c>
      <c r="D44" t="s">
        <v>922</v>
      </c>
      <c r="F44" s="440">
        <v>17872.5</v>
      </c>
      <c r="G44" s="440">
        <v>10723.5</v>
      </c>
    </row>
    <row r="45" spans="1:9" x14ac:dyDescent="0.25">
      <c r="B45" t="s">
        <v>901</v>
      </c>
      <c r="C45" s="440">
        <v>21447</v>
      </c>
      <c r="D45" t="s">
        <v>923</v>
      </c>
      <c r="F45" s="440">
        <v>17872.5</v>
      </c>
      <c r="G45" s="440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40"/>
      <c r="G47" s="440"/>
    </row>
    <row r="48" spans="1:9" x14ac:dyDescent="0.25">
      <c r="A48" s="467" t="s">
        <v>911</v>
      </c>
      <c r="B48" s="467" t="s">
        <v>924</v>
      </c>
      <c r="C48" s="467">
        <v>60000</v>
      </c>
      <c r="D48" s="467" t="s">
        <v>925</v>
      </c>
      <c r="F48" s="467">
        <v>75000</v>
      </c>
      <c r="G48" s="467">
        <v>12500</v>
      </c>
    </row>
    <row r="49" spans="1:9" x14ac:dyDescent="0.25">
      <c r="B49" t="s">
        <v>926</v>
      </c>
      <c r="C49">
        <v>8</v>
      </c>
      <c r="D49" t="s">
        <v>748</v>
      </c>
      <c r="F49">
        <v>10</v>
      </c>
      <c r="G49">
        <v>2</v>
      </c>
    </row>
    <row r="51" spans="1:9" x14ac:dyDescent="0.25">
      <c r="A51" s="18" t="s">
        <v>928</v>
      </c>
    </row>
    <row r="52" spans="1:9" x14ac:dyDescent="0.25">
      <c r="C52" s="287"/>
      <c r="F52" s="422">
        <v>2030</v>
      </c>
      <c r="G52" s="422">
        <v>2050</v>
      </c>
    </row>
    <row r="53" spans="1:9" x14ac:dyDescent="0.25">
      <c r="F53" s="466"/>
      <c r="G53" s="466"/>
    </row>
    <row r="54" spans="1:9" x14ac:dyDescent="0.25">
      <c r="A54" s="467" t="s">
        <v>906</v>
      </c>
      <c r="B54" t="s">
        <v>890</v>
      </c>
      <c r="C54" s="287">
        <v>0</v>
      </c>
      <c r="D54" t="s">
        <v>140</v>
      </c>
      <c r="F54" s="466"/>
      <c r="G54" s="466"/>
      <c r="H54" t="s">
        <v>907</v>
      </c>
      <c r="I54" t="s">
        <v>908</v>
      </c>
    </row>
    <row r="55" spans="1:9" x14ac:dyDescent="0.25">
      <c r="B55" t="s">
        <v>909</v>
      </c>
      <c r="C55" s="287">
        <v>0</v>
      </c>
      <c r="D55" t="s">
        <v>140</v>
      </c>
      <c r="F55" s="466"/>
      <c r="G55" s="466"/>
      <c r="H55" s="458" t="e">
        <v>#DIV/0!</v>
      </c>
      <c r="I55" s="303" t="e">
        <v>#DIV/0!</v>
      </c>
    </row>
    <row r="56" spans="1:9" x14ac:dyDescent="0.25">
      <c r="B56" t="s">
        <v>910</v>
      </c>
      <c r="C56" s="303" t="e">
        <v>#DIV/0!</v>
      </c>
      <c r="D56" t="s">
        <v>889</v>
      </c>
      <c r="F56" s="466"/>
      <c r="G56" s="466"/>
    </row>
    <row r="57" spans="1:9" x14ac:dyDescent="0.25">
      <c r="I57" s="363"/>
    </row>
    <row r="58" spans="1:9" x14ac:dyDescent="0.25">
      <c r="A58" s="467" t="s">
        <v>911</v>
      </c>
      <c r="B58" s="467" t="s">
        <v>912</v>
      </c>
      <c r="C58" s="471">
        <v>0.63</v>
      </c>
      <c r="D58" s="467"/>
      <c r="E58" s="467"/>
      <c r="F58" s="471">
        <v>0.65</v>
      </c>
      <c r="G58" s="471">
        <v>0.7</v>
      </c>
    </row>
    <row r="59" spans="1:9" x14ac:dyDescent="0.25">
      <c r="B59" s="472" t="s">
        <v>913</v>
      </c>
      <c r="C59" s="473">
        <v>1.5873015873015872</v>
      </c>
      <c r="D59" s="473"/>
      <c r="E59" s="473"/>
      <c r="F59" s="473">
        <v>1.5384615384615383</v>
      </c>
      <c r="G59" s="473">
        <v>1.4285714285714286</v>
      </c>
    </row>
    <row r="60" spans="1:9" x14ac:dyDescent="0.25">
      <c r="B60" t="s">
        <v>896</v>
      </c>
      <c r="C60" s="287">
        <v>0</v>
      </c>
      <c r="D60" t="s">
        <v>914</v>
      </c>
      <c r="F60" s="468">
        <v>0</v>
      </c>
      <c r="G60" s="468">
        <v>0</v>
      </c>
      <c r="I60" t="s">
        <v>915</v>
      </c>
    </row>
    <row r="61" spans="1:9" x14ac:dyDescent="0.25">
      <c r="B61" t="s">
        <v>896</v>
      </c>
      <c r="C61" s="303" t="e">
        <v>#DIV/0!</v>
      </c>
      <c r="D61" t="s">
        <v>916</v>
      </c>
      <c r="F61" s="468" t="e">
        <v>#DIV/0!</v>
      </c>
      <c r="G61" s="468" t="e">
        <v>#DIV/0!</v>
      </c>
      <c r="I61" t="s">
        <v>915</v>
      </c>
    </row>
    <row r="62" spans="1:9" x14ac:dyDescent="0.25">
      <c r="B62" t="s">
        <v>896</v>
      </c>
      <c r="C62" s="287">
        <v>0</v>
      </c>
      <c r="D62" t="s">
        <v>917</v>
      </c>
      <c r="F62" s="466"/>
      <c r="G62" s="466"/>
      <c r="I62" t="s">
        <v>915</v>
      </c>
    </row>
    <row r="64" spans="1:9" x14ac:dyDescent="0.25">
      <c r="A64" s="472" t="s">
        <v>918</v>
      </c>
      <c r="B64" s="472" t="s">
        <v>919</v>
      </c>
      <c r="C64" s="474">
        <v>0.9</v>
      </c>
      <c r="I64" t="s">
        <v>399</v>
      </c>
    </row>
    <row r="65" spans="1:10" x14ac:dyDescent="0.25">
      <c r="A65" s="467" t="s">
        <v>911</v>
      </c>
      <c r="B65" s="467" t="s">
        <v>920</v>
      </c>
      <c r="C65" s="467">
        <v>1400</v>
      </c>
      <c r="D65" s="467" t="s">
        <v>782</v>
      </c>
      <c r="E65" s="467"/>
      <c r="F65" s="467">
        <v>850</v>
      </c>
      <c r="G65" s="467">
        <v>700</v>
      </c>
      <c r="H65" t="s">
        <v>929</v>
      </c>
    </row>
    <row r="66" spans="1:10" x14ac:dyDescent="0.25">
      <c r="A66" s="16" t="s">
        <v>921</v>
      </c>
      <c r="B66" t="s">
        <v>920</v>
      </c>
      <c r="C66" s="440">
        <v>16681</v>
      </c>
      <c r="D66" t="s">
        <v>922</v>
      </c>
      <c r="F66" s="440">
        <v>10127.75</v>
      </c>
      <c r="G66" s="440">
        <v>8340.5</v>
      </c>
    </row>
    <row r="67" spans="1:10" x14ac:dyDescent="0.25">
      <c r="B67" s="472" t="s">
        <v>901</v>
      </c>
      <c r="C67" s="475">
        <v>16681</v>
      </c>
      <c r="D67" s="472" t="s">
        <v>923</v>
      </c>
      <c r="E67" s="476">
        <v>16681</v>
      </c>
      <c r="F67" s="475">
        <v>10127.75</v>
      </c>
      <c r="G67" s="475">
        <v>8340.5</v>
      </c>
    </row>
    <row r="69" spans="1:10" x14ac:dyDescent="0.25">
      <c r="B69" t="s">
        <v>930</v>
      </c>
      <c r="C69" s="440"/>
      <c r="E69" s="285">
        <v>7.0000000000000007E-2</v>
      </c>
      <c r="F69" s="285">
        <v>0.05</v>
      </c>
      <c r="G69" s="285">
        <v>0.05</v>
      </c>
      <c r="H69" t="s">
        <v>931</v>
      </c>
    </row>
    <row r="70" spans="1:10" x14ac:dyDescent="0.25">
      <c r="B70" s="472" t="s">
        <v>932</v>
      </c>
      <c r="C70" s="475"/>
      <c r="D70" s="472"/>
      <c r="E70" s="477">
        <v>1167.67</v>
      </c>
      <c r="F70" s="477">
        <v>506.38750000000005</v>
      </c>
      <c r="G70" s="477">
        <v>417.02500000000003</v>
      </c>
    </row>
    <row r="71" spans="1:10" x14ac:dyDescent="0.25">
      <c r="B71" s="467" t="s">
        <v>920</v>
      </c>
      <c r="C71" s="467">
        <v>500</v>
      </c>
      <c r="D71" s="467" t="s">
        <v>782</v>
      </c>
      <c r="E71" s="467"/>
      <c r="F71" s="467">
        <v>400</v>
      </c>
      <c r="G71" s="467">
        <v>200</v>
      </c>
      <c r="H71" s="16" t="s">
        <v>933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7" t="s">
        <v>911</v>
      </c>
      <c r="B73" s="467" t="s">
        <v>924</v>
      </c>
      <c r="C73" s="467">
        <v>75000</v>
      </c>
      <c r="D73" s="467" t="s">
        <v>925</v>
      </c>
      <c r="F73" s="467">
        <v>95000</v>
      </c>
      <c r="G73" s="467">
        <v>125000</v>
      </c>
      <c r="H73" t="s">
        <v>934</v>
      </c>
    </row>
    <row r="74" spans="1:10" x14ac:dyDescent="0.25">
      <c r="A74" s="467"/>
      <c r="B74" s="467"/>
      <c r="C74" s="467"/>
      <c r="D74" s="467" t="s">
        <v>925</v>
      </c>
      <c r="E74">
        <v>60000</v>
      </c>
      <c r="F74" s="467">
        <v>90000</v>
      </c>
      <c r="G74" s="467">
        <v>100000</v>
      </c>
      <c r="H74" t="s">
        <v>933</v>
      </c>
    </row>
    <row r="75" spans="1:10" x14ac:dyDescent="0.25">
      <c r="B75" s="472" t="s">
        <v>926</v>
      </c>
      <c r="C75" s="472">
        <v>10</v>
      </c>
      <c r="D75" s="472" t="s">
        <v>748</v>
      </c>
      <c r="E75" s="472"/>
      <c r="F75" s="472">
        <v>13</v>
      </c>
      <c r="G75" s="472">
        <v>16</v>
      </c>
    </row>
    <row r="77" spans="1:10" x14ac:dyDescent="0.25">
      <c r="A77" s="18" t="s">
        <v>935</v>
      </c>
    </row>
    <row r="78" spans="1:10" x14ac:dyDescent="0.25">
      <c r="C78" s="287"/>
      <c r="F78" s="422">
        <v>2030</v>
      </c>
      <c r="G78" s="422">
        <v>2050</v>
      </c>
    </row>
    <row r="79" spans="1:10" x14ac:dyDescent="0.25">
      <c r="F79" s="466"/>
      <c r="G79" s="466"/>
    </row>
    <row r="80" spans="1:10" x14ac:dyDescent="0.25">
      <c r="A80" s="467" t="s">
        <v>906</v>
      </c>
      <c r="B80" t="s">
        <v>890</v>
      </c>
      <c r="C80" s="287">
        <v>0</v>
      </c>
      <c r="D80" t="s">
        <v>140</v>
      </c>
      <c r="F80" s="466"/>
      <c r="G80" s="466"/>
      <c r="H80" t="s">
        <v>907</v>
      </c>
      <c r="I80" t="s">
        <v>908</v>
      </c>
      <c r="J80" t="s">
        <v>915</v>
      </c>
    </row>
    <row r="81" spans="1:10" x14ac:dyDescent="0.25">
      <c r="B81" t="s">
        <v>909</v>
      </c>
      <c r="C81" s="287">
        <v>0</v>
      </c>
      <c r="D81" t="s">
        <v>140</v>
      </c>
      <c r="F81" s="466"/>
      <c r="G81" s="466"/>
      <c r="H81" s="458" t="e">
        <v>#DIV/0!</v>
      </c>
      <c r="I81" s="303" t="e">
        <v>#DIV/0!</v>
      </c>
      <c r="J81" t="s">
        <v>915</v>
      </c>
    </row>
    <row r="82" spans="1:10" x14ac:dyDescent="0.25">
      <c r="B82" t="s">
        <v>910</v>
      </c>
      <c r="C82" s="303" t="e">
        <v>#DIV/0!</v>
      </c>
      <c r="D82" t="s">
        <v>889</v>
      </c>
      <c r="F82" s="466"/>
      <c r="G82" s="466"/>
      <c r="J82" t="s">
        <v>915</v>
      </c>
    </row>
    <row r="83" spans="1:10" x14ac:dyDescent="0.25">
      <c r="I83" s="363"/>
    </row>
    <row r="84" spans="1:10" x14ac:dyDescent="0.25">
      <c r="A84" s="467" t="s">
        <v>911</v>
      </c>
      <c r="B84" s="467" t="s">
        <v>912</v>
      </c>
      <c r="C84" s="471">
        <v>0.7</v>
      </c>
      <c r="D84" s="467"/>
      <c r="E84" s="467"/>
      <c r="F84" s="471">
        <v>0.71</v>
      </c>
      <c r="G84" s="471">
        <v>0.8</v>
      </c>
      <c r="H84" t="s">
        <v>929</v>
      </c>
    </row>
    <row r="85" spans="1:10" x14ac:dyDescent="0.25">
      <c r="B85" s="472" t="s">
        <v>913</v>
      </c>
      <c r="C85" s="473">
        <v>1.4285714285714286</v>
      </c>
      <c r="D85" s="473"/>
      <c r="E85" s="473"/>
      <c r="F85" s="473">
        <v>1.4084507042253522</v>
      </c>
      <c r="G85" s="473">
        <v>1.25</v>
      </c>
    </row>
    <row r="86" spans="1:10" x14ac:dyDescent="0.25">
      <c r="B86" t="s">
        <v>896</v>
      </c>
      <c r="C86" s="287">
        <v>0</v>
      </c>
      <c r="D86" t="s">
        <v>914</v>
      </c>
      <c r="F86" s="468">
        <v>0</v>
      </c>
      <c r="G86" s="468">
        <v>0</v>
      </c>
    </row>
    <row r="87" spans="1:10" x14ac:dyDescent="0.25">
      <c r="B87" t="s">
        <v>896</v>
      </c>
      <c r="C87" s="303" t="e">
        <v>#DIV/0!</v>
      </c>
      <c r="D87" t="s">
        <v>916</v>
      </c>
      <c r="F87" s="468" t="e">
        <v>#DIV/0!</v>
      </c>
      <c r="G87" s="468" t="e">
        <v>#DIV/0!</v>
      </c>
    </row>
    <row r="88" spans="1:10" x14ac:dyDescent="0.25">
      <c r="B88" t="s">
        <v>896</v>
      </c>
      <c r="C88" s="287">
        <v>0</v>
      </c>
      <c r="D88" t="s">
        <v>917</v>
      </c>
      <c r="F88" s="466"/>
      <c r="G88" s="466"/>
    </row>
    <row r="90" spans="1:10" x14ac:dyDescent="0.25">
      <c r="A90" t="s">
        <v>918</v>
      </c>
      <c r="B90" t="s">
        <v>919</v>
      </c>
      <c r="C90" s="285"/>
    </row>
    <row r="91" spans="1:10" x14ac:dyDescent="0.25">
      <c r="A91" s="467" t="s">
        <v>911</v>
      </c>
      <c r="B91" s="467" t="s">
        <v>920</v>
      </c>
      <c r="C91" s="467">
        <v>500</v>
      </c>
      <c r="D91" s="467" t="s">
        <v>782</v>
      </c>
      <c r="E91" s="467"/>
      <c r="F91" s="467">
        <v>400</v>
      </c>
      <c r="G91" s="467">
        <v>200</v>
      </c>
    </row>
    <row r="92" spans="1:10" x14ac:dyDescent="0.25">
      <c r="A92" s="16" t="s">
        <v>921</v>
      </c>
      <c r="B92" t="s">
        <v>920</v>
      </c>
      <c r="C92" s="440">
        <v>5957.5</v>
      </c>
      <c r="D92" t="s">
        <v>922</v>
      </c>
      <c r="F92" s="440">
        <v>4766</v>
      </c>
      <c r="G92" s="440">
        <v>2383</v>
      </c>
      <c r="H92" t="s">
        <v>936</v>
      </c>
    </row>
    <row r="93" spans="1:10" x14ac:dyDescent="0.25">
      <c r="B93" s="472" t="s">
        <v>901</v>
      </c>
      <c r="C93" s="475">
        <v>5957.5</v>
      </c>
      <c r="D93" s="472" t="s">
        <v>923</v>
      </c>
      <c r="E93" s="476">
        <v>5957.5</v>
      </c>
      <c r="F93" s="475">
        <v>4766</v>
      </c>
      <c r="G93" s="475">
        <v>2383</v>
      </c>
    </row>
    <row r="94" spans="1:10" x14ac:dyDescent="0.25">
      <c r="C94" s="440"/>
      <c r="F94" s="440"/>
      <c r="G94" s="440"/>
    </row>
    <row r="95" spans="1:10" x14ac:dyDescent="0.25">
      <c r="B95" t="s">
        <v>930</v>
      </c>
      <c r="C95" s="440"/>
      <c r="E95" s="285">
        <v>7.0000000000000007E-2</v>
      </c>
      <c r="F95" s="285">
        <v>0.05</v>
      </c>
      <c r="G95" s="285">
        <v>0.05</v>
      </c>
      <c r="H95" t="s">
        <v>931</v>
      </c>
    </row>
    <row r="96" spans="1:10" x14ac:dyDescent="0.25">
      <c r="B96" s="472" t="s">
        <v>932</v>
      </c>
      <c r="C96" s="475"/>
      <c r="D96" s="472"/>
      <c r="E96" s="477">
        <v>417.02500000000003</v>
      </c>
      <c r="F96" s="477">
        <v>238.3</v>
      </c>
      <c r="G96" s="477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40"/>
      <c r="G98" s="440"/>
    </row>
    <row r="99" spans="1:15" x14ac:dyDescent="0.25">
      <c r="A99" s="467" t="s">
        <v>911</v>
      </c>
      <c r="B99" s="467" t="s">
        <v>924</v>
      </c>
      <c r="C99" s="467">
        <v>75000</v>
      </c>
      <c r="D99" s="467" t="s">
        <v>925</v>
      </c>
      <c r="F99" s="467">
        <v>95000</v>
      </c>
      <c r="G99" s="467">
        <v>125000</v>
      </c>
      <c r="H99" t="s">
        <v>937</v>
      </c>
    </row>
    <row r="100" spans="1:15" x14ac:dyDescent="0.25">
      <c r="E100">
        <v>90000</v>
      </c>
      <c r="F100">
        <v>100000</v>
      </c>
      <c r="G100">
        <v>150000</v>
      </c>
      <c r="H100" t="s">
        <v>783</v>
      </c>
    </row>
    <row r="101" spans="1:15" x14ac:dyDescent="0.25">
      <c r="B101" s="472" t="s">
        <v>926</v>
      </c>
      <c r="C101" s="472">
        <v>10</v>
      </c>
      <c r="D101" s="472" t="s">
        <v>748</v>
      </c>
      <c r="E101" s="472">
        <v>10</v>
      </c>
      <c r="F101" s="472">
        <v>13</v>
      </c>
      <c r="G101" s="472">
        <v>16</v>
      </c>
    </row>
    <row r="104" spans="1:15" ht="15.75" x14ac:dyDescent="0.25">
      <c r="O104" s="506"/>
    </row>
    <row r="105" spans="1:15" x14ac:dyDescent="0.25">
      <c r="A105" s="11" t="s">
        <v>938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66"/>
      <c r="G106" s="466"/>
    </row>
    <row r="107" spans="1:15" x14ac:dyDescent="0.25">
      <c r="A107" s="462" t="s">
        <v>939</v>
      </c>
      <c r="B107" t="s">
        <v>940</v>
      </c>
      <c r="C107" s="321">
        <v>6.12</v>
      </c>
      <c r="D107" t="s">
        <v>140</v>
      </c>
      <c r="F107" s="466"/>
      <c r="G107" s="466"/>
    </row>
    <row r="108" spans="1:15" x14ac:dyDescent="0.25">
      <c r="B108" t="s">
        <v>941</v>
      </c>
      <c r="C108">
        <v>1.504</v>
      </c>
      <c r="D108" t="s">
        <v>942</v>
      </c>
      <c r="F108" s="466"/>
      <c r="G108" s="466"/>
    </row>
    <row r="109" spans="1:15" x14ac:dyDescent="0.25">
      <c r="B109" t="s">
        <v>943</v>
      </c>
      <c r="C109" s="320">
        <v>1</v>
      </c>
      <c r="D109" t="s">
        <v>889</v>
      </c>
      <c r="F109" s="466"/>
      <c r="G109" s="466"/>
    </row>
    <row r="110" spans="1:15" x14ac:dyDescent="0.25">
      <c r="B110" s="16" t="s">
        <v>896</v>
      </c>
      <c r="C110" s="16">
        <v>0.74400000000000022</v>
      </c>
      <c r="D110" s="16" t="s">
        <v>944</v>
      </c>
      <c r="E110" s="16" t="s">
        <v>945</v>
      </c>
      <c r="F110" s="478"/>
      <c r="G110" s="478"/>
      <c r="H110" s="16" t="s">
        <v>946</v>
      </c>
    </row>
    <row r="111" spans="1:15" x14ac:dyDescent="0.25">
      <c r="B111" t="s">
        <v>896</v>
      </c>
      <c r="C111">
        <v>1.504</v>
      </c>
      <c r="D111" t="s">
        <v>37</v>
      </c>
      <c r="F111" s="466"/>
      <c r="G111" s="466"/>
    </row>
    <row r="112" spans="1:15" x14ac:dyDescent="0.25">
      <c r="B112" t="s">
        <v>896</v>
      </c>
      <c r="C112" s="321">
        <v>6.12</v>
      </c>
      <c r="D112" t="s">
        <v>914</v>
      </c>
    </row>
    <row r="113" spans="1:4" x14ac:dyDescent="0.25">
      <c r="B113" t="s">
        <v>896</v>
      </c>
      <c r="C113" s="320">
        <v>1</v>
      </c>
      <c r="D113" t="s">
        <v>827</v>
      </c>
    </row>
    <row r="115" spans="1:4" x14ac:dyDescent="0.25">
      <c r="A115" t="s">
        <v>918</v>
      </c>
      <c r="B115" t="s">
        <v>947</v>
      </c>
      <c r="C115" s="285">
        <v>0.9</v>
      </c>
      <c r="D115" t="s">
        <v>948</v>
      </c>
    </row>
    <row r="117" spans="1:4" x14ac:dyDescent="0.25">
      <c r="A117" s="462" t="s">
        <v>898</v>
      </c>
      <c r="B117" s="462" t="s">
        <v>899</v>
      </c>
      <c r="C117" s="462">
        <v>230</v>
      </c>
      <c r="D117" s="462" t="s">
        <v>851</v>
      </c>
    </row>
    <row r="118" spans="1:4" x14ac:dyDescent="0.25">
      <c r="C118">
        <v>264.5</v>
      </c>
      <c r="D118" t="s">
        <v>654</v>
      </c>
    </row>
    <row r="119" spans="1:4" x14ac:dyDescent="0.25">
      <c r="C119" s="434">
        <v>3151.5174999999999</v>
      </c>
      <c r="D119" t="s">
        <v>949</v>
      </c>
    </row>
    <row r="120" spans="1:4" x14ac:dyDescent="0.25">
      <c r="B120" t="s">
        <v>901</v>
      </c>
      <c r="C120" s="287">
        <v>3151.5174999999999</v>
      </c>
      <c r="D120" t="s">
        <v>902</v>
      </c>
    </row>
    <row r="121" spans="1:4" x14ac:dyDescent="0.25">
      <c r="C121" s="287"/>
    </row>
    <row r="122" spans="1:4" x14ac:dyDescent="0.25">
      <c r="B122" t="s">
        <v>950</v>
      </c>
      <c r="C122" s="287"/>
    </row>
    <row r="123" spans="1:4" x14ac:dyDescent="0.25">
      <c r="A123" t="s">
        <v>220</v>
      </c>
      <c r="B123" t="s">
        <v>693</v>
      </c>
      <c r="C123" s="440">
        <v>725.14525500322793</v>
      </c>
      <c r="D123" t="s">
        <v>903</v>
      </c>
    </row>
    <row r="124" spans="1:4" x14ac:dyDescent="0.25">
      <c r="B124" t="s">
        <v>904</v>
      </c>
      <c r="C124" s="440">
        <v>618.86236976156738</v>
      </c>
      <c r="D124" t="s">
        <v>905</v>
      </c>
    </row>
    <row r="127" spans="1:4" x14ac:dyDescent="0.25">
      <c r="C127" s="321"/>
    </row>
    <row r="129" spans="1:9" x14ac:dyDescent="0.25">
      <c r="A129" t="s">
        <v>951</v>
      </c>
    </row>
    <row r="131" spans="1:9" x14ac:dyDescent="0.25">
      <c r="A131" t="s">
        <v>952</v>
      </c>
      <c r="C131" s="434">
        <v>318.83499999999998</v>
      </c>
      <c r="D131" t="s">
        <v>953</v>
      </c>
    </row>
    <row r="132" spans="1:9" x14ac:dyDescent="0.25">
      <c r="C132">
        <v>4162.2431015000002</v>
      </c>
      <c r="D132" t="s">
        <v>949</v>
      </c>
    </row>
    <row r="139" spans="1:9" x14ac:dyDescent="0.25">
      <c r="I139" s="549"/>
    </row>
    <row r="189" spans="12:13" x14ac:dyDescent="0.25">
      <c r="L189" s="18"/>
      <c r="M189" s="18"/>
    </row>
    <row r="190" spans="12:13" x14ac:dyDescent="0.25">
      <c r="L190" s="547"/>
    </row>
    <row r="191" spans="12:13" x14ac:dyDescent="0.25">
      <c r="L191" s="549"/>
      <c r="M191" s="549"/>
    </row>
    <row r="203" spans="2:2" ht="21" x14ac:dyDescent="0.35">
      <c r="B203" s="441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4"/>
  </sheetPr>
  <dimension ref="A1:AZ177"/>
  <sheetViews>
    <sheetView topLeftCell="A116" workbookViewId="0">
      <selection activeCell="J138" sqref="J138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522</v>
      </c>
    </row>
    <row r="5" spans="1:52" x14ac:dyDescent="0.25">
      <c r="B5" s="18" t="s">
        <v>7</v>
      </c>
      <c r="D5">
        <f>'Capacity &amp; Production'!M50</f>
        <v>4.9000000000000004</v>
      </c>
      <c r="E5">
        <f>'Capacity &amp; Production'!N50</f>
        <v>4.9000000000000004</v>
      </c>
      <c r="F5">
        <f>'Capacity &amp; Production'!O50</f>
        <v>4.9000000000000004</v>
      </c>
      <c r="G5">
        <f>'Capacity &amp; Production'!P50</f>
        <v>4.9000000000000004</v>
      </c>
      <c r="H5">
        <f>'Capacity &amp; Production'!Q50</f>
        <v>4.9000000000000004</v>
      </c>
      <c r="I5">
        <f>'Capacity &amp; Production'!R50</f>
        <v>4.9000000000000004</v>
      </c>
      <c r="J5">
        <f>'Capacity &amp; Production'!S50</f>
        <v>4.9000000000000004</v>
      </c>
      <c r="K5">
        <f>'Capacity &amp; Production'!T50</f>
        <v>4.9000000000000004</v>
      </c>
      <c r="L5">
        <f>'Capacity &amp; Production'!U50</f>
        <v>4.9000000000000004</v>
      </c>
    </row>
    <row r="6" spans="1:52" x14ac:dyDescent="0.25">
      <c r="B6" s="18" t="s">
        <v>170</v>
      </c>
      <c r="D6">
        <f>'Capacity &amp; Production'!M51</f>
        <v>1.2400000000000002</v>
      </c>
      <c r="E6">
        <f>'Capacity &amp; Production'!N51</f>
        <v>1.2400000000000002</v>
      </c>
      <c r="F6">
        <f>'Capacity &amp; Production'!O51</f>
        <v>1.2400000000000002</v>
      </c>
      <c r="G6">
        <f>'Capacity &amp; Production'!P51</f>
        <v>1.2400000000000002</v>
      </c>
      <c r="H6">
        <f>'Capacity &amp; Production'!Q51</f>
        <v>1.2400000000000002</v>
      </c>
      <c r="I6">
        <f>'Capacity &amp; Production'!R51</f>
        <v>1.2400000000000002</v>
      </c>
      <c r="J6">
        <f>'Capacity &amp; Production'!S51</f>
        <v>1.2400000000000002</v>
      </c>
      <c r="K6">
        <f>'Capacity &amp; Production'!T51</f>
        <v>1.2400000000000002</v>
      </c>
      <c r="L6">
        <f>'Capacity &amp; Production'!U51</f>
        <v>1.2400000000000002</v>
      </c>
    </row>
    <row r="7" spans="1:52" x14ac:dyDescent="0.25">
      <c r="B7" s="18" t="s">
        <v>9</v>
      </c>
      <c r="D7">
        <f>'Capacity &amp; Production'!M52</f>
        <v>1.44</v>
      </c>
      <c r="E7">
        <f>'Capacity &amp; Production'!N52</f>
        <v>1.44</v>
      </c>
      <c r="F7">
        <f>'Capacity &amp; Production'!O52</f>
        <v>1.44</v>
      </c>
      <c r="G7">
        <f>'Capacity &amp; Production'!P52</f>
        <v>1.44</v>
      </c>
      <c r="H7">
        <f>'Capacity &amp; Production'!Q52</f>
        <v>1.44</v>
      </c>
      <c r="I7">
        <f>'Capacity &amp; Production'!R52</f>
        <v>1.44</v>
      </c>
      <c r="J7">
        <f>'Capacity &amp; Production'!S52</f>
        <v>1.44</v>
      </c>
      <c r="K7">
        <f>'Capacity &amp; Production'!T52</f>
        <v>1.44</v>
      </c>
      <c r="L7">
        <f>'Capacity &amp; Production'!U52</f>
        <v>1.44</v>
      </c>
    </row>
    <row r="8" spans="1:52" x14ac:dyDescent="0.25">
      <c r="B8" s="18" t="s">
        <v>10</v>
      </c>
      <c r="D8">
        <f>'Capacity &amp; Production'!M53</f>
        <v>1</v>
      </c>
      <c r="E8">
        <f>'Capacity &amp; Production'!N53</f>
        <v>1</v>
      </c>
      <c r="F8">
        <f>'Capacity &amp; Production'!O53</f>
        <v>1</v>
      </c>
      <c r="G8">
        <f>'Capacity &amp; Production'!P53</f>
        <v>1</v>
      </c>
      <c r="H8">
        <f>'Capacity &amp; Production'!Q53</f>
        <v>1</v>
      </c>
      <c r="I8">
        <f>'Capacity &amp; Production'!R53</f>
        <v>1</v>
      </c>
      <c r="J8">
        <f>'Capacity &amp; Production'!S53</f>
        <v>1</v>
      </c>
      <c r="K8">
        <f>'Capacity &amp; Production'!T53</f>
        <v>1</v>
      </c>
      <c r="L8">
        <f>'Capacity &amp; Production'!U53</f>
        <v>1</v>
      </c>
    </row>
    <row r="9" spans="1:52" x14ac:dyDescent="0.25">
      <c r="B9" s="18" t="s">
        <v>8</v>
      </c>
      <c r="D9">
        <f>'Capacity &amp; Production'!M54</f>
        <v>1.7200000000000002</v>
      </c>
      <c r="E9">
        <f>'Capacity &amp; Production'!N54</f>
        <v>1.7200000000000002</v>
      </c>
      <c r="F9">
        <f>'Capacity &amp; Production'!O54</f>
        <v>1.7200000000000002</v>
      </c>
      <c r="G9">
        <f>'Capacity &amp; Production'!P54</f>
        <v>1.7200000000000002</v>
      </c>
      <c r="H9">
        <f>'Capacity &amp; Production'!Q54</f>
        <v>1.7200000000000002</v>
      </c>
      <c r="I9">
        <f>'Capacity &amp; Production'!R54</f>
        <v>1.7200000000000002</v>
      </c>
      <c r="J9">
        <f>'Capacity &amp; Production'!S54</f>
        <v>1.7200000000000002</v>
      </c>
      <c r="K9">
        <f>'Capacity &amp; Production'!T54</f>
        <v>1.7200000000000002</v>
      </c>
      <c r="L9">
        <f>'Capacity &amp; Production'!U54</f>
        <v>1.7200000000000002</v>
      </c>
    </row>
    <row r="10" spans="1:52" x14ac:dyDescent="0.25">
      <c r="B10" s="18" t="s">
        <v>501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523</v>
      </c>
      <c r="B13" s="18"/>
      <c r="C13" s="304" t="s">
        <v>752</v>
      </c>
      <c r="M13" s="18" t="s">
        <v>524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v>3</v>
      </c>
      <c r="U14">
        <f t="shared" si="2"/>
        <v>3</v>
      </c>
      <c r="V14">
        <f t="shared" si="2"/>
        <v>3</v>
      </c>
      <c r="W14">
        <f t="shared" si="2"/>
        <v>3</v>
      </c>
      <c r="X14">
        <f t="shared" si="2"/>
        <v>3</v>
      </c>
      <c r="Y14">
        <f t="shared" si="2"/>
        <v>3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170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6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759</v>
      </c>
      <c r="D20" s="268">
        <f>'Capacity &amp; Production'!M271</f>
        <v>6.94</v>
      </c>
      <c r="E20" s="268">
        <f>'Capacity &amp; Production'!N271</f>
        <v>7.1</v>
      </c>
      <c r="F20" s="268">
        <f>'Capacity &amp; Production'!O271</f>
        <v>6.5</v>
      </c>
      <c r="G20" s="268">
        <f>'Capacity &amp; Production'!P271</f>
        <v>6.4000000000000012</v>
      </c>
      <c r="H20" s="268">
        <f>'Capacity &amp; Production'!Q271</f>
        <v>6.0910000000000002</v>
      </c>
      <c r="I20" s="268">
        <f>'Capacity &amp; Production'!R271</f>
        <v>6.23</v>
      </c>
      <c r="J20" s="268">
        <f>'Capacity &amp; Production'!S271</f>
        <v>6.3</v>
      </c>
      <c r="K20" s="268">
        <f>'Capacity &amp; Production'!T271</f>
        <v>6.1267974837582679</v>
      </c>
      <c r="L20" s="268">
        <f>'Capacity &amp; Production'!U271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526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'Capacity &amp; Production'!M266</f>
        <v>3.3</v>
      </c>
      <c r="E24" s="327">
        <f>'Capacity &amp; Production'!N266</f>
        <v>3.3760806916426511</v>
      </c>
      <c r="F24" s="327">
        <f>'Capacity &amp; Production'!O266</f>
        <v>3.0907780979827089</v>
      </c>
      <c r="G24" s="327">
        <f>'Capacity &amp; Production'!P266</f>
        <v>3.1641891891891891</v>
      </c>
      <c r="H24" s="327">
        <f>'Capacity &amp; Production'!Q266</f>
        <v>3.1641891891891891</v>
      </c>
      <c r="I24" s="327">
        <f>'Capacity &amp; Production'!R266</f>
        <v>3.0330810810810807</v>
      </c>
      <c r="J24" s="327">
        <f>'Capacity &amp; Production'!S266</f>
        <v>3.2032972972972971</v>
      </c>
      <c r="K24" s="327">
        <f>'Capacity &amp; Production'!T266</f>
        <v>3.0300947810555652</v>
      </c>
      <c r="L24" s="327">
        <f>'Capacity &amp; Production'!U266</f>
        <v>3.0300947810555652</v>
      </c>
    </row>
    <row r="25" spans="1:52" x14ac:dyDescent="0.25">
      <c r="B25" s="18" t="s">
        <v>170</v>
      </c>
      <c r="C25" s="122" cm="1">
        <f t="array" ref="C25">MAX(D25:L25/D6:L6)</f>
        <v>0.99830343032443969</v>
      </c>
      <c r="D25" s="327">
        <f>'Capacity &amp; Production'!M267</f>
        <v>1.21</v>
      </c>
      <c r="E25" s="327">
        <f>'Capacity &amp; Production'!N267</f>
        <v>1.2378962536023055</v>
      </c>
      <c r="F25" s="327">
        <f>'Capacity &amp; Production'!O267</f>
        <v>1.13328530259366</v>
      </c>
      <c r="G25" s="327">
        <f>'Capacity &amp; Production'!P267</f>
        <v>0.96299999999999997</v>
      </c>
      <c r="H25" s="327">
        <f>'Capacity &amp; Production'!Q267</f>
        <v>0.83199999999999996</v>
      </c>
      <c r="I25" s="327">
        <f>'Capacity &amp; Production'!R267</f>
        <v>1.1180000000000001</v>
      </c>
      <c r="J25" s="327">
        <f>'Capacity &amp; Production'!S267</f>
        <v>1.0860000000000001</v>
      </c>
      <c r="K25" s="327">
        <f>'Capacity &amp; Production'!T267</f>
        <v>1.0860000000000001</v>
      </c>
      <c r="L25" s="327">
        <f>'Capacity &amp; Production'!U267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'Capacity &amp; Production'!M268</f>
        <v>0.95</v>
      </c>
      <c r="E26" s="327">
        <f>'Capacity &amp; Production'!N268</f>
        <v>0.97190201729106618</v>
      </c>
      <c r="F26" s="327">
        <f>'Capacity &amp; Production'!O268</f>
        <v>0.88976945244956762</v>
      </c>
      <c r="G26" s="327">
        <f>'Capacity &amp; Production'!P268</f>
        <v>0.77481081081081082</v>
      </c>
      <c r="H26" s="327">
        <f>'Capacity &amp; Production'!Q268</f>
        <v>0.77481081081081082</v>
      </c>
      <c r="I26" s="327">
        <f>'Capacity &amp; Production'!R268</f>
        <v>0.75891891891891894</v>
      </c>
      <c r="J26" s="327">
        <f>'Capacity &amp; Production'!S268</f>
        <v>0.80270270270270283</v>
      </c>
      <c r="K26" s="327">
        <f>'Capacity &amp; Production'!T268</f>
        <v>0.80270270270270283</v>
      </c>
      <c r="L26" s="327">
        <f>'Capacity &amp; Production'!U268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'Capacity &amp; Production'!M269</f>
        <v>0.62</v>
      </c>
      <c r="E27" s="327">
        <f>'Capacity &amp; Production'!N269</f>
        <v>0.63429394812680118</v>
      </c>
      <c r="F27" s="327">
        <f>'Capacity &amp; Production'!O269</f>
        <v>0.5806916426512968</v>
      </c>
      <c r="G27" s="327">
        <f>'Capacity &amp; Production'!P269</f>
        <v>0.1360000000000007</v>
      </c>
      <c r="H27" s="327">
        <f>'Capacity &amp; Production'!Q269</f>
        <v>0</v>
      </c>
      <c r="I27" s="327">
        <f>'Capacity &amp; Production'!R269</f>
        <v>0</v>
      </c>
      <c r="J27" s="327">
        <f>'Capacity &amp; Production'!S269</f>
        <v>0</v>
      </c>
      <c r="K27" s="327">
        <f>'Capacity &amp; Production'!T269</f>
        <v>0</v>
      </c>
      <c r="L27" s="327">
        <f>'Capacity &amp; Production'!U269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'Capacity &amp; Production'!M270</f>
        <v>0.86</v>
      </c>
      <c r="E28" s="327">
        <f>'Capacity &amp; Production'!N270</f>
        <v>0.87982708933717579</v>
      </c>
      <c r="F28" s="327">
        <f>'Capacity &amp; Production'!O270</f>
        <v>0.8054755043227666</v>
      </c>
      <c r="G28" s="327">
        <f>'Capacity &amp; Production'!P270</f>
        <v>1.3620000000000003</v>
      </c>
      <c r="H28" s="327">
        <f>'Capacity &amp; Production'!Q270</f>
        <v>1.3200000000000003</v>
      </c>
      <c r="I28" s="327">
        <f>'Capacity &amp; Production'!R270</f>
        <v>1.3200000000000003</v>
      </c>
      <c r="J28" s="327">
        <f>'Capacity &amp; Production'!S270</f>
        <v>1.2079999999999993</v>
      </c>
      <c r="K28" s="327">
        <f>'Capacity &amp; Production'!T270</f>
        <v>1.2079999999999993</v>
      </c>
      <c r="L28" s="327">
        <f>'Capacity &amp; Production'!U270</f>
        <v>1.2079999999999993</v>
      </c>
    </row>
    <row r="29" spans="1:52" x14ac:dyDescent="0.25">
      <c r="B29" s="322" t="s">
        <v>527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527</v>
      </c>
      <c r="B31" s="18" t="s">
        <v>529</v>
      </c>
      <c r="C31" t="s">
        <v>531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530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535</v>
      </c>
    </row>
    <row r="36" spans="1:5" x14ac:dyDescent="0.25">
      <c r="C36" t="s">
        <v>533</v>
      </c>
      <c r="E36" t="s">
        <v>760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170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584</v>
      </c>
    </row>
    <row r="45" spans="1:5" x14ac:dyDescent="0.25">
      <c r="B45" t="s">
        <v>167</v>
      </c>
      <c r="C45">
        <f>C37</f>
        <v>2.81</v>
      </c>
    </row>
    <row r="46" spans="1:5" x14ac:dyDescent="0.25">
      <c r="B46" t="s">
        <v>536</v>
      </c>
      <c r="C46">
        <f>C45</f>
        <v>2.81</v>
      </c>
    </row>
    <row r="47" spans="1:5" x14ac:dyDescent="0.25">
      <c r="B47" t="s">
        <v>169</v>
      </c>
      <c r="C47" s="268">
        <f>C38</f>
        <v>2.1267142857142858</v>
      </c>
    </row>
    <row r="48" spans="1:5" x14ac:dyDescent="0.25">
      <c r="B48" t="s">
        <v>172</v>
      </c>
      <c r="C48" s="268">
        <f>C39</f>
        <v>1.605</v>
      </c>
    </row>
    <row r="49" spans="1:13" x14ac:dyDescent="0.25">
      <c r="B49" t="s">
        <v>537</v>
      </c>
      <c r="C49" s="268">
        <f>C48</f>
        <v>1.605</v>
      </c>
    </row>
    <row r="50" spans="1:13" x14ac:dyDescent="0.25">
      <c r="B50" t="s">
        <v>538</v>
      </c>
      <c r="C50" s="268">
        <f>C49</f>
        <v>1.605</v>
      </c>
    </row>
    <row r="51" spans="1:13" x14ac:dyDescent="0.25">
      <c r="B51" t="s">
        <v>176</v>
      </c>
      <c r="C51">
        <f>C40</f>
        <v>1.54</v>
      </c>
    </row>
    <row r="52" spans="1:13" x14ac:dyDescent="0.25">
      <c r="B52" t="s">
        <v>178</v>
      </c>
      <c r="C52">
        <f>C41</f>
        <v>0.08</v>
      </c>
      <c r="H52" s="99"/>
      <c r="J52" s="99"/>
      <c r="M52" s="99"/>
    </row>
    <row r="53" spans="1:13" x14ac:dyDescent="0.25">
      <c r="B53" t="s">
        <v>539</v>
      </c>
      <c r="C53">
        <f>C52</f>
        <v>0.08</v>
      </c>
    </row>
    <row r="60" spans="1:13" x14ac:dyDescent="0.25">
      <c r="A60" s="18" t="s">
        <v>732</v>
      </c>
    </row>
    <row r="61" spans="1:13" x14ac:dyDescent="0.25">
      <c r="C61" s="18" t="s">
        <v>1257</v>
      </c>
    </row>
    <row r="62" spans="1:13" x14ac:dyDescent="0.25">
      <c r="A62" t="s">
        <v>733</v>
      </c>
      <c r="B62" t="s">
        <v>167</v>
      </c>
      <c r="C62" s="434">
        <f>'TNapp - Opex sheet'!C122*G64</f>
        <v>4099.6387421612053</v>
      </c>
      <c r="G62">
        <v>1.3</v>
      </c>
      <c r="H62" t="s">
        <v>1151</v>
      </c>
    </row>
    <row r="63" spans="1:13" x14ac:dyDescent="0.25">
      <c r="B63" t="s">
        <v>536</v>
      </c>
      <c r="C63" s="434">
        <f>C62</f>
        <v>4099.6387421612053</v>
      </c>
      <c r="G63">
        <v>1.4059999999999999</v>
      </c>
      <c r="H63" t="s">
        <v>1258</v>
      </c>
    </row>
    <row r="64" spans="1:13" x14ac:dyDescent="0.25">
      <c r="B64" t="s">
        <v>172</v>
      </c>
      <c r="C64" s="434">
        <f>'TNapp - Opex sheet'!D123*G64</f>
        <v>4470.5528012602799</v>
      </c>
      <c r="G64">
        <f>G63*G62</f>
        <v>1.8277999999999999</v>
      </c>
    </row>
    <row r="65" spans="1:5" x14ac:dyDescent="0.25">
      <c r="B65" t="s">
        <v>537</v>
      </c>
      <c r="C65" s="434">
        <f>C64</f>
        <v>4470.5528012602799</v>
      </c>
    </row>
    <row r="66" spans="1:5" x14ac:dyDescent="0.25">
      <c r="B66" s="534" t="s">
        <v>539</v>
      </c>
      <c r="C66" s="536">
        <f>'TNapp - Opex sheet'!E122*G64</f>
        <v>6120.6076128011382</v>
      </c>
    </row>
    <row r="67" spans="1:5" x14ac:dyDescent="0.25">
      <c r="B67" s="534" t="s">
        <v>169</v>
      </c>
      <c r="C67" s="536">
        <f>'TNapp - Opex sheet'!F122*G64</f>
        <v>3887.0977910252077</v>
      </c>
    </row>
    <row r="68" spans="1:5" x14ac:dyDescent="0.25">
      <c r="A68" t="s">
        <v>766</v>
      </c>
    </row>
    <row r="69" spans="1:5" x14ac:dyDescent="0.25">
      <c r="B69" t="s">
        <v>536</v>
      </c>
      <c r="C69" s="522">
        <f>'TNapp - Capex sheet'!C74*$G$64</f>
        <v>4132.8716804986489</v>
      </c>
    </row>
    <row r="70" spans="1:5" x14ac:dyDescent="0.25">
      <c r="B70" t="s">
        <v>537</v>
      </c>
      <c r="C70" s="522">
        <f>'TNapp - Capex sheet'!C75*$G$64</f>
        <v>4119.7362034379503</v>
      </c>
    </row>
    <row r="71" spans="1:5" x14ac:dyDescent="0.25">
      <c r="B71" s="534" t="s">
        <v>538</v>
      </c>
      <c r="C71" s="522">
        <f>'TNapp - Capex sheet'!C73*$G$64</f>
        <v>3433.1135028649592</v>
      </c>
    </row>
    <row r="72" spans="1:5" x14ac:dyDescent="0.25">
      <c r="B72" s="534" t="s">
        <v>539</v>
      </c>
      <c r="C72" s="522">
        <f>'TNapp - Capex sheet'!C72*$G$64</f>
        <v>2530.0543516740895</v>
      </c>
    </row>
    <row r="74" spans="1:5" x14ac:dyDescent="0.25">
      <c r="A74" s="18" t="s">
        <v>734</v>
      </c>
    </row>
    <row r="75" spans="1:5" x14ac:dyDescent="0.25">
      <c r="B75" t="s">
        <v>0</v>
      </c>
      <c r="C75">
        <v>20</v>
      </c>
      <c r="D75" t="s">
        <v>736</v>
      </c>
      <c r="E75" t="s">
        <v>735</v>
      </c>
    </row>
    <row r="76" spans="1:5" x14ac:dyDescent="0.25">
      <c r="C76">
        <v>15</v>
      </c>
      <c r="D76" t="s">
        <v>738</v>
      </c>
      <c r="E76" t="s">
        <v>737</v>
      </c>
    </row>
    <row r="77" spans="1:5" x14ac:dyDescent="0.25">
      <c r="C77" s="435" t="s">
        <v>747</v>
      </c>
      <c r="D77" t="s">
        <v>748</v>
      </c>
      <c r="E77" t="s">
        <v>749</v>
      </c>
    </row>
    <row r="79" spans="1:5" x14ac:dyDescent="0.25">
      <c r="C79">
        <f>C75</f>
        <v>20</v>
      </c>
      <c r="D79" t="s">
        <v>750</v>
      </c>
      <c r="E79" t="s">
        <v>751</v>
      </c>
    </row>
    <row r="81" spans="1:13" x14ac:dyDescent="0.25">
      <c r="C81">
        <v>2007</v>
      </c>
      <c r="D81" t="s">
        <v>753</v>
      </c>
    </row>
    <row r="82" spans="1:13" x14ac:dyDescent="0.25">
      <c r="C82">
        <v>2014</v>
      </c>
      <c r="D82" t="s">
        <v>755</v>
      </c>
    </row>
    <row r="83" spans="1:13" x14ac:dyDescent="0.25">
      <c r="C83" s="18">
        <f>C79+C82</f>
        <v>2034</v>
      </c>
      <c r="D83" s="18" t="s">
        <v>754</v>
      </c>
      <c r="E83" s="18"/>
    </row>
    <row r="85" spans="1:13" x14ac:dyDescent="0.25">
      <c r="B85" t="s">
        <v>1</v>
      </c>
      <c r="C85">
        <v>20</v>
      </c>
      <c r="D85" t="s">
        <v>757</v>
      </c>
      <c r="E85" t="s">
        <v>756</v>
      </c>
    </row>
    <row r="86" spans="1:13" x14ac:dyDescent="0.25">
      <c r="C86" s="18">
        <v>2030</v>
      </c>
      <c r="D86" s="18" t="s">
        <v>758</v>
      </c>
      <c r="E86" s="18"/>
      <c r="F86" s="18"/>
    </row>
    <row r="93" spans="1:13" x14ac:dyDescent="0.25">
      <c r="D93" s="616" t="s">
        <v>1058</v>
      </c>
      <c r="E93" s="616"/>
      <c r="F93" s="616"/>
      <c r="G93" s="616"/>
      <c r="H93" s="616" t="s">
        <v>1059</v>
      </c>
      <c r="I93" s="616"/>
      <c r="J93" s="616"/>
      <c r="K93" s="616"/>
      <c r="L93" s="616"/>
      <c r="M93" s="616"/>
    </row>
    <row r="94" spans="1:13" ht="110.25" x14ac:dyDescent="0.25">
      <c r="A94" s="83"/>
      <c r="B94" s="83"/>
      <c r="C94" s="83" t="s">
        <v>667</v>
      </c>
      <c r="D94" s="516" t="s">
        <v>1060</v>
      </c>
      <c r="E94" s="516" t="s">
        <v>1061</v>
      </c>
      <c r="F94" s="516" t="s">
        <v>1062</v>
      </c>
      <c r="G94" s="516" t="s">
        <v>1077</v>
      </c>
      <c r="H94" s="516" t="s">
        <v>1063</v>
      </c>
      <c r="I94" s="516" t="s">
        <v>1064</v>
      </c>
      <c r="J94" s="516" t="s">
        <v>1065</v>
      </c>
      <c r="K94" s="516" t="s">
        <v>1066</v>
      </c>
      <c r="L94" s="517"/>
    </row>
    <row r="95" spans="1:13" ht="31.5" x14ac:dyDescent="0.25">
      <c r="A95" s="80"/>
      <c r="B95" s="80"/>
      <c r="C95" s="83"/>
      <c r="D95" s="516" t="s">
        <v>7</v>
      </c>
      <c r="E95" s="516" t="s">
        <v>9</v>
      </c>
      <c r="F95" s="516" t="s">
        <v>460</v>
      </c>
      <c r="G95" s="516" t="s">
        <v>170</v>
      </c>
      <c r="H95" s="516" t="s">
        <v>1067</v>
      </c>
      <c r="I95" s="516" t="s">
        <v>1068</v>
      </c>
      <c r="J95" s="516" t="s">
        <v>1069</v>
      </c>
      <c r="K95" s="516" t="s">
        <v>1070</v>
      </c>
      <c r="L95" s="517"/>
    </row>
    <row r="96" spans="1:13" x14ac:dyDescent="0.25">
      <c r="A96" s="624" t="s">
        <v>1075</v>
      </c>
      <c r="B96" s="518" t="s">
        <v>1076</v>
      </c>
      <c r="C96" s="518" t="s">
        <v>187</v>
      </c>
      <c r="D96" s="518">
        <f>SUMIFS($L$5:$L$9,$B$5:$B$9,D$95)</f>
        <v>4.9000000000000004</v>
      </c>
      <c r="E96" s="518">
        <f>SUMIFS($L$5:$L$9,$B$5:$B$9,E$95)</f>
        <v>1.44</v>
      </c>
      <c r="F96" s="518">
        <f>SUMIFS($L$5:$L$9,$B$5:$B$9,F$95)</f>
        <v>1.7200000000000002</v>
      </c>
      <c r="G96" s="518">
        <f>SUMIFS($L$5:$L$9,$B$5:$B$9,G$95)</f>
        <v>1.2400000000000002</v>
      </c>
      <c r="H96" s="518"/>
      <c r="I96" s="518"/>
      <c r="J96" s="518"/>
      <c r="K96" s="518"/>
      <c r="L96" s="519"/>
    </row>
    <row r="97" spans="1:36" x14ac:dyDescent="0.25">
      <c r="A97" s="623"/>
      <c r="B97" s="518" t="s">
        <v>919</v>
      </c>
      <c r="C97" s="520" t="s">
        <v>262</v>
      </c>
      <c r="D97" s="526">
        <v>0.9</v>
      </c>
      <c r="E97" s="526">
        <v>0.9</v>
      </c>
      <c r="F97" s="526">
        <v>0.9</v>
      </c>
      <c r="G97" s="526">
        <v>0.9</v>
      </c>
      <c r="H97" s="526">
        <v>0.9</v>
      </c>
      <c r="I97" s="526">
        <v>0.9</v>
      </c>
      <c r="J97" s="526">
        <v>0.9</v>
      </c>
      <c r="K97" s="526">
        <v>0.9</v>
      </c>
      <c r="L97" s="519"/>
    </row>
    <row r="98" spans="1:36" x14ac:dyDescent="0.25">
      <c r="A98" s="623"/>
      <c r="B98" s="518" t="s">
        <v>1072</v>
      </c>
      <c r="C98" s="518"/>
      <c r="D98" s="525">
        <v>2034</v>
      </c>
      <c r="E98" s="525">
        <v>2034</v>
      </c>
      <c r="F98" s="525">
        <v>2030</v>
      </c>
      <c r="G98" s="525">
        <v>2030</v>
      </c>
      <c r="H98" s="522"/>
      <c r="I98" s="522"/>
      <c r="J98" s="522"/>
      <c r="K98" s="522"/>
      <c r="L98" s="522"/>
    </row>
    <row r="99" spans="1:36" x14ac:dyDescent="0.25">
      <c r="A99" s="623"/>
      <c r="B99" s="518" t="s">
        <v>899</v>
      </c>
      <c r="C99" s="518" t="s">
        <v>1074</v>
      </c>
      <c r="D99" s="521"/>
      <c r="E99" s="521"/>
      <c r="F99" s="521"/>
      <c r="G99" s="521"/>
      <c r="H99" s="535">
        <f>C69</f>
        <v>4132.8716804986489</v>
      </c>
      <c r="I99" s="535">
        <f>C70</f>
        <v>4119.7362034379503</v>
      </c>
      <c r="J99" s="535">
        <f>C71</f>
        <v>3433.1135028649592</v>
      </c>
      <c r="K99" s="119">
        <f>C72</f>
        <v>2530.0543516740895</v>
      </c>
      <c r="L99" s="522"/>
    </row>
    <row r="100" spans="1:36" x14ac:dyDescent="0.25">
      <c r="A100" s="623"/>
      <c r="B100" s="518" t="s">
        <v>1073</v>
      </c>
      <c r="C100" s="518" t="s">
        <v>927</v>
      </c>
      <c r="D100" s="521">
        <f>C62</f>
        <v>4099.6387421612053</v>
      </c>
      <c r="E100" s="521">
        <f>C64</f>
        <v>4470.5528012602799</v>
      </c>
      <c r="F100" s="521">
        <f>C66</f>
        <v>6120.6076128011382</v>
      </c>
      <c r="G100" s="521">
        <f>C67</f>
        <v>3887.0977910252077</v>
      </c>
      <c r="H100" s="119">
        <f>D100</f>
        <v>4099.6387421612053</v>
      </c>
      <c r="I100" s="535">
        <f>E100</f>
        <v>4470.5528012602799</v>
      </c>
      <c r="J100" s="535">
        <f>I100</f>
        <v>4470.5528012602799</v>
      </c>
      <c r="K100" s="535">
        <f>F100</f>
        <v>6120.6076128011382</v>
      </c>
      <c r="L100" s="522"/>
      <c r="AB100" s="562" t="s">
        <v>1230</v>
      </c>
      <c r="AC100" s="562"/>
      <c r="AD100" s="563"/>
      <c r="AE100" s="563"/>
      <c r="AF100" s="563"/>
      <c r="AG100" s="563"/>
      <c r="AH100" s="563"/>
      <c r="AI100" s="563"/>
      <c r="AJ100" s="563"/>
    </row>
    <row r="101" spans="1:36" x14ac:dyDescent="0.25">
      <c r="A101" s="625"/>
      <c r="B101" s="518" t="s">
        <v>734</v>
      </c>
      <c r="C101" s="518" t="s">
        <v>736</v>
      </c>
      <c r="D101" s="521"/>
      <c r="E101" s="521"/>
      <c r="F101" s="521"/>
      <c r="G101" s="521"/>
      <c r="H101" s="525">
        <v>20</v>
      </c>
      <c r="I101" s="525">
        <v>20</v>
      </c>
      <c r="J101" s="525">
        <v>20</v>
      </c>
      <c r="K101" s="525">
        <v>20</v>
      </c>
      <c r="L101" s="522"/>
      <c r="Q101" s="578" t="s">
        <v>1253</v>
      </c>
      <c r="AB101" s="564" t="s">
        <v>1231</v>
      </c>
      <c r="AC101" s="565" t="s">
        <v>1232</v>
      </c>
      <c r="AD101" s="564" t="s">
        <v>1233</v>
      </c>
      <c r="AE101" s="564" t="s">
        <v>1234</v>
      </c>
      <c r="AF101" s="566" t="s">
        <v>667</v>
      </c>
      <c r="AG101" s="566" t="s">
        <v>1235</v>
      </c>
      <c r="AH101" s="566" t="s">
        <v>1236</v>
      </c>
      <c r="AI101" s="566" t="s">
        <v>1237</v>
      </c>
      <c r="AJ101" s="566" t="s">
        <v>1238</v>
      </c>
    </row>
    <row r="102" spans="1:36" ht="52.5" thickBot="1" x14ac:dyDescent="0.3">
      <c r="A102" s="523"/>
      <c r="B102" s="523"/>
      <c r="C102" s="523"/>
      <c r="D102" s="523"/>
      <c r="E102" s="523"/>
      <c r="F102" s="523"/>
      <c r="G102" s="523"/>
      <c r="H102" s="523"/>
      <c r="I102" s="523"/>
      <c r="J102" s="523"/>
      <c r="K102" s="523"/>
      <c r="L102" s="524"/>
      <c r="Q102" t="s">
        <v>1078</v>
      </c>
      <c r="AB102" s="567" t="s">
        <v>1239</v>
      </c>
      <c r="AC102" s="568" t="s">
        <v>1240</v>
      </c>
      <c r="AD102" s="567" t="s">
        <v>1241</v>
      </c>
      <c r="AE102" s="567" t="s">
        <v>1242</v>
      </c>
      <c r="AF102" s="567" t="s">
        <v>667</v>
      </c>
      <c r="AG102" s="567" t="s">
        <v>1243</v>
      </c>
      <c r="AH102" s="567" t="s">
        <v>1244</v>
      </c>
      <c r="AI102" s="567" t="s">
        <v>1245</v>
      </c>
      <c r="AJ102" s="567" t="s">
        <v>1246</v>
      </c>
    </row>
    <row r="103" spans="1:36" x14ac:dyDescent="0.25">
      <c r="A103" s="624" t="s">
        <v>230</v>
      </c>
      <c r="B103" s="518" t="s">
        <v>13</v>
      </c>
      <c r="C103" s="520" t="s">
        <v>146</v>
      </c>
      <c r="D103" s="521">
        <f>SUMIFS($R$104:$X$104,$R$103:$X$103,$B103)</f>
        <v>4.3302170790299686</v>
      </c>
      <c r="E103" s="521">
        <f>SUMIFS($R$105:$X$105,$R$103:$X$103,$B103)</f>
        <v>20.596584135938251</v>
      </c>
      <c r="F103" s="521">
        <f>SUMIFS($R$106:$X$106,$R$103:$X$103,$B103)</f>
        <v>0</v>
      </c>
      <c r="G103" s="521">
        <f>SUMIFS($R$107:$X$107,$R$103:$X$103,$B103)</f>
        <v>17.2</v>
      </c>
      <c r="H103" s="521">
        <f t="shared" ref="H103:I107" si="11">D103</f>
        <v>4.3302170790299686</v>
      </c>
      <c r="I103" s="521">
        <f t="shared" si="11"/>
        <v>20.596584135938251</v>
      </c>
      <c r="J103" s="521"/>
      <c r="K103" s="521">
        <f>F103</f>
        <v>0</v>
      </c>
      <c r="L103" s="519"/>
      <c r="R103" s="135" t="s">
        <v>13</v>
      </c>
      <c r="S103" s="135" t="s">
        <v>14</v>
      </c>
      <c r="T103" s="135" t="s">
        <v>11</v>
      </c>
      <c r="U103" s="135" t="s">
        <v>452</v>
      </c>
      <c r="V103" s="135" t="s">
        <v>151</v>
      </c>
      <c r="W103" s="135" t="s">
        <v>198</v>
      </c>
      <c r="X103" s="135" t="s">
        <v>322</v>
      </c>
      <c r="Z103" t="s">
        <v>13</v>
      </c>
      <c r="AB103" s="569" t="s">
        <v>1248</v>
      </c>
      <c r="AC103" s="569" t="s">
        <v>1008</v>
      </c>
      <c r="AD103" t="s">
        <v>38</v>
      </c>
      <c r="AE103" t="str">
        <f>"Industry - I&amp;S - "&amp;Z104</f>
        <v>Industry - I&amp;S - Elec</v>
      </c>
      <c r="AF103" s="569" t="s">
        <v>140</v>
      </c>
      <c r="AG103" s="570"/>
      <c r="AH103" s="569" t="s">
        <v>1011</v>
      </c>
      <c r="AI103" s="570"/>
      <c r="AJ103" s="569" t="s">
        <v>1249</v>
      </c>
    </row>
    <row r="104" spans="1:36" x14ac:dyDescent="0.25">
      <c r="A104" s="623"/>
      <c r="B104" s="518" t="s">
        <v>11</v>
      </c>
      <c r="C104" s="520" t="s">
        <v>146</v>
      </c>
      <c r="D104" s="521">
        <f>SUMIFS($R$104:$X$104,$R$103:$X$103,$B104)</f>
        <v>8.8757836125478331</v>
      </c>
      <c r="E104" s="521">
        <f>SUMIFS($R$105:$X$105,$R$103:$X$103,$B104)</f>
        <v>0</v>
      </c>
      <c r="F104" s="521">
        <f>SUMIFS($R$106:$X$106,$R$103:$X$103,$B104)</f>
        <v>0</v>
      </c>
      <c r="G104" s="521">
        <f>SUMIFS($R$107:$X$107,$R$103:$X$103,$B104)</f>
        <v>2.6</v>
      </c>
      <c r="H104" s="521">
        <f t="shared" si="11"/>
        <v>8.8757836125478331</v>
      </c>
      <c r="I104" s="521">
        <f t="shared" si="11"/>
        <v>0</v>
      </c>
      <c r="J104" s="521"/>
      <c r="K104" s="521">
        <f>F104</f>
        <v>0</v>
      </c>
      <c r="L104" s="519"/>
      <c r="Q104" s="117" t="s">
        <v>7</v>
      </c>
      <c r="R104" s="395">
        <f>'Energy Calibration'!E99</f>
        <v>4.3302170790299686</v>
      </c>
      <c r="S104" s="395">
        <f>'Energy Calibration'!F99</f>
        <v>2.0996782148442206</v>
      </c>
      <c r="T104" s="395">
        <f>'Energy Calibration'!G99</f>
        <v>8.8757836125478331</v>
      </c>
      <c r="U104" s="395">
        <f>'Energy Calibration'!H99</f>
        <v>0</v>
      </c>
      <c r="V104" s="395">
        <f>'Energy Calibration'!I99</f>
        <v>0.59433505502672301</v>
      </c>
      <c r="W104" s="395">
        <f>'Energy Calibration'!J99</f>
        <v>3.8314510321037716</v>
      </c>
      <c r="X104" s="395">
        <f>'Energy Calibration'!K99</f>
        <v>0</v>
      </c>
      <c r="Z104" t="s">
        <v>378</v>
      </c>
      <c r="AB104" s="569" t="s">
        <v>1248</v>
      </c>
      <c r="AC104" s="569" t="s">
        <v>1008</v>
      </c>
      <c r="AD104" t="s">
        <v>40</v>
      </c>
      <c r="AE104" t="str">
        <f>"Industry - I&amp;S - "&amp;Z105</f>
        <v>Industry - I&amp;S - Coke</v>
      </c>
      <c r="AF104" s="569" t="s">
        <v>140</v>
      </c>
      <c r="AG104" s="563"/>
      <c r="AH104" s="569" t="s">
        <v>1012</v>
      </c>
      <c r="AI104" s="563"/>
      <c r="AJ104" s="563"/>
    </row>
    <row r="105" spans="1:36" x14ac:dyDescent="0.25">
      <c r="A105" s="623"/>
      <c r="B105" t="s">
        <v>198</v>
      </c>
      <c r="C105" s="520" t="s">
        <v>146</v>
      </c>
      <c r="D105" s="521">
        <f>SUMIFS($R$104:$X$104,$R$103:$X$103,$B105)</f>
        <v>3.8314510321037716</v>
      </c>
      <c r="E105" s="521">
        <f>SUMIFS($R$105:$X$105,$R$103:$X$103,$B105)</f>
        <v>3.8314510321037716</v>
      </c>
      <c r="F105" s="521">
        <f>SUMIFS($R$106:$X$106,$R$103:$X$103,$B105)</f>
        <v>0.69427752927902087</v>
      </c>
      <c r="G105" s="521">
        <f>SUMIFS($R$107:$X$107,$R$103:$X$103,$B105)</f>
        <v>0.406700668706789</v>
      </c>
      <c r="H105" s="521">
        <f t="shared" si="11"/>
        <v>3.8314510321037716</v>
      </c>
      <c r="I105" s="521">
        <f t="shared" si="11"/>
        <v>3.8314510321037716</v>
      </c>
      <c r="J105" s="521">
        <v>16</v>
      </c>
      <c r="K105" s="521">
        <f>F105</f>
        <v>0.69427752927902087</v>
      </c>
      <c r="L105" s="519"/>
      <c r="Q105" s="117" t="s">
        <v>173</v>
      </c>
      <c r="R105" s="395">
        <f>'Energy Calibration'!E100</f>
        <v>20.596584135938251</v>
      </c>
      <c r="S105" s="395">
        <f>'Energy Calibration'!F100</f>
        <v>4.8574938650306745</v>
      </c>
      <c r="T105" s="395">
        <f>'Energy Calibration'!G100</f>
        <v>0</v>
      </c>
      <c r="U105" s="395">
        <f>'Energy Calibration'!H100</f>
        <v>0</v>
      </c>
      <c r="V105" s="395">
        <f>'Energy Calibration'!I100</f>
        <v>0</v>
      </c>
      <c r="W105" s="395">
        <f>'Energy Calibration'!J100</f>
        <v>3.8314510321037716</v>
      </c>
      <c r="X105" s="395">
        <f>'Energy Calibration'!K100</f>
        <v>0</v>
      </c>
      <c r="Z105" t="s">
        <v>11</v>
      </c>
      <c r="AB105" s="571" t="s">
        <v>1247</v>
      </c>
      <c r="AC105" s="569" t="s">
        <v>1008</v>
      </c>
      <c r="AD105" s="99" t="s">
        <v>39</v>
      </c>
      <c r="AE105" t="str">
        <f>"Industry - I&amp;S - "&amp;Z108</f>
        <v>Industry - I&amp;S - Crude Steel</v>
      </c>
      <c r="AF105" s="571" t="s">
        <v>140</v>
      </c>
      <c r="AG105" s="563"/>
      <c r="AH105" s="572" t="s">
        <v>1012</v>
      </c>
      <c r="AI105" s="563"/>
      <c r="AJ105" s="563"/>
    </row>
    <row r="106" spans="1:36" x14ac:dyDescent="0.25">
      <c r="A106" s="623"/>
      <c r="B106" t="s">
        <v>151</v>
      </c>
      <c r="C106" s="520" t="s">
        <v>146</v>
      </c>
      <c r="D106" s="521">
        <f>SUMIFS($R$104:$X$104,$R$103:$X$103,$B106)</f>
        <v>0.59433505502672301</v>
      </c>
      <c r="E106" s="521">
        <f>SUMIFS($R$105:$X$105,$R$103:$X$103,$B106)</f>
        <v>0</v>
      </c>
      <c r="F106" s="521">
        <f>SUMIFS($R$106:$X$106,$R$103:$X$103,$B106)</f>
        <v>0.70602057094563631</v>
      </c>
      <c r="G106" s="521">
        <f>SUMIFS($R$107:$X$107,$R$103:$X$103,$B106)</f>
        <v>0.21697550364662166</v>
      </c>
      <c r="H106" s="521">
        <f t="shared" si="11"/>
        <v>0.59433505502672301</v>
      </c>
      <c r="I106" s="521">
        <f t="shared" si="11"/>
        <v>0</v>
      </c>
      <c r="J106" s="521"/>
      <c r="K106" s="521">
        <f>F106</f>
        <v>0.70602057094563631</v>
      </c>
      <c r="L106" s="519"/>
      <c r="Q106" s="117" t="s">
        <v>460</v>
      </c>
      <c r="R106" s="395">
        <f>'Energy Calibration'!E101</f>
        <v>0</v>
      </c>
      <c r="S106" s="395">
        <f>'Energy Calibration'!F101</f>
        <v>4.0884341801385684</v>
      </c>
      <c r="T106" s="395">
        <f>'Energy Calibration'!G101</f>
        <v>0</v>
      </c>
      <c r="U106" s="395">
        <f>'Energy Calibration'!H101</f>
        <v>0</v>
      </c>
      <c r="V106" s="395">
        <f>'Energy Calibration'!I101</f>
        <v>0.70602057094563631</v>
      </c>
      <c r="W106" s="395">
        <f>'Energy Calibration'!J101</f>
        <v>0.69427752927902087</v>
      </c>
      <c r="X106" s="395">
        <f>'Energy Calibration'!K101</f>
        <v>0</v>
      </c>
      <c r="Z106" t="s">
        <v>151</v>
      </c>
      <c r="AB106" s="569" t="s">
        <v>1248</v>
      </c>
      <c r="AC106" s="569" t="s">
        <v>1008</v>
      </c>
      <c r="AD106" s="99" t="s">
        <v>1178</v>
      </c>
      <c r="AE106" t="str">
        <f>"Industry - I&amp;S - "&amp;Z109</f>
        <v>Industry - I&amp;S - BFSlag</v>
      </c>
      <c r="AF106" s="571" t="s">
        <v>140</v>
      </c>
      <c r="AG106" s="563"/>
      <c r="AH106" s="572" t="s">
        <v>1012</v>
      </c>
      <c r="AI106" s="563"/>
      <c r="AJ106" s="563"/>
    </row>
    <row r="107" spans="1:36" x14ac:dyDescent="0.25">
      <c r="A107" s="623"/>
      <c r="B107" s="518" t="s">
        <v>14</v>
      </c>
      <c r="C107" s="520" t="s">
        <v>146</v>
      </c>
      <c r="D107" s="521">
        <f>SUMIFS($R$104:$X$104,$R$103:$X$103,$B107)</f>
        <v>2.0996782148442206</v>
      </c>
      <c r="E107" s="521">
        <f>SUMIFS($R$105:$X$105,$R$103:$X$103,$B107)</f>
        <v>4.8574938650306745</v>
      </c>
      <c r="F107" s="521">
        <f>SUMIFS($R$106:$X$106,$R$103:$X$103,$B107)</f>
        <v>4.0884341801385684</v>
      </c>
      <c r="G107" s="521">
        <f>SUMIFS($R$107:$X$107,$R$103:$X$103,$B107)</f>
        <v>1.728</v>
      </c>
      <c r="H107" s="521">
        <f t="shared" si="11"/>
        <v>2.0996782148442206</v>
      </c>
      <c r="I107" s="521">
        <f t="shared" si="11"/>
        <v>4.8574938650306745</v>
      </c>
      <c r="J107" s="521">
        <f>E107</f>
        <v>4.8574938650306745</v>
      </c>
      <c r="K107" s="521">
        <f>F107</f>
        <v>4.0884341801385684</v>
      </c>
      <c r="L107" s="519"/>
      <c r="Q107" s="117" t="s">
        <v>95</v>
      </c>
      <c r="R107" s="395">
        <f>'Energy Calibration'!E102</f>
        <v>17.2</v>
      </c>
      <c r="S107" s="395">
        <f>'Energy Calibration'!F102</f>
        <v>1.728</v>
      </c>
      <c r="T107" s="395">
        <f>'Energy Calibration'!G102</f>
        <v>2.6</v>
      </c>
      <c r="U107" s="395">
        <f>'Energy Calibration'!H102</f>
        <v>0</v>
      </c>
      <c r="V107" s="395">
        <f>'Energy Calibration'!I102</f>
        <v>0.21697550364662166</v>
      </c>
      <c r="W107" s="395">
        <f>'Energy Calibration'!J102</f>
        <v>0.406700668706789</v>
      </c>
      <c r="X107" s="395">
        <f>'Energy Calibration'!K102</f>
        <v>0</v>
      </c>
      <c r="Z107" t="s">
        <v>198</v>
      </c>
    </row>
    <row r="108" spans="1:36" x14ac:dyDescent="0.25">
      <c r="A108" s="625"/>
      <c r="B108" s="528" t="s">
        <v>1071</v>
      </c>
      <c r="C108" s="529" t="s">
        <v>146</v>
      </c>
      <c r="D108" s="527">
        <f t="shared" ref="D108:K108" si="12">SUM(D103:D107)</f>
        <v>19.731464993552517</v>
      </c>
      <c r="E108" s="527">
        <f t="shared" si="12"/>
        <v>29.285529033072699</v>
      </c>
      <c r="F108" s="527">
        <f t="shared" si="12"/>
        <v>5.4887322803632257</v>
      </c>
      <c r="G108" s="527">
        <f t="shared" si="12"/>
        <v>22.151676172353415</v>
      </c>
      <c r="H108" s="527">
        <f t="shared" si="12"/>
        <v>19.731464993552517</v>
      </c>
      <c r="I108" s="527">
        <f t="shared" si="12"/>
        <v>29.285529033072699</v>
      </c>
      <c r="J108" s="527">
        <f t="shared" si="12"/>
        <v>20.857493865030676</v>
      </c>
      <c r="K108" s="527">
        <f t="shared" si="12"/>
        <v>5.4887322803632257</v>
      </c>
      <c r="L108" s="518"/>
      <c r="Q108" s="5" t="s">
        <v>18</v>
      </c>
      <c r="R108" s="395">
        <f>'Energy Calibration'!E103</f>
        <v>20.61</v>
      </c>
      <c r="S108" s="395">
        <f>'Energy Calibration'!F103</f>
        <v>20.61</v>
      </c>
      <c r="T108" s="395">
        <f>'Energy Calibration'!G103</f>
        <v>0</v>
      </c>
      <c r="U108" s="395">
        <f>'Energy Calibration'!H103</f>
        <v>0</v>
      </c>
      <c r="V108" s="395">
        <f>'Energy Calibration'!I103</f>
        <v>0</v>
      </c>
      <c r="W108" s="395">
        <f>'Energy Calibration'!J103</f>
        <v>3.4349999999999996</v>
      </c>
      <c r="X108" s="395">
        <f>'Energy Calibration'!K103</f>
        <v>0</v>
      </c>
      <c r="Z108" t="s">
        <v>1250</v>
      </c>
    </row>
    <row r="109" spans="1:36" x14ac:dyDescent="0.25">
      <c r="A109" s="523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4"/>
      <c r="Z109" t="s">
        <v>1251</v>
      </c>
    </row>
    <row r="110" spans="1:36" x14ac:dyDescent="0.25">
      <c r="A110" s="537" t="s">
        <v>391</v>
      </c>
      <c r="B110" s="518" t="s">
        <v>1079</v>
      </c>
      <c r="C110" s="518" t="s">
        <v>1080</v>
      </c>
      <c r="D110" s="518">
        <f>C37</f>
        <v>2.81</v>
      </c>
      <c r="E110" s="518">
        <f>C39</f>
        <v>1.605</v>
      </c>
      <c r="F110" s="518">
        <f>C41</f>
        <v>0.08</v>
      </c>
      <c r="G110" s="518">
        <f>C38</f>
        <v>2.1267142857142858</v>
      </c>
      <c r="H110" s="518">
        <f>D110</f>
        <v>2.81</v>
      </c>
      <c r="I110" s="518">
        <f>E110</f>
        <v>1.605</v>
      </c>
      <c r="J110" s="518">
        <f>E110</f>
        <v>1.605</v>
      </c>
      <c r="K110" s="518">
        <f>F110</f>
        <v>0.08</v>
      </c>
      <c r="L110" s="518"/>
    </row>
    <row r="113" spans="1:32" x14ac:dyDescent="0.25">
      <c r="D113" s="518"/>
    </row>
    <row r="116" spans="1:32" x14ac:dyDescent="0.25">
      <c r="AB116" s="580"/>
      <c r="AC116" s="580"/>
      <c r="AD116" s="580"/>
      <c r="AE116" s="581"/>
    </row>
    <row r="117" spans="1:32" x14ac:dyDescent="0.25">
      <c r="AB117" s="580"/>
      <c r="AC117" s="580"/>
      <c r="AD117" s="580"/>
      <c r="AE117" s="581"/>
    </row>
    <row r="118" spans="1:32" ht="21" x14ac:dyDescent="0.35">
      <c r="B118" s="441" t="s">
        <v>1259</v>
      </c>
    </row>
    <row r="120" spans="1:32" x14ac:dyDescent="0.25">
      <c r="A120" s="547"/>
      <c r="B120" s="547"/>
      <c r="C120" s="574"/>
      <c r="D120" s="574"/>
      <c r="E120" s="575" t="s">
        <v>1224</v>
      </c>
      <c r="F120" s="576"/>
      <c r="G120" s="576">
        <v>2017</v>
      </c>
      <c r="H120" s="576">
        <v>2018</v>
      </c>
      <c r="I120" s="576">
        <v>2019</v>
      </c>
      <c r="J120" s="576">
        <v>2020</v>
      </c>
      <c r="M120" s="574"/>
      <c r="N120" s="574"/>
      <c r="O120" s="577"/>
      <c r="P120" s="577"/>
      <c r="Q120" s="549"/>
      <c r="R120" s="547"/>
      <c r="S120" s="547"/>
      <c r="T120" s="547"/>
      <c r="U120" s="547" t="s">
        <v>1156</v>
      </c>
    </row>
    <row r="121" spans="1:32" ht="23.25" x14ac:dyDescent="0.25">
      <c r="B121" s="550"/>
      <c r="C121" s="573" t="s">
        <v>1203</v>
      </c>
      <c r="D121" s="551" t="s">
        <v>1225</v>
      </c>
      <c r="E121" s="551" t="s">
        <v>1226</v>
      </c>
      <c r="F121" s="548" t="s">
        <v>913</v>
      </c>
      <c r="G121" s="551" t="str">
        <f>"ACT_BND~FX~"&amp;G120</f>
        <v>ACT_BND~FX~2017</v>
      </c>
      <c r="H121" s="551" t="str">
        <f t="shared" ref="H121:J121" si="13">"ACT_BND~FX~"&amp;H120</f>
        <v>ACT_BND~FX~2018</v>
      </c>
      <c r="I121" s="551" t="str">
        <f t="shared" si="13"/>
        <v>ACT_BND~FX~2019</v>
      </c>
      <c r="J121" s="551" t="str">
        <f t="shared" si="13"/>
        <v>ACT_BND~FX~2020</v>
      </c>
      <c r="K121" s="552" t="s">
        <v>1227</v>
      </c>
      <c r="L121" s="552" t="s">
        <v>1299</v>
      </c>
      <c r="M121" s="552" t="s">
        <v>1229</v>
      </c>
      <c r="N121" s="552" t="s">
        <v>1228</v>
      </c>
      <c r="O121" s="549" t="s">
        <v>896</v>
      </c>
      <c r="P121" s="549" t="s">
        <v>896</v>
      </c>
      <c r="Q121" s="549" t="s">
        <v>896</v>
      </c>
      <c r="R121" s="549" t="s">
        <v>896</v>
      </c>
      <c r="S121" s="549" t="s">
        <v>896</v>
      </c>
      <c r="T121" s="549" t="s">
        <v>896</v>
      </c>
      <c r="U121" s="549" t="str">
        <f>"ENV_ACT~"&amp;U120</f>
        <v>ENV_ACT~CO2SP</v>
      </c>
    </row>
    <row r="122" spans="1:32" x14ac:dyDescent="0.25">
      <c r="A122" t="s">
        <v>0</v>
      </c>
      <c r="B122" s="547"/>
      <c r="C122" t="s">
        <v>167</v>
      </c>
      <c r="D122" t="s">
        <v>1293</v>
      </c>
      <c r="E122" s="553"/>
      <c r="F122" s="554"/>
      <c r="K122" s="554"/>
      <c r="M122" s="554"/>
      <c r="N122" s="554"/>
      <c r="O122" s="557">
        <f>R104</f>
        <v>4.3302170790299686</v>
      </c>
      <c r="P122" s="547"/>
      <c r="Q122" s="556"/>
      <c r="R122" s="547"/>
      <c r="S122" s="547"/>
      <c r="T122" s="547"/>
    </row>
    <row r="123" spans="1:32" x14ac:dyDescent="0.25">
      <c r="B123" s="547"/>
      <c r="D123" t="s">
        <v>38</v>
      </c>
      <c r="E123" s="553"/>
      <c r="F123" s="554"/>
      <c r="K123" s="554"/>
      <c r="M123" s="554"/>
      <c r="N123" s="554"/>
      <c r="O123" s="556"/>
      <c r="P123" s="558">
        <f>S104</f>
        <v>2.0996782148442206</v>
      </c>
      <c r="Q123" s="556"/>
      <c r="R123" s="547"/>
      <c r="S123" s="547"/>
      <c r="T123" s="547"/>
    </row>
    <row r="124" spans="1:32" x14ac:dyDescent="0.25">
      <c r="B124" s="547"/>
      <c r="D124" t="s">
        <v>40</v>
      </c>
      <c r="E124" s="553"/>
      <c r="F124" s="554"/>
      <c r="K124" s="554"/>
      <c r="M124" s="554"/>
      <c r="N124" s="554"/>
      <c r="O124" s="556"/>
      <c r="P124" s="556"/>
      <c r="Q124" s="558">
        <f>T104</f>
        <v>8.8757836125478331</v>
      </c>
      <c r="R124" s="547"/>
      <c r="S124" s="547"/>
      <c r="T124" s="547"/>
    </row>
    <row r="125" spans="1:32" x14ac:dyDescent="0.25">
      <c r="B125" s="547"/>
      <c r="D125" t="s">
        <v>1157</v>
      </c>
      <c r="E125" s="553"/>
      <c r="F125" s="554"/>
      <c r="K125" s="554"/>
      <c r="M125" s="554"/>
      <c r="N125" s="554"/>
      <c r="O125" s="547"/>
      <c r="P125" s="547"/>
      <c r="Q125" s="547"/>
      <c r="R125" s="560">
        <f>V104</f>
        <v>0.59433505502672301</v>
      </c>
      <c r="S125" s="547"/>
      <c r="T125" s="547"/>
    </row>
    <row r="126" spans="1:32" x14ac:dyDescent="0.25">
      <c r="D126" t="s">
        <v>1155</v>
      </c>
      <c r="E126" s="553"/>
      <c r="F126" s="555"/>
      <c r="K126" s="556"/>
      <c r="M126" s="556"/>
      <c r="N126" s="556"/>
      <c r="R126" s="556"/>
      <c r="S126" s="561">
        <f>W104</f>
        <v>3.8314510321037716</v>
      </c>
      <c r="T126" s="556"/>
    </row>
    <row r="127" spans="1:32" x14ac:dyDescent="0.25">
      <c r="D127" s="553"/>
      <c r="E127" s="99" t="s">
        <v>39</v>
      </c>
      <c r="F127" s="555"/>
      <c r="G127" s="287">
        <f>I24</f>
        <v>3.0330810810810807</v>
      </c>
      <c r="H127" s="287">
        <f t="shared" ref="H127:J127" si="14">J24</f>
        <v>3.2032972972972971</v>
      </c>
      <c r="I127" s="287">
        <f t="shared" si="14"/>
        <v>3.0300947810555652</v>
      </c>
      <c r="J127" s="287">
        <f t="shared" si="14"/>
        <v>3.0300947810555652</v>
      </c>
      <c r="K127" s="555">
        <f>I14</f>
        <v>4.9000000000000004</v>
      </c>
      <c r="L127" s="555">
        <f>U14</f>
        <v>3</v>
      </c>
      <c r="M127" s="555">
        <f>V14</f>
        <v>3</v>
      </c>
      <c r="N127" s="555">
        <f>Z14</f>
        <v>0</v>
      </c>
      <c r="R127" s="556"/>
      <c r="S127" s="547"/>
      <c r="T127" s="547"/>
      <c r="U127">
        <f>C45</f>
        <v>2.81</v>
      </c>
      <c r="X127" s="563"/>
      <c r="Y127" s="563"/>
      <c r="Z127" s="563"/>
      <c r="AA127" s="563"/>
      <c r="AB127" s="563"/>
      <c r="AC127" s="563"/>
      <c r="AD127" s="563"/>
      <c r="AE127" s="563"/>
      <c r="AF127" s="563"/>
    </row>
    <row r="128" spans="1:32" x14ac:dyDescent="0.25">
      <c r="D128" s="559"/>
      <c r="E128" s="99" t="s">
        <v>1178</v>
      </c>
      <c r="F128" s="555"/>
      <c r="K128" s="555"/>
      <c r="M128" s="555"/>
      <c r="N128" s="555"/>
      <c r="R128" s="556"/>
      <c r="T128" s="547">
        <v>0.3</v>
      </c>
    </row>
    <row r="129" spans="1:21" x14ac:dyDescent="0.25">
      <c r="A129" t="s">
        <v>1213</v>
      </c>
      <c r="C129" t="s">
        <v>172</v>
      </c>
      <c r="D129" t="s">
        <v>1293</v>
      </c>
      <c r="E129" s="553"/>
      <c r="F129" s="555"/>
      <c r="K129" s="555"/>
      <c r="M129" s="555"/>
      <c r="N129" s="555"/>
      <c r="O129" s="561">
        <f>R105</f>
        <v>20.596584135938251</v>
      </c>
      <c r="P129" s="556"/>
      <c r="Q129" s="558"/>
      <c r="R129" s="556"/>
      <c r="S129" s="547"/>
      <c r="T129" s="547"/>
    </row>
    <row r="130" spans="1:21" x14ac:dyDescent="0.25">
      <c r="D130" t="s">
        <v>38</v>
      </c>
      <c r="E130" s="553"/>
      <c r="F130" s="555"/>
      <c r="K130" s="555"/>
      <c r="M130" s="555"/>
      <c r="N130" s="555"/>
      <c r="O130" s="555"/>
      <c r="P130" s="555">
        <f>S105</f>
        <v>4.8574938650306745</v>
      </c>
      <c r="Q130" s="547"/>
      <c r="R130" s="547"/>
      <c r="S130" s="547"/>
      <c r="T130" s="547"/>
    </row>
    <row r="131" spans="1:21" x14ac:dyDescent="0.25">
      <c r="D131" t="s">
        <v>1155</v>
      </c>
      <c r="E131" s="553"/>
      <c r="S131" s="287">
        <f>W105</f>
        <v>3.8314510321037716</v>
      </c>
      <c r="U131" s="268">
        <f>C48</f>
        <v>1.605</v>
      </c>
    </row>
    <row r="132" spans="1:21" x14ac:dyDescent="0.25">
      <c r="D132" s="553"/>
      <c r="E132" s="99" t="s">
        <v>39</v>
      </c>
      <c r="G132" s="287">
        <f>I26</f>
        <v>0.75891891891891894</v>
      </c>
      <c r="H132" s="287">
        <f t="shared" ref="H132:J132" si="15">J26</f>
        <v>0.80270270270270283</v>
      </c>
      <c r="I132" s="287">
        <f t="shared" si="15"/>
        <v>0.80270270270270283</v>
      </c>
      <c r="J132" s="287">
        <f t="shared" si="15"/>
        <v>0.76492845786963448</v>
      </c>
      <c r="K132">
        <f>I16</f>
        <v>1.44</v>
      </c>
      <c r="L132">
        <f>K132</f>
        <v>1.44</v>
      </c>
      <c r="M132">
        <f>L132/2</f>
        <v>0.72</v>
      </c>
      <c r="N132">
        <f>Z16</f>
        <v>0</v>
      </c>
    </row>
    <row r="133" spans="1:21" x14ac:dyDescent="0.25">
      <c r="A133" t="s">
        <v>1212</v>
      </c>
      <c r="B133" s="556"/>
      <c r="C133" t="s">
        <v>169</v>
      </c>
      <c r="D133" t="s">
        <v>1293</v>
      </c>
      <c r="E133" s="553"/>
      <c r="O133" s="287">
        <f>R107</f>
        <v>17.2</v>
      </c>
    </row>
    <row r="134" spans="1:21" x14ac:dyDescent="0.25">
      <c r="D134" t="s">
        <v>38</v>
      </c>
      <c r="E134" s="553"/>
      <c r="P134" s="287">
        <f>S107</f>
        <v>1.728</v>
      </c>
    </row>
    <row r="135" spans="1:21" x14ac:dyDescent="0.25">
      <c r="D135" t="s">
        <v>40</v>
      </c>
      <c r="E135" s="553"/>
      <c r="M135" s="327"/>
      <c r="N135" s="327"/>
      <c r="O135" s="327"/>
      <c r="P135" s="327"/>
      <c r="Q135" s="327">
        <f>T107</f>
        <v>2.6</v>
      </c>
      <c r="R135" s="327"/>
    </row>
    <row r="136" spans="1:21" x14ac:dyDescent="0.25">
      <c r="D136" t="s">
        <v>1157</v>
      </c>
      <c r="E136" s="553"/>
      <c r="R136" s="287">
        <f>V107</f>
        <v>0.21697550364662166</v>
      </c>
    </row>
    <row r="137" spans="1:21" x14ac:dyDescent="0.25">
      <c r="D137" t="s">
        <v>1155</v>
      </c>
      <c r="E137" s="553"/>
      <c r="S137" s="287">
        <f>W107</f>
        <v>0.406700668706789</v>
      </c>
    </row>
    <row r="138" spans="1:21" x14ac:dyDescent="0.25">
      <c r="D138" s="553"/>
      <c r="E138" s="99" t="s">
        <v>39</v>
      </c>
      <c r="G138" s="287">
        <f>I25</f>
        <v>1.1180000000000001</v>
      </c>
      <c r="H138" s="287">
        <f t="shared" ref="H138:J138" si="16">J25</f>
        <v>1.0860000000000001</v>
      </c>
      <c r="I138" s="287">
        <f t="shared" si="16"/>
        <v>1.0860000000000001</v>
      </c>
      <c r="J138" s="287">
        <f t="shared" si="16"/>
        <v>0</v>
      </c>
      <c r="K138">
        <f>I15</f>
        <v>1.2400000000000002</v>
      </c>
      <c r="L138">
        <f>K138</f>
        <v>1.2400000000000002</v>
      </c>
      <c r="M138">
        <f>V15</f>
        <v>1.2400000000000002</v>
      </c>
      <c r="N138">
        <f>Z15</f>
        <v>0</v>
      </c>
      <c r="U138" s="268">
        <f>C47</f>
        <v>2.1267142857142858</v>
      </c>
    </row>
    <row r="139" spans="1:21" x14ac:dyDescent="0.25">
      <c r="A139" t="s">
        <v>1211</v>
      </c>
      <c r="B139" s="556"/>
      <c r="C139" t="s">
        <v>176</v>
      </c>
      <c r="D139" t="s">
        <v>1293</v>
      </c>
      <c r="O139" s="287">
        <f>R108</f>
        <v>20.61</v>
      </c>
    </row>
    <row r="140" spans="1:21" x14ac:dyDescent="0.25">
      <c r="D140" t="s">
        <v>38</v>
      </c>
      <c r="P140" s="287">
        <f>S108</f>
        <v>20.61</v>
      </c>
    </row>
    <row r="141" spans="1:21" x14ac:dyDescent="0.25">
      <c r="D141" t="s">
        <v>1155</v>
      </c>
      <c r="Q141" s="287">
        <f>W108</f>
        <v>3.4349999999999996</v>
      </c>
    </row>
    <row r="142" spans="1:21" x14ac:dyDescent="0.25">
      <c r="E142" s="99" t="s">
        <v>39</v>
      </c>
      <c r="G142" s="287">
        <f>I27</f>
        <v>0</v>
      </c>
      <c r="H142" s="287">
        <f t="shared" ref="H142:J142" si="17">J27</f>
        <v>0</v>
      </c>
      <c r="I142" s="287">
        <f t="shared" si="17"/>
        <v>0</v>
      </c>
      <c r="J142" s="287">
        <f t="shared" si="17"/>
        <v>0</v>
      </c>
      <c r="K142" s="301">
        <f>I17</f>
        <v>1</v>
      </c>
      <c r="L142">
        <f>K142</f>
        <v>1</v>
      </c>
      <c r="M142">
        <f>V17</f>
        <v>0</v>
      </c>
      <c r="U142">
        <f>C51</f>
        <v>1.54</v>
      </c>
    </row>
    <row r="143" spans="1:21" x14ac:dyDescent="0.25">
      <c r="C143" t="s">
        <v>178</v>
      </c>
      <c r="D143" t="s">
        <v>38</v>
      </c>
      <c r="O143" s="287">
        <f>S106</f>
        <v>4.0884341801385684</v>
      </c>
    </row>
    <row r="144" spans="1:21" x14ac:dyDescent="0.25">
      <c r="D144" t="s">
        <v>1157</v>
      </c>
      <c r="P144" s="287">
        <f>V106</f>
        <v>0.70602057094563631</v>
      </c>
    </row>
    <row r="145" spans="1:21" x14ac:dyDescent="0.25">
      <c r="A145" t="s">
        <v>1210</v>
      </c>
      <c r="B145" s="547"/>
      <c r="D145" t="s">
        <v>1155</v>
      </c>
      <c r="Q145" s="287">
        <f>W106</f>
        <v>0.69427752927902087</v>
      </c>
    </row>
    <row r="146" spans="1:21" x14ac:dyDescent="0.25">
      <c r="E146" s="99" t="s">
        <v>39</v>
      </c>
      <c r="G146" s="287">
        <f>I28</f>
        <v>1.3200000000000003</v>
      </c>
      <c r="H146" s="287">
        <f t="shared" ref="H146:J146" si="18">J28</f>
        <v>1.2079999999999993</v>
      </c>
      <c r="I146" s="287">
        <f t="shared" si="18"/>
        <v>1.2079999999999993</v>
      </c>
      <c r="J146" s="287">
        <f t="shared" si="18"/>
        <v>1.2079999999999993</v>
      </c>
      <c r="K146">
        <f>I18</f>
        <v>1.7200000000000002</v>
      </c>
      <c r="L146">
        <f>K146</f>
        <v>1.7200000000000002</v>
      </c>
      <c r="M146">
        <f>L146/2</f>
        <v>0.8600000000000001</v>
      </c>
      <c r="N146">
        <v>0</v>
      </c>
      <c r="U146">
        <f>C52</f>
        <v>0.08</v>
      </c>
    </row>
    <row r="147" spans="1:21" x14ac:dyDescent="0.25">
      <c r="C147" s="99"/>
    </row>
    <row r="154" spans="1:21" ht="21" x14ac:dyDescent="0.35">
      <c r="B154" s="441" t="s">
        <v>1252</v>
      </c>
      <c r="G154" s="18" t="s">
        <v>1255</v>
      </c>
      <c r="H154" s="18"/>
      <c r="I154" s="18"/>
      <c r="J154" s="18"/>
      <c r="K154" s="18"/>
      <c r="L154" s="18"/>
      <c r="M154" s="18" t="s">
        <v>391</v>
      </c>
      <c r="N154" s="18"/>
      <c r="O154" s="18" t="s">
        <v>732</v>
      </c>
    </row>
    <row r="155" spans="1:21" x14ac:dyDescent="0.25">
      <c r="C155" s="574"/>
      <c r="D155" s="574"/>
      <c r="E155" s="575" t="s">
        <v>1224</v>
      </c>
      <c r="F155" s="576"/>
      <c r="G155" s="577"/>
      <c r="H155" s="577"/>
      <c r="I155" s="549"/>
      <c r="J155" s="547"/>
      <c r="K155" s="547"/>
      <c r="L155" s="547"/>
      <c r="M155" s="547" t="s">
        <v>1156</v>
      </c>
    </row>
    <row r="156" spans="1:21" x14ac:dyDescent="0.25">
      <c r="C156" s="573" t="s">
        <v>1203</v>
      </c>
      <c r="D156" s="551" t="s">
        <v>1225</v>
      </c>
      <c r="E156" s="551" t="s">
        <v>1226</v>
      </c>
      <c r="F156" s="548" t="s">
        <v>913</v>
      </c>
      <c r="G156" s="549" t="s">
        <v>896</v>
      </c>
      <c r="H156" s="549" t="s">
        <v>896</v>
      </c>
      <c r="I156" s="549" t="s">
        <v>896</v>
      </c>
      <c r="J156" s="549" t="s">
        <v>896</v>
      </c>
      <c r="K156" s="549" t="s">
        <v>896</v>
      </c>
      <c r="L156" s="549" t="s">
        <v>896</v>
      </c>
      <c r="M156" s="549" t="str">
        <f>"ENV_ACT~"&amp;M155</f>
        <v>ENV_ACT~CO2SP</v>
      </c>
      <c r="N156" s="549" t="s">
        <v>1256</v>
      </c>
      <c r="O156" s="549" t="s">
        <v>1010</v>
      </c>
      <c r="P156" s="549" t="s">
        <v>904</v>
      </c>
      <c r="Q156" s="549" t="s">
        <v>1009</v>
      </c>
      <c r="T156" s="549"/>
    </row>
    <row r="157" spans="1:21" x14ac:dyDescent="0.25">
      <c r="C157" t="s">
        <v>536</v>
      </c>
      <c r="D157" t="s">
        <v>1293</v>
      </c>
      <c r="E157" s="553"/>
      <c r="F157" s="554"/>
      <c r="G157" s="557">
        <v>20.407577497129733</v>
      </c>
      <c r="H157" s="547"/>
      <c r="I157" s="556"/>
      <c r="J157" s="547"/>
      <c r="K157" s="547"/>
      <c r="L157" s="547"/>
      <c r="T157" s="583"/>
    </row>
    <row r="158" spans="1:21" x14ac:dyDescent="0.25">
      <c r="D158" t="s">
        <v>38</v>
      </c>
      <c r="E158" s="553"/>
      <c r="F158" s="554"/>
      <c r="G158" s="556"/>
      <c r="H158" s="558">
        <v>4.0379205223880605</v>
      </c>
      <c r="I158" s="556"/>
      <c r="J158" s="547"/>
      <c r="K158" s="547"/>
      <c r="L158" s="547"/>
    </row>
    <row r="159" spans="1:21" x14ac:dyDescent="0.25">
      <c r="D159" t="s">
        <v>40</v>
      </c>
      <c r="E159" s="553"/>
      <c r="F159" s="554"/>
      <c r="G159" s="556"/>
      <c r="H159" s="556"/>
      <c r="I159" s="558">
        <v>12.360988518943744</v>
      </c>
      <c r="J159" s="547"/>
      <c r="K159" s="547"/>
      <c r="L159" s="547"/>
    </row>
    <row r="160" spans="1:21" x14ac:dyDescent="0.25">
      <c r="D160" t="s">
        <v>1157</v>
      </c>
      <c r="E160" s="553"/>
      <c r="F160" s="554"/>
      <c r="G160" s="547"/>
      <c r="H160" s="547"/>
      <c r="I160" s="547"/>
      <c r="J160" s="560">
        <f>R125</f>
        <v>0.59433505502672301</v>
      </c>
      <c r="K160" s="547"/>
      <c r="L160" s="547"/>
    </row>
    <row r="161" spans="3:17" x14ac:dyDescent="0.25">
      <c r="D161" t="s">
        <v>1155</v>
      </c>
      <c r="E161" s="553"/>
      <c r="F161" s="555"/>
      <c r="J161" s="556"/>
      <c r="K161" s="561">
        <f>S126</f>
        <v>3.8314510321037716</v>
      </c>
      <c r="L161" s="556"/>
    </row>
    <row r="162" spans="3:17" x14ac:dyDescent="0.25">
      <c r="D162" s="553"/>
      <c r="E162" s="99" t="s">
        <v>39</v>
      </c>
      <c r="F162" s="555"/>
      <c r="J162" s="556"/>
      <c r="K162" s="547"/>
      <c r="L162" s="547"/>
      <c r="M162">
        <f>U127</f>
        <v>2.81</v>
      </c>
      <c r="O162" s="434">
        <f>C69</f>
        <v>4132.8716804986489</v>
      </c>
      <c r="P162" s="434">
        <f>C63</f>
        <v>4099.6387421612053</v>
      </c>
      <c r="Q162" s="434">
        <f>H101</f>
        <v>20</v>
      </c>
    </row>
    <row r="163" spans="3:17" x14ac:dyDescent="0.25">
      <c r="D163" s="559"/>
      <c r="E163" s="99" t="s">
        <v>1178</v>
      </c>
      <c r="F163" s="555"/>
      <c r="J163" s="556"/>
      <c r="L163" s="547">
        <v>0.3</v>
      </c>
    </row>
    <row r="164" spans="3:17" x14ac:dyDescent="0.25">
      <c r="C164" t="s">
        <v>538</v>
      </c>
      <c r="D164" t="s">
        <v>38</v>
      </c>
      <c r="E164" s="553"/>
      <c r="F164" s="555"/>
      <c r="G164">
        <v>5.548</v>
      </c>
      <c r="H164" s="556"/>
      <c r="I164" s="558"/>
      <c r="J164" s="556"/>
      <c r="K164" s="547"/>
      <c r="L164" s="547"/>
    </row>
    <row r="165" spans="3:17" x14ac:dyDescent="0.25">
      <c r="D165" t="s">
        <v>1155</v>
      </c>
      <c r="E165" s="553"/>
      <c r="F165" s="555"/>
      <c r="G165" s="555"/>
      <c r="H165">
        <v>8.9059999999999988</v>
      </c>
      <c r="I165" s="547"/>
      <c r="J165" s="547"/>
      <c r="K165" s="547"/>
      <c r="L165" s="547"/>
    </row>
    <row r="166" spans="3:17" x14ac:dyDescent="0.25">
      <c r="D166" t="s">
        <v>1157</v>
      </c>
      <c r="E166" s="553"/>
      <c r="I166">
        <v>0.14599999999999999</v>
      </c>
      <c r="K166" s="287"/>
      <c r="M166" s="268"/>
    </row>
    <row r="167" spans="3:17" x14ac:dyDescent="0.25">
      <c r="D167" s="553"/>
      <c r="E167" s="99" t="s">
        <v>39</v>
      </c>
      <c r="M167">
        <v>1.605</v>
      </c>
      <c r="O167" s="268">
        <f>C71</f>
        <v>3433.1135028649592</v>
      </c>
      <c r="P167" s="434">
        <f>C64</f>
        <v>4470.5528012602799</v>
      </c>
      <c r="Q167" s="434">
        <f>I101</f>
        <v>20</v>
      </c>
    </row>
    <row r="168" spans="3:17" x14ac:dyDescent="0.25">
      <c r="C168" s="99" t="s">
        <v>539</v>
      </c>
      <c r="D168" t="s">
        <v>38</v>
      </c>
      <c r="G168" s="287">
        <f>O143</f>
        <v>4.0884341801385684</v>
      </c>
    </row>
    <row r="169" spans="3:17" x14ac:dyDescent="0.25">
      <c r="D169" t="s">
        <v>1157</v>
      </c>
      <c r="H169" s="287">
        <f>P144</f>
        <v>0.70602057094563631</v>
      </c>
    </row>
    <row r="170" spans="3:17" x14ac:dyDescent="0.25">
      <c r="D170" t="s">
        <v>1155</v>
      </c>
      <c r="I170" s="287">
        <f>Q145</f>
        <v>0.69427752927902087</v>
      </c>
    </row>
    <row r="171" spans="3:17" x14ac:dyDescent="0.25">
      <c r="E171" s="99" t="s">
        <v>39</v>
      </c>
      <c r="M171">
        <f>U146</f>
        <v>0.08</v>
      </c>
      <c r="O171" s="268">
        <f>C72</f>
        <v>2530.0543516740895</v>
      </c>
      <c r="P171" s="434">
        <f>C66</f>
        <v>6120.6076128011382</v>
      </c>
      <c r="Q171" s="434">
        <f>K101</f>
        <v>20</v>
      </c>
    </row>
    <row r="172" spans="3:17" x14ac:dyDescent="0.25">
      <c r="E172" s="553"/>
      <c r="K172" s="287"/>
    </row>
    <row r="173" spans="3:17" x14ac:dyDescent="0.25">
      <c r="D173" s="553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honeticPr fontId="71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B74" zoomScale="101" zoomScaleNormal="70" workbookViewId="0">
      <selection activeCell="F110" sqref="F110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3.42578125" bestFit="1" customWidth="1"/>
    <col min="13" max="14" width="9.28515625" bestFit="1" customWidth="1"/>
    <col min="16" max="16" width="16.5703125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9.28515625" bestFit="1" customWidth="1"/>
  </cols>
  <sheetData>
    <row r="2" spans="2:24" x14ac:dyDescent="0.25">
      <c r="P2" t="s">
        <v>454</v>
      </c>
    </row>
    <row r="3" spans="2:24" x14ac:dyDescent="0.25">
      <c r="B3" t="s">
        <v>413</v>
      </c>
      <c r="P3" t="s">
        <v>455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450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451</v>
      </c>
      <c r="R5" t="s">
        <v>14</v>
      </c>
      <c r="S5" t="s">
        <v>12</v>
      </c>
      <c r="T5" t="s">
        <v>452</v>
      </c>
      <c r="U5" t="s">
        <v>151</v>
      </c>
      <c r="V5" t="s">
        <v>453</v>
      </c>
      <c r="W5" t="s">
        <v>322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456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457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451</v>
      </c>
      <c r="R10" t="s">
        <v>14</v>
      </c>
      <c r="S10" t="s">
        <v>12</v>
      </c>
      <c r="T10" t="s">
        <v>452</v>
      </c>
      <c r="U10" t="s">
        <v>151</v>
      </c>
      <c r="V10" t="s">
        <v>453</v>
      </c>
      <c r="W10" t="s">
        <v>322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456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458</v>
      </c>
      <c r="X14" s="5"/>
    </row>
    <row r="15" spans="2:24" x14ac:dyDescent="0.25">
      <c r="B15" s="4"/>
      <c r="L15" s="5"/>
      <c r="P15" s="4"/>
      <c r="Q15" t="s">
        <v>451</v>
      </c>
      <c r="R15" t="s">
        <v>14</v>
      </c>
      <c r="S15" t="s">
        <v>12</v>
      </c>
      <c r="T15" t="s">
        <v>452</v>
      </c>
      <c r="U15" t="s">
        <v>151</v>
      </c>
      <c r="V15" t="s">
        <v>453</v>
      </c>
      <c r="W15" t="s">
        <v>322</v>
      </c>
      <c r="X15" s="5" t="s">
        <v>3</v>
      </c>
    </row>
    <row r="16" spans="2:24" x14ac:dyDescent="0.25">
      <c r="B16" s="4"/>
      <c r="L16" s="5"/>
      <c r="P16" s="4" t="s">
        <v>456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451</v>
      </c>
      <c r="R19" t="s">
        <v>14</v>
      </c>
      <c r="S19" t="s">
        <v>12</v>
      </c>
      <c r="T19" t="s">
        <v>452</v>
      </c>
      <c r="U19" t="s">
        <v>151</v>
      </c>
      <c r="V19" t="s">
        <v>453</v>
      </c>
      <c r="W19" t="s">
        <v>322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456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459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541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451</v>
      </c>
      <c r="R25" s="135" t="s">
        <v>14</v>
      </c>
      <c r="S25" s="135" t="s">
        <v>12</v>
      </c>
      <c r="T25" s="135" t="s">
        <v>452</v>
      </c>
      <c r="U25" s="135" t="s">
        <v>151</v>
      </c>
      <c r="V25" s="135" t="s">
        <v>453</v>
      </c>
      <c r="W25" s="135" t="s">
        <v>322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'Capacity &amp; Production'!M266</f>
        <v>3.3</v>
      </c>
      <c r="AA26" s="268">
        <f>SUMIFS('Capacity &amp; Production'!$R$266:$R$270,'Capacity &amp; Production'!$B$266:$B$270,AB26)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'Capacity &amp; Production'!M267</f>
        <v>1.21</v>
      </c>
      <c r="AA27" s="268">
        <f>SUMIFS('Capacity &amp; Production'!$R$266:$R$270,'Capacity &amp; Production'!$B$266:$B$270,AB27)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460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'Capacity &amp; Production'!M268</f>
        <v>0.95</v>
      </c>
      <c r="AA28" s="268">
        <f>SUMIFS('Capacity &amp; Production'!$R$266:$R$270,'Capacity &amp; Production'!$B$266:$B$270,AB28)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'Capacity &amp; Production'!M269</f>
        <v>0.62</v>
      </c>
      <c r="AA29" s="268">
        <f>SUMIFS('Capacity &amp; Production'!$R$266:$R$270,'Capacity &amp; Production'!$B$266:$B$270,AB29)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185</v>
      </c>
      <c r="L33" s="5"/>
      <c r="Q33" s="18">
        <v>2012</v>
      </c>
      <c r="Z33" t="s">
        <v>545</v>
      </c>
      <c r="AA33" t="s">
        <v>547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136</v>
      </c>
      <c r="I35" s="381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546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460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451</v>
      </c>
      <c r="D43" s="135" t="s">
        <v>14</v>
      </c>
      <c r="E43" s="135" t="s">
        <v>12</v>
      </c>
      <c r="F43" s="135" t="s">
        <v>452</v>
      </c>
      <c r="G43" s="135" t="s">
        <v>151</v>
      </c>
      <c r="H43" s="135" t="s">
        <v>453</v>
      </c>
      <c r="I43" s="135" t="s">
        <v>322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460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460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544</v>
      </c>
      <c r="R49" s="383">
        <v>17312</v>
      </c>
      <c r="S49" t="s">
        <v>328</v>
      </c>
    </row>
    <row r="50" spans="2:24" x14ac:dyDescent="0.25">
      <c r="P50" t="s">
        <v>396</v>
      </c>
      <c r="R50" s="384">
        <f>R46*1000</f>
        <v>48384.404638233034</v>
      </c>
    </row>
    <row r="51" spans="2:24" x14ac:dyDescent="0.25">
      <c r="B51" t="s">
        <v>482</v>
      </c>
    </row>
    <row r="52" spans="2:24" x14ac:dyDescent="0.25">
      <c r="B52" s="14"/>
      <c r="C52" s="15" t="s">
        <v>484</v>
      </c>
      <c r="D52" s="15"/>
      <c r="E52" s="15" t="s">
        <v>540</v>
      </c>
      <c r="F52" s="15"/>
      <c r="G52" s="3"/>
      <c r="P52" t="s">
        <v>13</v>
      </c>
      <c r="Q52" t="s">
        <v>551</v>
      </c>
      <c r="R52">
        <f>Coke!K17</f>
        <v>2.91</v>
      </c>
      <c r="S52" t="s">
        <v>187</v>
      </c>
    </row>
    <row r="53" spans="2:24" x14ac:dyDescent="0.25">
      <c r="B53" s="4" t="s">
        <v>483</v>
      </c>
      <c r="C53">
        <v>0.753</v>
      </c>
      <c r="E53">
        <f>C53*1000000*3600/1000000000</f>
        <v>2.7107999999999999</v>
      </c>
      <c r="G53" s="5"/>
      <c r="Q53" t="s">
        <v>396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552</v>
      </c>
      <c r="R54">
        <v>2.75</v>
      </c>
    </row>
    <row r="56" spans="2:24" x14ac:dyDescent="0.25">
      <c r="B56" t="s">
        <v>518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515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568</v>
      </c>
    </row>
    <row r="60" spans="2:24" x14ac:dyDescent="0.25">
      <c r="B60" s="4" t="s">
        <v>503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553</v>
      </c>
    </row>
    <row r="61" spans="2:24" x14ac:dyDescent="0.25">
      <c r="B61" s="4" t="s">
        <v>504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451</v>
      </c>
      <c r="R61" s="135" t="s">
        <v>14</v>
      </c>
      <c r="S61" s="135" t="s">
        <v>12</v>
      </c>
      <c r="T61" s="135" t="s">
        <v>452</v>
      </c>
      <c r="U61" s="135" t="s">
        <v>151</v>
      </c>
      <c r="V61" s="135" t="s">
        <v>453</v>
      </c>
      <c r="W61" s="135" t="s">
        <v>322</v>
      </c>
    </row>
    <row r="62" spans="2:24" x14ac:dyDescent="0.25">
      <c r="B62" s="4" t="s">
        <v>505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460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542</v>
      </c>
      <c r="E65" t="s">
        <v>519</v>
      </c>
      <c r="G65" s="5"/>
      <c r="I65" t="s">
        <v>520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503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504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505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569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460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565</v>
      </c>
    </row>
    <row r="79" spans="2:25" x14ac:dyDescent="0.25">
      <c r="E79" t="s">
        <v>553</v>
      </c>
    </row>
    <row r="80" spans="2:25" x14ac:dyDescent="0.25">
      <c r="E80" s="135" t="s">
        <v>451</v>
      </c>
      <c r="F80" s="135" t="s">
        <v>14</v>
      </c>
      <c r="G80" s="135" t="s">
        <v>12</v>
      </c>
      <c r="H80" s="135" t="s">
        <v>452</v>
      </c>
      <c r="I80" s="135" t="s">
        <v>151</v>
      </c>
      <c r="J80" s="135" t="s">
        <v>453</v>
      </c>
      <c r="K80" s="135" t="s">
        <v>322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460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566</v>
      </c>
    </row>
    <row r="88" spans="2:23" x14ac:dyDescent="0.25">
      <c r="E88" t="s">
        <v>553</v>
      </c>
    </row>
    <row r="89" spans="2:23" x14ac:dyDescent="0.25">
      <c r="E89" s="135" t="s">
        <v>451</v>
      </c>
      <c r="F89" s="135" t="s">
        <v>14</v>
      </c>
      <c r="G89" s="135" t="s">
        <v>12</v>
      </c>
      <c r="H89" s="135" t="s">
        <v>452</v>
      </c>
      <c r="I89" s="135" t="s">
        <v>151</v>
      </c>
      <c r="J89" s="135" t="s">
        <v>453</v>
      </c>
      <c r="K89" s="135" t="s">
        <v>322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460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554</v>
      </c>
      <c r="R94" s="355" t="s">
        <v>559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574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555</v>
      </c>
      <c r="S96" s="16" t="s">
        <v>396</v>
      </c>
      <c r="T96" s="16" t="s">
        <v>543</v>
      </c>
      <c r="U96" t="s">
        <v>3</v>
      </c>
      <c r="W96" s="5"/>
    </row>
    <row r="97" spans="2:23" ht="15.75" x14ac:dyDescent="0.25">
      <c r="B97" s="393"/>
      <c r="E97" t="s">
        <v>553</v>
      </c>
      <c r="M97" s="394"/>
      <c r="P97" s="4" t="s">
        <v>14</v>
      </c>
      <c r="Q97" t="s">
        <v>328</v>
      </c>
      <c r="R97" s="387">
        <v>17312</v>
      </c>
      <c r="S97" s="58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451</v>
      </c>
      <c r="F98" s="135" t="s">
        <v>14</v>
      </c>
      <c r="G98" s="135" t="s">
        <v>11</v>
      </c>
      <c r="H98" s="135" t="s">
        <v>452</v>
      </c>
      <c r="I98" s="135" t="s">
        <v>151</v>
      </c>
      <c r="J98" s="135" t="s">
        <v>453</v>
      </c>
      <c r="K98" s="135" t="s">
        <v>322</v>
      </c>
      <c r="L98" s="422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579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557</v>
      </c>
      <c r="S99" s="16"/>
      <c r="T99" s="16"/>
      <c r="U99" s="388"/>
      <c r="W99" s="5"/>
    </row>
    <row r="100" spans="2:23" x14ac:dyDescent="0.25">
      <c r="B100" s="393" t="s">
        <v>579</v>
      </c>
      <c r="D100" s="117" t="s">
        <v>173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187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399</v>
      </c>
      <c r="C101" s="285">
        <v>0.2</v>
      </c>
      <c r="D101" s="117" t="s">
        <v>460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582</v>
      </c>
      <c r="C102" s="285">
        <v>0.6</v>
      </c>
      <c r="D102" s="117" t="s">
        <v>95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558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567</v>
      </c>
      <c r="Q103" t="s">
        <v>187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563</v>
      </c>
      <c r="S104" s="16"/>
      <c r="T104" s="16"/>
      <c r="U104" s="18"/>
      <c r="W104" s="5"/>
    </row>
    <row r="105" spans="2:23" x14ac:dyDescent="0.25">
      <c r="P105" s="4" t="s">
        <v>560</v>
      </c>
      <c r="Q105" t="s">
        <v>187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556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451</v>
      </c>
      <c r="F107" s="135" t="s">
        <v>14</v>
      </c>
      <c r="G107" s="135" t="s">
        <v>12</v>
      </c>
      <c r="H107" s="135" t="s">
        <v>452</v>
      </c>
      <c r="I107" s="135" t="s">
        <v>151</v>
      </c>
      <c r="J107" s="135" t="s">
        <v>453</v>
      </c>
      <c r="K107" s="135" t="s">
        <v>322</v>
      </c>
      <c r="P107" s="4" t="s">
        <v>564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453</v>
      </c>
      <c r="Q109" s="8" t="s">
        <v>328</v>
      </c>
      <c r="R109">
        <v>15900</v>
      </c>
      <c r="S109" s="543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460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1191</v>
      </c>
    </row>
    <row r="112" spans="2:23" x14ac:dyDescent="0.25">
      <c r="R112" s="268">
        <f>SUM(E73:E74)</f>
        <v>3.7919999999999998</v>
      </c>
      <c r="S112" t="s">
        <v>1192</v>
      </c>
    </row>
    <row r="113" spans="4:19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328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187</v>
      </c>
      <c r="N115" s="321">
        <f>'AMSA - Saldanha'!B81</f>
        <v>242.57861307692306</v>
      </c>
      <c r="O115" t="s">
        <v>583</v>
      </c>
    </row>
    <row r="116" spans="4:19" x14ac:dyDescent="0.25">
      <c r="E116" t="s">
        <v>585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173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460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95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575</v>
      </c>
    </row>
    <row r="124" spans="4:19" x14ac:dyDescent="0.25">
      <c r="M124" s="401">
        <v>3.26</v>
      </c>
      <c r="N124" s="15" t="s">
        <v>433</v>
      </c>
      <c r="O124" s="402" t="s">
        <v>570</v>
      </c>
      <c r="P124" s="3"/>
    </row>
    <row r="125" spans="4:19" x14ac:dyDescent="0.25">
      <c r="M125" s="4">
        <f>M124*3.6</f>
        <v>11.735999999999999</v>
      </c>
      <c r="N125" t="s">
        <v>140</v>
      </c>
      <c r="O125" t="s">
        <v>570</v>
      </c>
      <c r="P125" s="5"/>
    </row>
    <row r="126" spans="4:19" x14ac:dyDescent="0.25">
      <c r="M126" s="403">
        <v>0.28899999999999998</v>
      </c>
      <c r="N126" s="355" t="s">
        <v>287</v>
      </c>
      <c r="O126" s="355" t="s">
        <v>571</v>
      </c>
      <c r="P126" s="5"/>
      <c r="R126" s="399">
        <f>M126/M124</f>
        <v>8.8650306748466259E-2</v>
      </c>
      <c r="S126" t="s">
        <v>580</v>
      </c>
    </row>
    <row r="127" spans="4:19" x14ac:dyDescent="0.25">
      <c r="M127" s="7">
        <f>M126*3.6</f>
        <v>1.0404</v>
      </c>
      <c r="N127" s="8" t="s">
        <v>140</v>
      </c>
      <c r="O127" s="8" t="s">
        <v>571</v>
      </c>
      <c r="P127" s="9"/>
      <c r="R127">
        <f>R126/(SUM(E73:E74)/SUM(E73:E74,E76))</f>
        <v>0.11478718516217547</v>
      </c>
      <c r="S127" t="s">
        <v>581</v>
      </c>
    </row>
    <row r="129" spans="13:15" x14ac:dyDescent="0.25">
      <c r="M129">
        <f>M125+M127</f>
        <v>12.776399999999999</v>
      </c>
      <c r="O129" t="s">
        <v>576</v>
      </c>
    </row>
    <row r="130" spans="13:15" x14ac:dyDescent="0.25">
      <c r="M130">
        <f>M125</f>
        <v>11.735999999999999</v>
      </c>
      <c r="O130" t="s">
        <v>572</v>
      </c>
    </row>
    <row r="131" spans="13:15" x14ac:dyDescent="0.25">
      <c r="M131" s="287">
        <f>F110</f>
        <v>5.3967331177829116</v>
      </c>
      <c r="O131" t="s">
        <v>577</v>
      </c>
    </row>
    <row r="132" spans="13:15" x14ac:dyDescent="0.25">
      <c r="M132" s="268">
        <f>SUM(M130:M131)</f>
        <v>17.132733117782912</v>
      </c>
      <c r="O132" t="s">
        <v>573</v>
      </c>
    </row>
    <row r="133" spans="13:15" x14ac:dyDescent="0.25">
      <c r="M133" s="400">
        <f>R97/1000</f>
        <v>17.312000000000001</v>
      </c>
      <c r="O133" t="s">
        <v>578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499984740745262"/>
  </sheetPr>
  <dimension ref="A2:U128"/>
  <sheetViews>
    <sheetView topLeftCell="A84" workbookViewId="0">
      <selection activeCell="N129" sqref="N12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362</v>
      </c>
    </row>
    <row r="4" spans="1:15" x14ac:dyDescent="0.25">
      <c r="B4" s="18" t="s">
        <v>363</v>
      </c>
    </row>
    <row r="5" spans="1:15" x14ac:dyDescent="0.25">
      <c r="B5" s="14"/>
      <c r="C5" s="305" t="s">
        <v>328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320</v>
      </c>
      <c r="D6" t="s">
        <v>13</v>
      </c>
      <c r="E6" t="s">
        <v>11</v>
      </c>
      <c r="F6" t="s">
        <v>321</v>
      </c>
      <c r="G6" t="s">
        <v>322</v>
      </c>
      <c r="H6" t="s">
        <v>323</v>
      </c>
      <c r="I6" t="s">
        <v>151</v>
      </c>
      <c r="J6" t="s">
        <v>324</v>
      </c>
      <c r="K6" t="s">
        <v>325</v>
      </c>
      <c r="L6" t="s">
        <v>326</v>
      </c>
      <c r="M6" t="s">
        <v>14</v>
      </c>
      <c r="N6" t="s">
        <v>198</v>
      </c>
      <c r="O6" s="5"/>
    </row>
    <row r="7" spans="1:15" x14ac:dyDescent="0.25">
      <c r="B7" s="4" t="s">
        <v>327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364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414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45</v>
      </c>
      <c r="F15" s="24" t="s">
        <v>8</v>
      </c>
      <c r="G15" s="24" t="s">
        <v>170</v>
      </c>
      <c r="H15" s="24" t="s">
        <v>10</v>
      </c>
      <c r="M15" s="5"/>
    </row>
    <row r="16" spans="1:15" x14ac:dyDescent="0.25">
      <c r="B16" s="4" t="s">
        <v>13</v>
      </c>
      <c r="C16" s="272">
        <f>'Energy Calibration'!D36</f>
        <v>4.3302170790299686</v>
      </c>
      <c r="D16" s="272">
        <f>'Energy Calibration'!E36</f>
        <v>20.596584135938251</v>
      </c>
      <c r="E16" s="272">
        <f>'Energy Calibration'!F36</f>
        <v>0</v>
      </c>
      <c r="F16" s="272">
        <f>'Energy Calibration'!G36</f>
        <v>0</v>
      </c>
      <c r="G16" s="272">
        <f>'Energy Calibration'!H36</f>
        <v>17.2</v>
      </c>
      <c r="H16" s="272">
        <f>'Energy Calibration'!I36</f>
        <v>20.61</v>
      </c>
      <c r="M16" s="5"/>
    </row>
    <row r="17" spans="1:13" x14ac:dyDescent="0.25">
      <c r="B17" s="4" t="s">
        <v>11</v>
      </c>
      <c r="C17" s="272">
        <f>'Energy Calibration'!D37</f>
        <v>8.8757836125478331</v>
      </c>
      <c r="D17" s="272">
        <f>'Energy Calibration'!E37</f>
        <v>0</v>
      </c>
      <c r="E17" s="272">
        <f>'Energy Calibration'!F37</f>
        <v>0</v>
      </c>
      <c r="F17" s="272">
        <f>'Energy Calibration'!G37</f>
        <v>0</v>
      </c>
      <c r="G17" s="272">
        <f>'Energy Calibration'!H37</f>
        <v>2.6</v>
      </c>
      <c r="H17" s="272">
        <f>'Energy Calibration'!I37</f>
        <v>0</v>
      </c>
      <c r="M17" s="5"/>
    </row>
    <row r="18" spans="1:13" x14ac:dyDescent="0.25">
      <c r="B18" s="4" t="s">
        <v>14</v>
      </c>
      <c r="C18" s="272">
        <f>'Energy Calibration'!D38</f>
        <v>5.8326578025314344</v>
      </c>
      <c r="D18" s="272">
        <f>'Energy Calibration'!E38</f>
        <v>14.230367221193701</v>
      </c>
      <c r="E18" s="272">
        <f>'Energy Calibration'!F38</f>
        <v>0</v>
      </c>
      <c r="F18" s="272">
        <f>'Energy Calibration'!G38</f>
        <v>7.5</v>
      </c>
      <c r="G18" s="272">
        <f>'Energy Calibration'!H38</f>
        <v>4.3499999999999996</v>
      </c>
      <c r="H18" s="272">
        <f>'Energy Calibration'!I38</f>
        <v>20.61</v>
      </c>
      <c r="M18" s="5"/>
    </row>
    <row r="19" spans="1:13" x14ac:dyDescent="0.25">
      <c r="B19" s="4" t="s">
        <v>130</v>
      </c>
      <c r="C19" s="272">
        <f>'Energy Calibration'!D39</f>
        <v>6.2130485287834842</v>
      </c>
      <c r="D19" s="272">
        <f>'Energy Calibration'!E39</f>
        <v>2.2380324578113369</v>
      </c>
      <c r="E19" s="272">
        <f>'Energy Calibration'!F39</f>
        <v>0</v>
      </c>
      <c r="F19" s="272">
        <f>'Energy Calibration'!G39</f>
        <v>2.5</v>
      </c>
      <c r="G19" s="272">
        <f>'Energy Calibration'!H39</f>
        <v>0.91</v>
      </c>
      <c r="H19" s="272">
        <f>'Energy Calibration'!I39</f>
        <v>3.4349999999999996</v>
      </c>
      <c r="M19" s="5"/>
    </row>
    <row r="20" spans="1:13" x14ac:dyDescent="0.25">
      <c r="B20" s="4" t="s">
        <v>131</v>
      </c>
      <c r="C20" s="272">
        <f>'Energy Calibration'!D40</f>
        <v>0.12679690875068336</v>
      </c>
      <c r="D20" s="272">
        <f>'Energy Calibration'!E40</f>
        <v>0.37448334792615001</v>
      </c>
      <c r="E20" s="272">
        <f>'Energy Calibration'!F40</f>
        <v>0</v>
      </c>
      <c r="F20" s="272">
        <f>'Energy Calibration'!G40</f>
        <v>0</v>
      </c>
      <c r="G20" s="272">
        <f>'Energy Calibration'!H40</f>
        <v>0</v>
      </c>
      <c r="H20" s="272">
        <f>'Energy Calibration'!I40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187</v>
      </c>
      <c r="C25">
        <f>SUMIFS('Capacity &amp; Production'!$M$266:$M$270,'Capacity &amp; Production'!$B$266:$B$270,C15)</f>
        <v>3.3</v>
      </c>
      <c r="D25">
        <f>SUMIFS('Capacity &amp; Production'!$M$266:$M$270,'Capacity &amp; Production'!$B$266:$B$270,D15)</f>
        <v>0.95</v>
      </c>
      <c r="E25">
        <f>SUMIFS('Capacity &amp; Production'!$M$266:$M$270,'Capacity &amp; Production'!$B$266:$B$270,E15)</f>
        <v>0</v>
      </c>
      <c r="F25">
        <f>SUMIFS('Capacity &amp; Production'!$M$266:$M$270,'Capacity &amp; Production'!$B$266:$B$270,F15)</f>
        <v>0.86</v>
      </c>
      <c r="G25">
        <f>SUMIFS('Capacity &amp; Production'!$M$266:$M$270,'Capacity &amp; Production'!$B$266:$B$270,G15)</f>
        <v>1.21</v>
      </c>
      <c r="H25">
        <f>SUMIFS('Capacity &amp; Production'!$M$266:$M$270,'Capacity &amp; Production'!$B$266:$B$270,H15)</f>
        <v>0.62</v>
      </c>
    </row>
    <row r="27" spans="1:13" x14ac:dyDescent="0.25">
      <c r="B27" s="18" t="s">
        <v>366</v>
      </c>
    </row>
    <row r="28" spans="1:13" x14ac:dyDescent="0.25">
      <c r="J28" t="s">
        <v>140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365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417</v>
      </c>
    </row>
    <row r="38" spans="1:13" x14ac:dyDescent="0.25">
      <c r="B38" s="346" t="s">
        <v>415</v>
      </c>
      <c r="C38" s="347">
        <f>SUMIFS('Capacity &amp; Production'!$R$266:$R$270,'Capacity &amp; Production'!$B$266:$B$270,C15)</f>
        <v>3.0330810810810807</v>
      </c>
      <c r="D38" s="347">
        <f>SUMIFS('Capacity &amp; Production'!$R$266:$R$270,'Capacity &amp; Production'!$B$266:$B$270,D15)</f>
        <v>0.75891891891891894</v>
      </c>
      <c r="E38" s="347">
        <f>SUMIFS('Capacity &amp; Production'!$R$266:$R$270,'Capacity &amp; Production'!$B$266:$B$270,E15)</f>
        <v>0</v>
      </c>
      <c r="F38" s="347">
        <f>SUMIFS('Capacity &amp; Production'!$R$266:$R$270,'Capacity &amp; Production'!$B$266:$B$270,F15)</f>
        <v>1.3200000000000003</v>
      </c>
      <c r="G38" s="347">
        <f>SUMIFS('Capacity &amp; Production'!$R$266:$R$270,'Capacity &amp; Production'!$B$266:$B$270,G15)</f>
        <v>1.1180000000000001</v>
      </c>
      <c r="H38" s="347">
        <f>SUMIFS('Capacity &amp; Production'!$R$266:$R$270,'Capacity &amp; Production'!$B$266:$B$270,H15)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433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416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187</v>
      </c>
      <c r="C50">
        <f>SUMIFS('Capacity &amp; Production'!$P$266:$P$270,'Capacity &amp; Production'!$B$266:$B$270,C15)</f>
        <v>3.1641891891891891</v>
      </c>
      <c r="D50">
        <f>SUMIFS('Capacity &amp; Production'!$P$266:$P$270,'Capacity &amp; Production'!$B$266:$B$270,D15)</f>
        <v>0.77481081081081082</v>
      </c>
      <c r="E50">
        <f>SUMIFS('Capacity &amp; Production'!$P$266:$P$270,'Capacity &amp; Production'!$B$266:$B$270,E15)</f>
        <v>0</v>
      </c>
      <c r="F50">
        <f>SUMIFS('Capacity &amp; Production'!$P$266:$P$270,'Capacity &amp; Production'!$B$266:$B$270,F15)</f>
        <v>1.3620000000000003</v>
      </c>
      <c r="G50">
        <f>SUMIFS('Capacity &amp; Production'!$P$266:$P$270,'Capacity &amp; Production'!$B$266:$B$270,G15)</f>
        <v>0.96299999999999997</v>
      </c>
      <c r="H50">
        <f>SUMIFS('Capacity &amp; Production'!$P$266:$P$270,'Capacity &amp; Production'!$B$266:$B$270,H15)</f>
        <v>0.1360000000000007</v>
      </c>
    </row>
    <row r="52" spans="1:11" x14ac:dyDescent="0.25">
      <c r="B52" s="18" t="s">
        <v>366</v>
      </c>
    </row>
    <row r="53" spans="1:11" x14ac:dyDescent="0.25">
      <c r="J53" t="s">
        <v>140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365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417</v>
      </c>
    </row>
    <row r="63" spans="1:11" x14ac:dyDescent="0.25">
      <c r="B63" s="346" t="s">
        <v>415</v>
      </c>
      <c r="C63" s="347">
        <f>SUMIFS('Capacity &amp; Production'!$R$266:$R$270,'Capacity &amp; Production'!$B$266:$B$270,C40)</f>
        <v>0</v>
      </c>
      <c r="D63" s="347">
        <f>SUMIFS('Capacity &amp; Production'!$R$266:$R$270,'Capacity &amp; Production'!$B$266:$B$270,D40)</f>
        <v>0</v>
      </c>
      <c r="E63" s="347">
        <f>SUMIFS('Capacity &amp; Production'!$R$266:$R$270,'Capacity &amp; Production'!$B$266:$B$270,E40)</f>
        <v>0</v>
      </c>
      <c r="F63" s="347">
        <f>SUMIFS('Capacity &amp; Production'!$R$266:$R$270,'Capacity &amp; Production'!$B$266:$B$270,F40)</f>
        <v>0</v>
      </c>
      <c r="G63" s="347">
        <f>SUMIFS('Capacity &amp; Production'!$R$266:$R$270,'Capacity &amp; Production'!$B$266:$B$270,G40)</f>
        <v>0</v>
      </c>
      <c r="H63" s="347">
        <f>SUMIFS('Capacity &amp; Production'!$R$266:$R$270,'Capacity &amp; Production'!$B$266:$B$270,H40)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433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416</v>
      </c>
      <c r="J71" s="345">
        <f>SUM(J65:J69)</f>
        <v>230.58461114450461</v>
      </c>
    </row>
    <row r="75" spans="1:19" x14ac:dyDescent="0.25">
      <c r="A75" s="18" t="s">
        <v>361</v>
      </c>
    </row>
    <row r="77" spans="1:19" x14ac:dyDescent="0.25">
      <c r="B77" t="s">
        <v>376</v>
      </c>
      <c r="J77" t="s">
        <v>380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640</v>
      </c>
    </row>
    <row r="79" spans="1:19" x14ac:dyDescent="0.25">
      <c r="B79" s="4" t="s">
        <v>369</v>
      </c>
      <c r="C79" t="s">
        <v>367</v>
      </c>
      <c r="D79" t="s">
        <v>368</v>
      </c>
      <c r="E79" s="323">
        <v>1.46</v>
      </c>
      <c r="G79" s="5"/>
      <c r="J79" s="4"/>
      <c r="L79" s="18" t="s">
        <v>359</v>
      </c>
      <c r="M79" s="5"/>
      <c r="P79" s="346" t="s">
        <v>391</v>
      </c>
      <c r="Q79" s="15"/>
      <c r="R79" s="15"/>
      <c r="S79" s="3"/>
    </row>
    <row r="80" spans="1:19" x14ac:dyDescent="0.25">
      <c r="B80" s="4" t="s">
        <v>370</v>
      </c>
      <c r="C80" t="s">
        <v>367</v>
      </c>
      <c r="D80" t="s">
        <v>368</v>
      </c>
      <c r="E80" s="323">
        <v>0.08</v>
      </c>
      <c r="G80" s="5"/>
      <c r="J80" s="325" t="s">
        <v>379</v>
      </c>
      <c r="L80">
        <v>94.6</v>
      </c>
      <c r="M80" s="5"/>
      <c r="P80" s="4"/>
      <c r="Q80" t="s">
        <v>367</v>
      </c>
      <c r="S80" s="5"/>
    </row>
    <row r="81" spans="2:19" x14ac:dyDescent="0.25">
      <c r="B81" s="4" t="s">
        <v>371</v>
      </c>
      <c r="C81" t="s">
        <v>367</v>
      </c>
      <c r="D81" t="s">
        <v>368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639</v>
      </c>
      <c r="S81" s="5" t="s">
        <v>641</v>
      </c>
    </row>
    <row r="82" spans="2:19" x14ac:dyDescent="0.25">
      <c r="B82" s="4" t="s">
        <v>372</v>
      </c>
      <c r="C82" t="s">
        <v>367</v>
      </c>
      <c r="D82" t="s">
        <v>368</v>
      </c>
      <c r="E82" s="323">
        <v>1.35</v>
      </c>
      <c r="G82" s="5"/>
      <c r="J82" s="4" t="s">
        <v>378</v>
      </c>
      <c r="L82">
        <v>0</v>
      </c>
      <c r="M82" s="5"/>
      <c r="P82" s="4" t="s">
        <v>1</v>
      </c>
      <c r="Q82" s="1">
        <v>0</v>
      </c>
      <c r="R82" t="s">
        <v>639</v>
      </c>
      <c r="S82" s="5" t="s">
        <v>641</v>
      </c>
    </row>
    <row r="83" spans="2:19" x14ac:dyDescent="0.25">
      <c r="B83" s="4" t="s">
        <v>373</v>
      </c>
      <c r="C83" t="s">
        <v>367</v>
      </c>
      <c r="D83" t="s">
        <v>368</v>
      </c>
      <c r="E83" s="324">
        <v>1.5249999999999999</v>
      </c>
      <c r="G83" s="5"/>
      <c r="J83" s="4" t="s">
        <v>377</v>
      </c>
      <c r="L83">
        <v>56.1</v>
      </c>
      <c r="M83" s="5"/>
      <c r="P83" s="4" t="s">
        <v>374</v>
      </c>
      <c r="Q83" s="1">
        <v>812005</v>
      </c>
      <c r="R83" t="s">
        <v>639</v>
      </c>
      <c r="S83" s="5" t="s">
        <v>641</v>
      </c>
    </row>
    <row r="84" spans="2:19" x14ac:dyDescent="0.25">
      <c r="B84" s="4" t="s">
        <v>374</v>
      </c>
      <c r="C84" t="s">
        <v>367</v>
      </c>
      <c r="D84" t="s">
        <v>368</v>
      </c>
      <c r="E84" s="324">
        <v>0.34</v>
      </c>
      <c r="G84" s="5"/>
      <c r="J84" s="4" t="s">
        <v>360</v>
      </c>
      <c r="L84">
        <v>77.400000000000006</v>
      </c>
      <c r="M84" s="5"/>
      <c r="P84" s="4" t="s">
        <v>20</v>
      </c>
      <c r="Q84" s="1">
        <v>586261</v>
      </c>
      <c r="R84" t="s">
        <v>639</v>
      </c>
      <c r="S84" s="5" t="s">
        <v>641</v>
      </c>
    </row>
    <row r="85" spans="2:19" x14ac:dyDescent="0.25">
      <c r="B85" s="4" t="s">
        <v>375</v>
      </c>
      <c r="C85" t="s">
        <v>367</v>
      </c>
      <c r="D85" t="s">
        <v>368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381</v>
      </c>
    </row>
    <row r="90" spans="2:19" x14ac:dyDescent="0.25">
      <c r="C90" t="s">
        <v>388</v>
      </c>
      <c r="Q90" t="s">
        <v>388</v>
      </c>
    </row>
    <row r="91" spans="2:19" x14ac:dyDescent="0.25">
      <c r="B91" t="s">
        <v>7</v>
      </c>
      <c r="C91">
        <f>E79+E82</f>
        <v>2.81</v>
      </c>
      <c r="E91" s="326"/>
      <c r="J91" t="s">
        <v>387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533</v>
      </c>
      <c r="P92" t="s">
        <v>9</v>
      </c>
      <c r="Q92">
        <v>1.605</v>
      </c>
    </row>
    <row r="93" spans="2:19" x14ac:dyDescent="0.25">
      <c r="B93" t="s">
        <v>45</v>
      </c>
      <c r="E93" s="326"/>
      <c r="J93">
        <f>E79*0.5+E80*0.5</f>
        <v>0.77</v>
      </c>
      <c r="K93" t="s">
        <v>386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385</v>
      </c>
      <c r="P94" t="s">
        <v>170</v>
      </c>
      <c r="Q94">
        <v>2.1267142857142858</v>
      </c>
    </row>
    <row r="95" spans="2:19" x14ac:dyDescent="0.25">
      <c r="B95" t="s">
        <v>170</v>
      </c>
      <c r="C95" s="268">
        <f>J94+J93</f>
        <v>2.1267142857142858</v>
      </c>
      <c r="E95" s="326"/>
      <c r="P95" t="s">
        <v>10</v>
      </c>
      <c r="Q95">
        <v>1.54</v>
      </c>
      <c r="R95" t="s">
        <v>532</v>
      </c>
    </row>
    <row r="96" spans="2:19" x14ac:dyDescent="0.25">
      <c r="B96" t="s">
        <v>10</v>
      </c>
      <c r="C96">
        <f>E80+E79</f>
        <v>1.54</v>
      </c>
      <c r="D96" t="s">
        <v>532</v>
      </c>
      <c r="E96" s="326"/>
      <c r="J96" t="s">
        <v>399</v>
      </c>
    </row>
    <row r="97" spans="2:19" x14ac:dyDescent="0.25">
      <c r="D97" s="326"/>
      <c r="E97" s="326"/>
      <c r="J97" s="285">
        <v>0.1</v>
      </c>
      <c r="K97" t="s">
        <v>534</v>
      </c>
    </row>
    <row r="98" spans="2:19" x14ac:dyDescent="0.25">
      <c r="J98" s="285">
        <f>1-J97</f>
        <v>0.9</v>
      </c>
    </row>
    <row r="99" spans="2:19" x14ac:dyDescent="0.25">
      <c r="B99" s="18" t="s">
        <v>390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SUMIFS('Capacity &amp; Production'!M$266:M$270,'Capacity &amp; Production'!$B$266:$B$270,$B101)</f>
        <v>3.3</v>
      </c>
      <c r="D101" s="327">
        <f>SUMIFS('Capacity &amp; Production'!N$266:N$270,'Capacity &amp; Production'!$B$266:$B$270,$B101)</f>
        <v>3.3760806916426511</v>
      </c>
      <c r="E101" s="327">
        <f>SUMIFS('Capacity &amp; Production'!O$266:O$270,'Capacity &amp; Production'!$B$266:$B$270,$B101)</f>
        <v>3.0907780979827089</v>
      </c>
      <c r="F101" s="327">
        <f>SUMIFS('Capacity &amp; Production'!P$266:P$270,'Capacity &amp; Production'!$B$266:$B$270,$B101)</f>
        <v>3.1641891891891891</v>
      </c>
      <c r="G101" s="327">
        <f>SUMIFS('Capacity &amp; Production'!Q$266:Q$270,'Capacity &amp; Production'!$B$266:$B$270,$B101)</f>
        <v>3.1641891891891891</v>
      </c>
      <c r="H101" s="327">
        <f>SUMIFS('Capacity &amp; Production'!R$266:R$270,'Capacity &amp; Production'!$B$266:$B$270,$B101)</f>
        <v>3.0330810810810807</v>
      </c>
    </row>
    <row r="102" spans="2:19" x14ac:dyDescent="0.25">
      <c r="B102" t="s">
        <v>9</v>
      </c>
      <c r="C102" s="327">
        <f>SUMIFS('Capacity &amp; Production'!M$266:M$270,'Capacity &amp; Production'!$B$266:$B$270,$B102)</f>
        <v>0.95</v>
      </c>
      <c r="D102" s="327">
        <f>SUMIFS('Capacity &amp; Production'!N$266:N$270,'Capacity &amp; Production'!$B$266:$B$270,$B102)</f>
        <v>0.97190201729106618</v>
      </c>
      <c r="E102" s="327">
        <f>SUMIFS('Capacity &amp; Production'!O$266:O$270,'Capacity &amp; Production'!$B$266:$B$270,$B102)</f>
        <v>0.88976945244956762</v>
      </c>
      <c r="F102" s="327">
        <f>SUMIFS('Capacity &amp; Production'!P$266:P$270,'Capacity &amp; Production'!$B$266:$B$270,$B102)</f>
        <v>0.77481081081081082</v>
      </c>
      <c r="G102" s="327">
        <f>SUMIFS('Capacity &amp; Production'!Q$266:Q$270,'Capacity &amp; Production'!$B$266:$B$270,$B102)</f>
        <v>0.77481081081081082</v>
      </c>
      <c r="H102" s="327">
        <f>SUMIFS('Capacity &amp; Production'!R$266:R$270,'Capacity &amp; Production'!$B$266:$B$270,$B102)</f>
        <v>0.75891891891891894</v>
      </c>
    </row>
    <row r="103" spans="2:19" x14ac:dyDescent="0.25">
      <c r="B103" t="s">
        <v>45</v>
      </c>
      <c r="C103" s="327">
        <f>SUMIFS('Capacity &amp; Production'!M$266:M$270,'Capacity &amp; Production'!$B$266:$B$270,$B103)</f>
        <v>0</v>
      </c>
      <c r="D103" s="327">
        <f>SUMIFS('Capacity &amp; Production'!N$266:N$270,'Capacity &amp; Production'!$B$266:$B$270,$B103)</f>
        <v>0</v>
      </c>
      <c r="E103" s="327">
        <f>SUMIFS('Capacity &amp; Production'!O$266:O$270,'Capacity &amp; Production'!$B$266:$B$270,$B103)</f>
        <v>0</v>
      </c>
      <c r="F103" s="327">
        <f>SUMIFS('Capacity &amp; Production'!P$266:P$270,'Capacity &amp; Production'!$B$266:$B$270,$B103)</f>
        <v>0</v>
      </c>
      <c r="G103" s="327">
        <f>SUMIFS('Capacity &amp; Production'!Q$266:Q$270,'Capacity &amp; Production'!$B$266:$B$270,$B103)</f>
        <v>0</v>
      </c>
      <c r="H103" s="327">
        <f>SUMIFS('Capacity &amp; Production'!R$266:R$270,'Capacity &amp; Production'!$B$266:$B$270,$B103)</f>
        <v>0</v>
      </c>
    </row>
    <row r="104" spans="2:19" x14ac:dyDescent="0.25">
      <c r="B104" t="s">
        <v>8</v>
      </c>
      <c r="C104" s="327">
        <f>SUMIFS('Capacity &amp; Production'!M$266:M$270,'Capacity &amp; Production'!$B$266:$B$270,$B104)</f>
        <v>0.86</v>
      </c>
      <c r="D104" s="327">
        <f>SUMIFS('Capacity &amp; Production'!N$266:N$270,'Capacity &amp; Production'!$B$266:$B$270,$B104)</f>
        <v>0.87982708933717579</v>
      </c>
      <c r="E104" s="327">
        <f>SUMIFS('Capacity &amp; Production'!O$266:O$270,'Capacity &amp; Production'!$B$266:$B$270,$B104)</f>
        <v>0.8054755043227666</v>
      </c>
      <c r="F104" s="327">
        <f>SUMIFS('Capacity &amp; Production'!P$266:P$270,'Capacity &amp; Production'!$B$266:$B$270,$B104)</f>
        <v>1.3620000000000003</v>
      </c>
      <c r="G104" s="327">
        <f>SUMIFS('Capacity &amp; Production'!Q$266:Q$270,'Capacity &amp; Production'!$B$266:$B$270,$B104)</f>
        <v>1.3200000000000003</v>
      </c>
      <c r="H104" s="327">
        <f>SUMIFS('Capacity &amp; Production'!R$266:R$270,'Capacity &amp; Production'!$B$266:$B$270,$B104)</f>
        <v>1.3200000000000003</v>
      </c>
      <c r="K104" t="s">
        <v>397</v>
      </c>
    </row>
    <row r="105" spans="2:19" x14ac:dyDescent="0.25">
      <c r="B105" t="s">
        <v>170</v>
      </c>
      <c r="C105" s="327">
        <f>SUMIFS('Capacity &amp; Production'!M$266:M$270,'Capacity &amp; Production'!$B$266:$B$270,$B105)</f>
        <v>1.21</v>
      </c>
      <c r="D105" s="327">
        <f>SUMIFS('Capacity &amp; Production'!N$266:N$270,'Capacity &amp; Production'!$B$266:$B$270,$B105)</f>
        <v>1.2378962536023055</v>
      </c>
      <c r="E105" s="327">
        <f>SUMIFS('Capacity &amp; Production'!O$266:O$270,'Capacity &amp; Production'!$B$266:$B$270,$B105)</f>
        <v>1.13328530259366</v>
      </c>
      <c r="F105" s="327">
        <f>SUMIFS('Capacity &amp; Production'!P$266:P$270,'Capacity &amp; Production'!$B$266:$B$270,$B105)</f>
        <v>0.96299999999999997</v>
      </c>
      <c r="G105" s="327">
        <f>SUMIFS('Capacity &amp; Production'!Q$266:Q$270,'Capacity &amp; Production'!$B$266:$B$270,$B105)</f>
        <v>0.83199999999999996</v>
      </c>
      <c r="H105" s="327">
        <f>SUMIFS('Capacity &amp; Production'!R$266:R$270,'Capacity &amp; Production'!$B$266:$B$270,$B105)</f>
        <v>1.1180000000000001</v>
      </c>
      <c r="K105" s="14" t="s">
        <v>398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SUMIFS('Capacity &amp; Production'!M$266:M$270,'Capacity &amp; Production'!$B$266:$B$270,$B106)</f>
        <v>0.62</v>
      </c>
      <c r="D106" s="279">
        <f>SUMIFS('Capacity &amp; Production'!N$266:N$270,'Capacity &amp; Production'!$B$266:$B$270,$B106)</f>
        <v>0.63429394812680118</v>
      </c>
      <c r="E106" s="279">
        <f>SUMIFS('Capacity &amp; Production'!O$266:O$270,'Capacity &amp; Production'!$B$266:$B$270,$B106)</f>
        <v>0.5806916426512968</v>
      </c>
      <c r="F106" s="279">
        <f>SUMIFS('Capacity &amp; Production'!P$266:P$270,'Capacity &amp; Production'!$B$266:$B$270,$B106)</f>
        <v>0.1360000000000007</v>
      </c>
      <c r="G106" s="279">
        <f>SUMIFS('Capacity &amp; Production'!Q$266:Q$270,'Capacity &amp; Production'!$B$266:$B$270,$B106)</f>
        <v>0</v>
      </c>
      <c r="H106" s="279">
        <f>SUMIFS('Capacity &amp; Production'!R$266:R$270,'Capacity &amp; Production'!$B$266:$B$270,$B106)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400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393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391</v>
      </c>
      <c r="C110" s="18" t="s">
        <v>389</v>
      </c>
      <c r="K110" s="4" t="s">
        <v>394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45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170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400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392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395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396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397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409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G305"/>
  <sheetViews>
    <sheetView zoomScale="66" workbookViewId="0">
      <selection activeCell="W313" sqref="W313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354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356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355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28" t="s">
        <v>605</v>
      </c>
      <c r="H9" s="628"/>
      <c r="I9" s="628"/>
      <c r="J9" s="628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7" t="s">
        <v>497</v>
      </c>
      <c r="H10" s="409">
        <f>(110+150)*12/1000</f>
        <v>3.12</v>
      </c>
      <c r="I10" s="412" t="s">
        <v>498</v>
      </c>
      <c r="J10" s="411">
        <f>250*12/1000</f>
        <v>3</v>
      </c>
      <c r="K10" s="13" t="s">
        <v>517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8" t="s">
        <v>521</v>
      </c>
      <c r="H11" s="410">
        <f>(87.5+29.2)*12/1000</f>
        <v>1.4004000000000001</v>
      </c>
      <c r="I11" s="412" t="s">
        <v>499</v>
      </c>
      <c r="J11" s="409">
        <f>120*12/1000</f>
        <v>1.44</v>
      </c>
      <c r="K11" s="13" t="s">
        <v>517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7" t="s">
        <v>500</v>
      </c>
      <c r="I12" s="357" t="s">
        <v>498</v>
      </c>
      <c r="K12" s="13" t="s">
        <v>516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516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767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517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517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8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602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8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1216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44" t="s">
        <v>1202</v>
      </c>
      <c r="D25" s="545"/>
      <c r="E25" s="545"/>
      <c r="F25" s="545"/>
      <c r="G25" s="545"/>
      <c r="H25" s="545"/>
      <c r="I25" s="545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46" t="s">
        <v>1203</v>
      </c>
      <c r="D26" s="546" t="s">
        <v>1204</v>
      </c>
      <c r="E26" s="546" t="s">
        <v>1205</v>
      </c>
      <c r="F26" s="546" t="s">
        <v>1206</v>
      </c>
      <c r="G26" s="546" t="s">
        <v>1207</v>
      </c>
      <c r="H26" s="546" t="s">
        <v>1208</v>
      </c>
      <c r="I26" s="546" t="s">
        <v>1209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167</v>
      </c>
      <c r="D27" t="e">
        <f>"Industry - I&amp;S - "&amp;#REF!&amp;" - E"</f>
        <v>#REF!</v>
      </c>
      <c r="E27" t="s">
        <v>140</v>
      </c>
      <c r="F27" t="s">
        <v>1214</v>
      </c>
      <c r="G27" t="s">
        <v>1012</v>
      </c>
      <c r="H27" t="s">
        <v>1215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172</v>
      </c>
      <c r="D28" t="e">
        <f>"Industry - I&amp;S - "&amp;#REF!&amp;" - E"</f>
        <v>#REF!</v>
      </c>
      <c r="E28" t="s">
        <v>140</v>
      </c>
      <c r="F28" t="s">
        <v>1214</v>
      </c>
      <c r="G28" t="s">
        <v>1012</v>
      </c>
      <c r="H28" t="s">
        <v>1215</v>
      </c>
      <c r="J28" t="s">
        <v>1213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169</v>
      </c>
      <c r="D29" t="e">
        <f>"Industry - I&amp;S - "&amp;#REF!&amp;" - E"</f>
        <v>#REF!</v>
      </c>
      <c r="E29" t="s">
        <v>140</v>
      </c>
      <c r="F29" t="s">
        <v>1214</v>
      </c>
      <c r="G29" t="s">
        <v>1012</v>
      </c>
      <c r="H29" t="s">
        <v>1215</v>
      </c>
      <c r="J29" t="s">
        <v>1212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176</v>
      </c>
      <c r="D30" t="e">
        <f>"Industry - I&amp;S - "&amp;#REF!&amp;" - E"</f>
        <v>#REF!</v>
      </c>
      <c r="E30" t="s">
        <v>140</v>
      </c>
      <c r="F30" t="s">
        <v>1214</v>
      </c>
      <c r="G30" t="s">
        <v>1012</v>
      </c>
      <c r="H30" t="s">
        <v>1215</v>
      </c>
      <c r="J30" t="s">
        <v>1211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178</v>
      </c>
      <c r="D31" t="e">
        <f>"Industry - I&amp;S - "&amp;#REF!&amp;" - E"</f>
        <v>#REF!</v>
      </c>
      <c r="E31" t="s">
        <v>140</v>
      </c>
      <c r="F31" t="s">
        <v>1214</v>
      </c>
      <c r="G31" t="s">
        <v>1012</v>
      </c>
      <c r="H31" t="s">
        <v>1215</v>
      </c>
      <c r="J31" t="s">
        <v>1210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1154</v>
      </c>
      <c r="D32" s="99" t="s">
        <v>1222</v>
      </c>
      <c r="E32" t="s">
        <v>140</v>
      </c>
      <c r="F32" t="s">
        <v>1214</v>
      </c>
      <c r="G32" t="s">
        <v>1012</v>
      </c>
      <c r="H32" t="s">
        <v>1215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1217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44" t="s">
        <v>1202</v>
      </c>
      <c r="D38" s="545"/>
      <c r="E38" s="545"/>
      <c r="F38" s="545"/>
      <c r="G38" s="545"/>
      <c r="H38" s="545"/>
      <c r="I38" s="545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46" t="s">
        <v>1203</v>
      </c>
      <c r="D39" s="546" t="s">
        <v>1204</v>
      </c>
      <c r="E39" s="546" t="s">
        <v>1205</v>
      </c>
      <c r="F39" s="546" t="s">
        <v>1206</v>
      </c>
      <c r="G39" s="546" t="s">
        <v>1207</v>
      </c>
      <c r="H39" s="546" t="s">
        <v>1208</v>
      </c>
      <c r="I39" s="546" t="s">
        <v>1209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536</v>
      </c>
      <c r="D40" s="99" t="s">
        <v>1218</v>
      </c>
      <c r="E40" t="s">
        <v>140</v>
      </c>
      <c r="F40" t="s">
        <v>1214</v>
      </c>
      <c r="G40" t="s">
        <v>1012</v>
      </c>
      <c r="H40" t="s">
        <v>1215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1254</v>
      </c>
      <c r="D41" s="99" t="s">
        <v>1219</v>
      </c>
      <c r="E41" t="s">
        <v>140</v>
      </c>
      <c r="F41" t="s">
        <v>1214</v>
      </c>
      <c r="G41" t="s">
        <v>1012</v>
      </c>
      <c r="H41" t="s">
        <v>1215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538</v>
      </c>
      <c r="D42" s="99" t="s">
        <v>1220</v>
      </c>
      <c r="E42" t="s">
        <v>140</v>
      </c>
      <c r="F42" t="s">
        <v>1214</v>
      </c>
      <c r="G42" t="s">
        <v>1012</v>
      </c>
      <c r="H42" t="s">
        <v>1215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539</v>
      </c>
      <c r="D43" s="99" t="s">
        <v>1221</v>
      </c>
      <c r="E43" t="s">
        <v>140</v>
      </c>
      <c r="F43" t="s">
        <v>1214</v>
      </c>
      <c r="G43" t="s">
        <v>1012</v>
      </c>
      <c r="H43" t="s">
        <v>1215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1223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184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186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8"/>
      <c r="Y49" s="438">
        <v>2012</v>
      </c>
      <c r="Z49" s="438">
        <v>2013</v>
      </c>
      <c r="AA49" s="438">
        <v>2014</v>
      </c>
      <c r="AB49" s="438">
        <v>2015</v>
      </c>
      <c r="AC49" s="438">
        <v>2016</v>
      </c>
      <c r="AD49" s="438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8" t="s">
        <v>7</v>
      </c>
      <c r="Y50" s="438">
        <v>4.9000000000000004</v>
      </c>
      <c r="Z50" s="438">
        <v>4.9000000000000004</v>
      </c>
      <c r="AA50" s="438">
        <v>4.9000000000000004</v>
      </c>
      <c r="AB50" s="438">
        <v>4.9000000000000004</v>
      </c>
      <c r="AC50" s="438">
        <v>4.9000000000000004</v>
      </c>
      <c r="AD50" s="438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170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8" t="s">
        <v>170</v>
      </c>
      <c r="Y51" s="438">
        <v>1.2400000000000002</v>
      </c>
      <c r="Z51" s="438">
        <v>1.2400000000000002</v>
      </c>
      <c r="AA51" s="438">
        <v>1.2400000000000002</v>
      </c>
      <c r="AB51" s="438">
        <v>1.2400000000000002</v>
      </c>
      <c r="AC51" s="438">
        <v>1.2400000000000002</v>
      </c>
      <c r="AD51" s="438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8" t="s">
        <v>9</v>
      </c>
      <c r="Y52" s="438">
        <v>1.44</v>
      </c>
      <c r="Z52" s="438">
        <v>1.44</v>
      </c>
      <c r="AA52" s="438">
        <v>1.44</v>
      </c>
      <c r="AB52" s="438">
        <v>1.44</v>
      </c>
      <c r="AC52" s="438">
        <v>1.44</v>
      </c>
      <c r="AD52" s="438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8" t="s">
        <v>10</v>
      </c>
      <c r="Y53" s="438">
        <v>1</v>
      </c>
      <c r="Z53" s="438">
        <v>1</v>
      </c>
      <c r="AA53" s="438">
        <v>1</v>
      </c>
      <c r="AB53" s="438">
        <v>1</v>
      </c>
      <c r="AC53" s="438">
        <v>1</v>
      </c>
      <c r="AD53" s="438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8" t="s">
        <v>8</v>
      </c>
      <c r="Y54" s="438">
        <v>1.7200000000000002</v>
      </c>
      <c r="Z54" s="438">
        <v>1.7200000000000002</v>
      </c>
      <c r="AA54" s="438">
        <v>1.7200000000000002</v>
      </c>
      <c r="AB54" s="438">
        <v>1.7200000000000002</v>
      </c>
      <c r="AC54" s="438">
        <v>1.3200000000000003</v>
      </c>
      <c r="AD54" s="438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8" t="s">
        <v>3</v>
      </c>
      <c r="Y55" s="438">
        <v>10.3</v>
      </c>
      <c r="Z55" s="438">
        <v>10.3</v>
      </c>
      <c r="AA55" s="438">
        <v>10.3</v>
      </c>
      <c r="AB55" s="438">
        <v>10.3</v>
      </c>
      <c r="AC55" s="438">
        <v>9.9</v>
      </c>
      <c r="AD55" s="438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1198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29" t="s">
        <v>2</v>
      </c>
      <c r="C66" s="618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29"/>
      <c r="C67" s="618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29"/>
      <c r="C68" s="618"/>
      <c r="D68" t="s">
        <v>188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29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29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29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30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31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31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32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31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31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32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206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220</v>
      </c>
      <c r="C88" t="s">
        <v>166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220</v>
      </c>
      <c r="C89" t="s">
        <v>166</v>
      </c>
      <c r="D89" t="s">
        <v>168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220</v>
      </c>
      <c r="C90" t="s">
        <v>171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220</v>
      </c>
      <c r="C91" t="s">
        <v>174</v>
      </c>
      <c r="D91" t="s">
        <v>175</v>
      </c>
      <c r="E91" t="s">
        <v>1</v>
      </c>
      <c r="P91" s="5"/>
    </row>
    <row r="92" spans="2:16" x14ac:dyDescent="0.25">
      <c r="B92" s="4" t="s">
        <v>220</v>
      </c>
      <c r="C92" t="s">
        <v>177</v>
      </c>
      <c r="D92" t="s">
        <v>93</v>
      </c>
      <c r="E92" t="s">
        <v>95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220</v>
      </c>
      <c r="C93" t="s">
        <v>177</v>
      </c>
      <c r="D93" t="s">
        <v>168</v>
      </c>
      <c r="E93" t="s">
        <v>95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179</v>
      </c>
      <c r="C94" t="s">
        <v>180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181</v>
      </c>
      <c r="D95" t="s">
        <v>175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220</v>
      </c>
      <c r="C100" t="s">
        <v>166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220</v>
      </c>
      <c r="C101" t="s">
        <v>166</v>
      </c>
      <c r="D101" t="s">
        <v>168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220</v>
      </c>
      <c r="C102" t="s">
        <v>171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357</v>
      </c>
      <c r="S102" s="306"/>
      <c r="T102" s="306"/>
    </row>
    <row r="103" spans="2:20" x14ac:dyDescent="0.25">
      <c r="B103" s="4" t="s">
        <v>220</v>
      </c>
      <c r="C103" t="s">
        <v>174</v>
      </c>
      <c r="D103" t="s">
        <v>175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220</v>
      </c>
      <c r="C104" t="s">
        <v>177</v>
      </c>
      <c r="D104" t="s">
        <v>93</v>
      </c>
      <c r="E104" t="s">
        <v>95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220</v>
      </c>
      <c r="C105" t="s">
        <v>177</v>
      </c>
      <c r="D105" t="s">
        <v>168</v>
      </c>
      <c r="E105" t="s">
        <v>95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179</v>
      </c>
      <c r="C106" t="s">
        <v>180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181</v>
      </c>
      <c r="D107" t="s">
        <v>175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158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347</v>
      </c>
      <c r="P128" s="5"/>
    </row>
    <row r="129" spans="2:19" x14ac:dyDescent="0.25">
      <c r="B129" s="4"/>
      <c r="M129" s="239" t="s">
        <v>187</v>
      </c>
      <c r="P129" s="5"/>
    </row>
    <row r="130" spans="2:19" x14ac:dyDescent="0.25">
      <c r="B130" s="107" t="s">
        <v>159</v>
      </c>
      <c r="C130" s="105" t="s">
        <v>160</v>
      </c>
      <c r="D130" s="105" t="s">
        <v>161</v>
      </c>
      <c r="E130" s="105" t="s">
        <v>162</v>
      </c>
      <c r="M130" s="242">
        <v>2012</v>
      </c>
      <c r="P130" s="5"/>
    </row>
    <row r="131" spans="2:19" x14ac:dyDescent="0.25">
      <c r="B131" s="108" t="s">
        <v>164</v>
      </c>
      <c r="C131" s="106"/>
      <c r="D131" s="106"/>
      <c r="E131" s="106"/>
      <c r="M131" s="244"/>
      <c r="P131" s="5"/>
    </row>
    <row r="132" spans="2:19" x14ac:dyDescent="0.25">
      <c r="B132" s="109" t="s">
        <v>165</v>
      </c>
      <c r="C132" s="100" t="s">
        <v>166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165</v>
      </c>
      <c r="C133" s="100" t="s">
        <v>166</v>
      </c>
      <c r="D133" s="100" t="s">
        <v>168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165</v>
      </c>
      <c r="C134" s="100" t="s">
        <v>171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165</v>
      </c>
      <c r="C135" s="100" t="s">
        <v>174</v>
      </c>
      <c r="D135" s="100" t="s">
        <v>175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165</v>
      </c>
      <c r="C136" s="100" t="s">
        <v>177</v>
      </c>
      <c r="D136" s="100" t="s">
        <v>93</v>
      </c>
      <c r="E136" s="100" t="s">
        <v>95</v>
      </c>
      <c r="F136" s="116" t="s">
        <v>170</v>
      </c>
      <c r="M136" s="243">
        <v>0.67</v>
      </c>
      <c r="P136" s="5"/>
    </row>
    <row r="137" spans="2:19" x14ac:dyDescent="0.25">
      <c r="B137" s="109" t="s">
        <v>165</v>
      </c>
      <c r="C137" s="100" t="s">
        <v>177</v>
      </c>
      <c r="D137" s="100" t="s">
        <v>168</v>
      </c>
      <c r="E137" s="101" t="s">
        <v>95</v>
      </c>
      <c r="F137" s="116" t="s">
        <v>170</v>
      </c>
      <c r="M137" s="243">
        <v>0.54</v>
      </c>
      <c r="P137" s="5"/>
    </row>
    <row r="138" spans="2:19" x14ac:dyDescent="0.25">
      <c r="B138" s="109" t="s">
        <v>179</v>
      </c>
      <c r="C138" s="100" t="s">
        <v>180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181</v>
      </c>
      <c r="C139" s="100"/>
      <c r="D139" s="100" t="s">
        <v>175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292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293</v>
      </c>
      <c r="C146" s="8" t="s">
        <v>294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58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295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296</v>
      </c>
      <c r="Q148" s="266">
        <f>Q147/Q146</f>
        <v>2.9134146341463412</v>
      </c>
      <c r="R148" s="58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136</v>
      </c>
      <c r="C149" s="8" t="s">
        <v>294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58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295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296</v>
      </c>
      <c r="Q151" s="16">
        <f>Q150/Q149</f>
        <v>1.2799999999999998</v>
      </c>
      <c r="R151" s="589">
        <f>R150/R149</f>
        <v>1.3</v>
      </c>
      <c r="S151" s="267">
        <f>S150/S149</f>
        <v>1.2928571428571429</v>
      </c>
    </row>
    <row r="152" spans="2:19" x14ac:dyDescent="0.25">
      <c r="B152" s="4" t="s">
        <v>242</v>
      </c>
      <c r="C152" s="8" t="s">
        <v>294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58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295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296</v>
      </c>
      <c r="Q154" s="266">
        <f>Q153/Q152</f>
        <v>1.9135802469135801</v>
      </c>
      <c r="R154" s="58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589"/>
      <c r="S155" s="267"/>
    </row>
    <row r="156" spans="2:19" x14ac:dyDescent="0.25">
      <c r="B156" s="4"/>
      <c r="C156" t="s">
        <v>301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297</v>
      </c>
      <c r="Q157" s="268">
        <f>Q148+Q151+Q154</f>
        <v>6.1069948810599213</v>
      </c>
      <c r="R157" s="59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298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59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300</v>
      </c>
      <c r="Q160" s="17"/>
      <c r="R160" s="250"/>
      <c r="S160" s="17"/>
    </row>
    <row r="161" spans="2:22" x14ac:dyDescent="0.25">
      <c r="B161" s="280" t="s">
        <v>159</v>
      </c>
      <c r="C161" s="281" t="s">
        <v>160</v>
      </c>
      <c r="D161" s="281" t="s">
        <v>161</v>
      </c>
      <c r="E161" s="281" t="s">
        <v>162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592"/>
      <c r="S161" s="282"/>
      <c r="T161" s="15"/>
      <c r="U161" s="3"/>
    </row>
    <row r="162" spans="2:22" ht="30" x14ac:dyDescent="0.25">
      <c r="B162" s="108" t="s">
        <v>164</v>
      </c>
      <c r="C162" s="106"/>
      <c r="D162" s="106"/>
      <c r="E162" s="106"/>
      <c r="P162" s="304" t="s">
        <v>319</v>
      </c>
      <c r="Q162" s="17"/>
      <c r="R162" s="250"/>
      <c r="S162" s="17"/>
      <c r="U162" s="5"/>
    </row>
    <row r="163" spans="2:22" x14ac:dyDescent="0.25">
      <c r="B163" s="109" t="s">
        <v>165</v>
      </c>
      <c r="C163" s="100" t="s">
        <v>166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165</v>
      </c>
      <c r="C164" s="100" t="s">
        <v>166</v>
      </c>
      <c r="D164" s="100" t="s">
        <v>168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165</v>
      </c>
      <c r="C165" s="100" t="s">
        <v>171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165</v>
      </c>
      <c r="C166" s="100" t="s">
        <v>174</v>
      </c>
      <c r="D166" s="100" t="s">
        <v>175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303</v>
      </c>
    </row>
    <row r="167" spans="2:22" x14ac:dyDescent="0.25">
      <c r="B167" s="109" t="s">
        <v>165</v>
      </c>
      <c r="C167" s="100" t="s">
        <v>177</v>
      </c>
      <c r="D167" s="100" t="s">
        <v>93</v>
      </c>
      <c r="E167" s="100" t="s">
        <v>95</v>
      </c>
      <c r="F167" s="116" t="s">
        <v>170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165</v>
      </c>
      <c r="C168" s="100" t="s">
        <v>177</v>
      </c>
      <c r="D168" s="100" t="s">
        <v>168</v>
      </c>
      <c r="E168" s="101" t="s">
        <v>95</v>
      </c>
      <c r="F168" s="116" t="s">
        <v>170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179</v>
      </c>
      <c r="C169" s="100" t="s">
        <v>180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607</v>
      </c>
    </row>
    <row r="170" spans="2:22" x14ac:dyDescent="0.25">
      <c r="B170" s="109" t="s">
        <v>181</v>
      </c>
      <c r="C170" s="100"/>
      <c r="D170" s="100" t="s">
        <v>175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59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310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59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353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302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595"/>
      <c r="S175" s="277"/>
      <c r="T175" s="15"/>
      <c r="U175" s="3"/>
    </row>
    <row r="176" spans="2:22" x14ac:dyDescent="0.25">
      <c r="B176" s="109"/>
      <c r="C176" s="412" t="s">
        <v>5</v>
      </c>
      <c r="D176" s="412" t="s">
        <v>352</v>
      </c>
      <c r="E176" s="412"/>
      <c r="F176" s="405"/>
      <c r="G176" s="405"/>
      <c r="H176" s="405"/>
      <c r="I176" s="405"/>
      <c r="J176" s="405"/>
      <c r="K176" s="405"/>
      <c r="L176" s="405"/>
      <c r="M176" s="406"/>
      <c r="N176" s="405"/>
      <c r="O176" s="405"/>
      <c r="P176" s="405"/>
      <c r="Q176" s="414">
        <v>6.1</v>
      </c>
      <c r="R176" s="596">
        <v>6.3</v>
      </c>
      <c r="S176" s="414">
        <v>6.3</v>
      </c>
      <c r="U176" s="5"/>
    </row>
    <row r="177" spans="2:21" x14ac:dyDescent="0.25">
      <c r="B177" s="109"/>
      <c r="C177" s="404" t="s">
        <v>5</v>
      </c>
      <c r="D177" s="404" t="s">
        <v>318</v>
      </c>
      <c r="E177" s="404"/>
      <c r="F177" s="405"/>
      <c r="G177" s="405"/>
      <c r="H177" s="405"/>
      <c r="I177" s="405"/>
      <c r="J177" s="405"/>
      <c r="K177" s="405"/>
      <c r="L177" s="405"/>
      <c r="M177" s="406"/>
      <c r="N177" s="405"/>
      <c r="O177" s="405"/>
      <c r="P177" s="405">
        <v>6.4</v>
      </c>
      <c r="Q177" s="407"/>
      <c r="R177" s="597"/>
      <c r="S177" s="407"/>
      <c r="U177" s="5"/>
    </row>
    <row r="178" spans="2:21" x14ac:dyDescent="0.25">
      <c r="B178" s="109"/>
      <c r="C178" s="404"/>
      <c r="D178" s="404" t="s">
        <v>351</v>
      </c>
      <c r="E178" s="404"/>
      <c r="F178" s="405"/>
      <c r="G178" s="405"/>
      <c r="H178" s="405"/>
      <c r="I178" s="405"/>
      <c r="J178" s="405"/>
      <c r="K178" s="405"/>
      <c r="L178" s="405"/>
      <c r="M178" s="406">
        <v>6.9</v>
      </c>
      <c r="N178" s="405">
        <v>7.1</v>
      </c>
      <c r="O178" s="405">
        <v>6.5</v>
      </c>
      <c r="P178" s="405"/>
      <c r="Q178" s="407"/>
      <c r="R178" s="597"/>
      <c r="S178" s="407"/>
      <c r="U178" s="5"/>
    </row>
    <row r="179" spans="2:21" x14ac:dyDescent="0.25">
      <c r="B179" s="109"/>
      <c r="C179" s="408" t="s">
        <v>604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59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4" t="s">
        <v>595</v>
      </c>
      <c r="D181" s="404" t="s">
        <v>596</v>
      </c>
      <c r="E181" s="404" t="s">
        <v>601</v>
      </c>
      <c r="F181" s="405"/>
      <c r="G181" s="405"/>
      <c r="H181" s="405"/>
      <c r="I181" s="405"/>
      <c r="J181" s="405"/>
      <c r="K181" s="405"/>
      <c r="L181" s="405"/>
      <c r="M181" s="406"/>
      <c r="N181" s="405"/>
      <c r="O181" s="405"/>
      <c r="P181" s="405"/>
      <c r="Q181" s="416">
        <v>0.622</v>
      </c>
      <c r="R181" s="599">
        <v>0.59</v>
      </c>
      <c r="S181" s="413">
        <v>0.61599999999999999</v>
      </c>
      <c r="U181" s="5"/>
    </row>
    <row r="182" spans="2:21" x14ac:dyDescent="0.25">
      <c r="B182" s="109"/>
      <c r="C182" s="404" t="s">
        <v>372</v>
      </c>
      <c r="D182" s="404" t="s">
        <v>597</v>
      </c>
      <c r="E182" s="404" t="s">
        <v>601</v>
      </c>
      <c r="F182" s="405"/>
      <c r="G182" s="405"/>
      <c r="H182" s="405"/>
      <c r="I182" s="405"/>
      <c r="J182" s="405"/>
      <c r="K182" s="405"/>
      <c r="L182" s="405"/>
      <c r="M182" s="406"/>
      <c r="N182" s="405"/>
      <c r="O182" s="405"/>
      <c r="P182" s="405"/>
      <c r="Q182" s="407">
        <v>4.3</v>
      </c>
      <c r="R182" s="600">
        <v>4.4000000000000004</v>
      </c>
      <c r="S182" s="414">
        <v>4.5999999999999996</v>
      </c>
      <c r="U182" s="5"/>
    </row>
    <row r="183" spans="2:21" x14ac:dyDescent="0.25">
      <c r="B183" s="109"/>
      <c r="C183" s="404" t="s">
        <v>20</v>
      </c>
      <c r="D183" s="404" t="s">
        <v>597</v>
      </c>
      <c r="E183" s="404" t="s">
        <v>601</v>
      </c>
      <c r="F183" s="405"/>
      <c r="G183" s="405"/>
      <c r="H183" s="405"/>
      <c r="I183" s="405"/>
      <c r="J183" s="405"/>
      <c r="K183" s="405"/>
      <c r="L183" s="405"/>
      <c r="M183" s="406"/>
      <c r="N183" s="405"/>
      <c r="O183" s="405"/>
      <c r="P183" s="405">
        <v>1.1000000000000001</v>
      </c>
      <c r="Q183" s="407">
        <v>0.7</v>
      </c>
      <c r="R183" s="597">
        <v>0.9</v>
      </c>
      <c r="S183" s="415">
        <v>0.8</v>
      </c>
      <c r="U183" s="5"/>
    </row>
    <row r="184" spans="2:21" x14ac:dyDescent="0.25">
      <c r="B184" s="109"/>
      <c r="C184" s="408" t="s">
        <v>598</v>
      </c>
      <c r="D184" s="408" t="s">
        <v>597</v>
      </c>
      <c r="E184" s="408" t="s">
        <v>599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8" t="s">
        <v>603</v>
      </c>
      <c r="D185" s="408"/>
      <c r="E185" s="408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597</v>
      </c>
      <c r="E186" s="100" t="s">
        <v>599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597</v>
      </c>
      <c r="E187" s="110" t="s">
        <v>599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59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8" t="s">
        <v>634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8" t="s">
        <v>638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0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8" t="s">
        <v>619</v>
      </c>
      <c r="E193" s="100"/>
      <c r="Q193" s="388">
        <f>SUM(Q194:Q198,Q201:Q202)</f>
        <v>4.7709999999999999</v>
      </c>
      <c r="R193" s="59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165</v>
      </c>
      <c r="C194" s="100" t="s">
        <v>166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622</v>
      </c>
    </row>
    <row r="195" spans="2:21" x14ac:dyDescent="0.25">
      <c r="B195" s="100" t="s">
        <v>165</v>
      </c>
      <c r="C195" s="100" t="s">
        <v>166</v>
      </c>
      <c r="D195" s="100" t="s">
        <v>168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614</v>
      </c>
    </row>
    <row r="196" spans="2:21" x14ac:dyDescent="0.25">
      <c r="B196" s="100" t="s">
        <v>165</v>
      </c>
      <c r="C196" s="100" t="s">
        <v>171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622</v>
      </c>
    </row>
    <row r="197" spans="2:21" x14ac:dyDescent="0.25">
      <c r="B197" s="100" t="s">
        <v>165</v>
      </c>
      <c r="C197" s="100" t="s">
        <v>174</v>
      </c>
      <c r="D197" s="100" t="s">
        <v>175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618</v>
      </c>
    </row>
    <row r="198" spans="2:21" x14ac:dyDescent="0.25">
      <c r="B198" s="100" t="s">
        <v>165</v>
      </c>
      <c r="C198" s="100" t="s">
        <v>177</v>
      </c>
      <c r="D198" s="100" t="s">
        <v>608</v>
      </c>
      <c r="E198" s="100" t="s">
        <v>608</v>
      </c>
      <c r="F198" s="116"/>
      <c r="G198" s="116" t="s">
        <v>608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622</v>
      </c>
    </row>
    <row r="199" spans="2:21" x14ac:dyDescent="0.25">
      <c r="B199" s="100" t="s">
        <v>165</v>
      </c>
      <c r="C199" s="100" t="s">
        <v>177</v>
      </c>
      <c r="D199" s="100" t="s">
        <v>93</v>
      </c>
      <c r="E199" s="100" t="s">
        <v>95</v>
      </c>
      <c r="F199" s="116"/>
      <c r="G199" s="116" t="s">
        <v>170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629</v>
      </c>
    </row>
    <row r="200" spans="2:21" x14ac:dyDescent="0.25">
      <c r="B200" s="100" t="s">
        <v>165</v>
      </c>
      <c r="C200" s="100" t="s">
        <v>177</v>
      </c>
      <c r="D200" s="100" t="s">
        <v>168</v>
      </c>
      <c r="E200" s="101" t="s">
        <v>95</v>
      </c>
      <c r="F200" s="116"/>
      <c r="G200" s="116" t="s">
        <v>170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630</v>
      </c>
    </row>
    <row r="201" spans="2:21" x14ac:dyDescent="0.25">
      <c r="B201" s="100" t="s">
        <v>179</v>
      </c>
      <c r="C201" s="100" t="s">
        <v>180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606</v>
      </c>
    </row>
    <row r="202" spans="2:21" x14ac:dyDescent="0.25">
      <c r="B202" s="100" t="s">
        <v>181</v>
      </c>
      <c r="C202" s="100"/>
      <c r="D202" s="100" t="s">
        <v>175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8" t="s">
        <v>623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598">
        <f>SUM(R205:R209)</f>
        <v>4.91</v>
      </c>
      <c r="S204" s="388">
        <f>SUM(S205:S209)</f>
        <v>5.0920000000000005</v>
      </c>
    </row>
    <row r="205" spans="2:21" x14ac:dyDescent="0.25">
      <c r="B205" s="100" t="s">
        <v>165</v>
      </c>
      <c r="C205" s="100" t="s">
        <v>166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617</v>
      </c>
    </row>
    <row r="206" spans="2:21" x14ac:dyDescent="0.25">
      <c r="B206" s="100" t="s">
        <v>165</v>
      </c>
      <c r="C206" s="100" t="s">
        <v>166</v>
      </c>
      <c r="D206" s="100" t="s">
        <v>168</v>
      </c>
      <c r="E206" s="100" t="s">
        <v>1</v>
      </c>
      <c r="G206" s="100" t="s">
        <v>168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616</v>
      </c>
      <c r="U206" t="s">
        <v>615</v>
      </c>
    </row>
    <row r="207" spans="2:21" x14ac:dyDescent="0.25">
      <c r="B207" s="100" t="s">
        <v>165</v>
      </c>
      <c r="C207" s="100" t="s">
        <v>171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622</v>
      </c>
      <c r="U207" t="s">
        <v>220</v>
      </c>
    </row>
    <row r="208" spans="2:21" x14ac:dyDescent="0.25">
      <c r="B208" s="100" t="s">
        <v>165</v>
      </c>
      <c r="C208" s="100" t="s">
        <v>174</v>
      </c>
      <c r="D208" s="100" t="s">
        <v>175</v>
      </c>
      <c r="E208" s="100" t="s">
        <v>1</v>
      </c>
      <c r="G208" s="100" t="s">
        <v>175</v>
      </c>
      <c r="Q208" s="272"/>
      <c r="R208" s="395"/>
      <c r="S208" s="272"/>
    </row>
    <row r="209" spans="2:20" x14ac:dyDescent="0.25">
      <c r="B209" s="100" t="s">
        <v>165</v>
      </c>
      <c r="C209" s="100" t="s">
        <v>177</v>
      </c>
      <c r="D209" s="100" t="s">
        <v>608</v>
      </c>
      <c r="E209" s="100" t="s">
        <v>608</v>
      </c>
      <c r="F209" s="116"/>
      <c r="G209" s="100" t="s">
        <v>608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165</v>
      </c>
      <c r="C210" s="100" t="s">
        <v>177</v>
      </c>
      <c r="D210" s="100" t="s">
        <v>93</v>
      </c>
      <c r="E210" s="100" t="s">
        <v>95</v>
      </c>
      <c r="F210" s="116"/>
      <c r="G210" s="100" t="s">
        <v>93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165</v>
      </c>
      <c r="C211" s="100" t="s">
        <v>177</v>
      </c>
      <c r="D211" s="100" t="s">
        <v>168</v>
      </c>
      <c r="E211" s="101" t="s">
        <v>95</v>
      </c>
      <c r="F211" s="116"/>
      <c r="G211" s="100" t="s">
        <v>168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179</v>
      </c>
      <c r="C212" s="100" t="s">
        <v>180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181</v>
      </c>
      <c r="C213" s="100"/>
      <c r="D213" s="100" t="s">
        <v>175</v>
      </c>
      <c r="E213" s="100" t="s">
        <v>1</v>
      </c>
      <c r="G213" s="100" t="s">
        <v>175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624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165</v>
      </c>
      <c r="C216" s="100" t="s">
        <v>166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625</v>
      </c>
    </row>
    <row r="217" spans="2:20" x14ac:dyDescent="0.25">
      <c r="B217" s="100"/>
      <c r="C217" s="100" t="s">
        <v>631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181</v>
      </c>
      <c r="C218" s="100"/>
      <c r="D218" s="100" t="s">
        <v>175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625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8" t="s">
        <v>626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620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621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8" t="s">
        <v>637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0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628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627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8" t="s">
        <v>635</v>
      </c>
      <c r="D226" s="408"/>
      <c r="E226" s="408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59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632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633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8" t="s">
        <v>636</v>
      </c>
      <c r="D229" s="100"/>
      <c r="E229" s="100"/>
      <c r="Q229" s="17"/>
      <c r="R229" s="250"/>
      <c r="S229" s="17"/>
    </row>
    <row r="230" spans="2:19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t="s">
        <v>7</v>
      </c>
      <c r="Q230" s="417"/>
      <c r="R230" s="603"/>
      <c r="S230" s="417"/>
    </row>
    <row r="231" spans="2:19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165</v>
      </c>
      <c r="C234" s="100" t="s">
        <v>177</v>
      </c>
      <c r="D234" s="100" t="s">
        <v>608</v>
      </c>
      <c r="E234" s="100" t="s">
        <v>608</v>
      </c>
      <c r="F234" s="116"/>
      <c r="G234" s="116" t="s">
        <v>608</v>
      </c>
      <c r="Q234" s="17"/>
      <c r="R234" s="250"/>
      <c r="S234" s="17"/>
    </row>
    <row r="235" spans="2:19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16" t="s">
        <v>170</v>
      </c>
      <c r="Q235" s="17"/>
      <c r="R235" s="250"/>
      <c r="S235" s="17"/>
    </row>
    <row r="236" spans="2:19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16" t="s">
        <v>170</v>
      </c>
      <c r="Q236" s="17"/>
      <c r="R236" s="250"/>
      <c r="S236" s="17"/>
    </row>
    <row r="237" spans="2:19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181</v>
      </c>
      <c r="C238" s="100"/>
      <c r="D238" s="100" t="s">
        <v>175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304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165</v>
      </c>
      <c r="C242" s="276" t="s">
        <v>166</v>
      </c>
      <c r="D242" s="276" t="s">
        <v>16</v>
      </c>
      <c r="E242" s="276" t="s">
        <v>24</v>
      </c>
      <c r="F242" s="15"/>
      <c r="G242" s="15"/>
      <c r="H242" s="276" t="s">
        <v>307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0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308</v>
      </c>
    </row>
    <row r="243" spans="2:22" x14ac:dyDescent="0.25">
      <c r="B243" s="109" t="s">
        <v>165</v>
      </c>
      <c r="C243" s="100" t="s">
        <v>166</v>
      </c>
      <c r="D243" s="100" t="s">
        <v>168</v>
      </c>
      <c r="E243" s="100" t="s">
        <v>1</v>
      </c>
      <c r="H243" s="100" t="s">
        <v>307</v>
      </c>
      <c r="Q243" s="286">
        <f>Q242</f>
        <v>0.82</v>
      </c>
      <c r="R243" s="60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308</v>
      </c>
    </row>
    <row r="244" spans="2:22" x14ac:dyDescent="0.25">
      <c r="B244" s="109" t="s">
        <v>165</v>
      </c>
      <c r="C244" s="100" t="s">
        <v>171</v>
      </c>
      <c r="D244" s="100" t="s">
        <v>16</v>
      </c>
      <c r="E244" s="100" t="s">
        <v>24</v>
      </c>
      <c r="H244" s="100" t="s">
        <v>307</v>
      </c>
      <c r="Q244" s="286">
        <f>Q152</f>
        <v>0.81</v>
      </c>
      <c r="R244" s="60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308</v>
      </c>
    </row>
    <row r="245" spans="2:22" x14ac:dyDescent="0.25">
      <c r="B245" s="109" t="s">
        <v>165</v>
      </c>
      <c r="C245" s="100" t="s">
        <v>174</v>
      </c>
      <c r="D245" s="100" t="s">
        <v>175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165</v>
      </c>
      <c r="C246" s="100" t="s">
        <v>177</v>
      </c>
      <c r="D246" s="100" t="s">
        <v>93</v>
      </c>
      <c r="E246" s="100" t="s">
        <v>95</v>
      </c>
      <c r="G246" s="116"/>
      <c r="H246" s="100" t="s">
        <v>305</v>
      </c>
      <c r="Q246" s="272"/>
      <c r="R246" s="395"/>
      <c r="S246" s="272"/>
      <c r="U246" s="5">
        <v>0</v>
      </c>
      <c r="V246" t="s">
        <v>306</v>
      </c>
    </row>
    <row r="247" spans="2:22" x14ac:dyDescent="0.25">
      <c r="B247" s="109" t="s">
        <v>165</v>
      </c>
      <c r="C247" s="100" t="s">
        <v>177</v>
      </c>
      <c r="D247" s="100" t="s">
        <v>168</v>
      </c>
      <c r="E247" s="101" t="s">
        <v>95</v>
      </c>
      <c r="G247" s="116"/>
      <c r="H247" t="s">
        <v>305</v>
      </c>
      <c r="Q247" s="272"/>
      <c r="R247" s="395"/>
      <c r="S247" s="272"/>
      <c r="U247" s="5">
        <v>0</v>
      </c>
      <c r="V247" t="s">
        <v>306</v>
      </c>
    </row>
    <row r="248" spans="2:22" x14ac:dyDescent="0.25">
      <c r="B248" s="109" t="s">
        <v>179</v>
      </c>
      <c r="C248" s="100" t="s">
        <v>180</v>
      </c>
      <c r="D248" s="100" t="s">
        <v>17</v>
      </c>
      <c r="E248" s="100" t="s">
        <v>24</v>
      </c>
      <c r="H248" s="100" t="s">
        <v>305</v>
      </c>
      <c r="Q248" s="272"/>
      <c r="R248" s="395"/>
      <c r="S248" s="272"/>
      <c r="U248" s="5">
        <v>0</v>
      </c>
    </row>
    <row r="249" spans="2:22" x14ac:dyDescent="0.25">
      <c r="B249" s="109" t="s">
        <v>181</v>
      </c>
      <c r="C249" s="100"/>
      <c r="D249" s="100" t="s">
        <v>175</v>
      </c>
      <c r="E249" s="100" t="s">
        <v>1</v>
      </c>
      <c r="H249" s="100" t="s">
        <v>307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309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165</v>
      </c>
      <c r="C253" s="100" t="s">
        <v>166</v>
      </c>
      <c r="D253" s="100" t="s">
        <v>16</v>
      </c>
      <c r="E253" s="100" t="s">
        <v>24</v>
      </c>
      <c r="F253" t="s">
        <v>7</v>
      </c>
      <c r="H253" s="100" t="s">
        <v>305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165</v>
      </c>
      <c r="C254" s="100" t="s">
        <v>166</v>
      </c>
      <c r="D254" s="100" t="s">
        <v>168</v>
      </c>
      <c r="E254" s="100" t="s">
        <v>1</v>
      </c>
      <c r="F254" t="s">
        <v>9</v>
      </c>
      <c r="H254" s="100" t="s">
        <v>305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165</v>
      </c>
      <c r="C255" s="100" t="s">
        <v>171</v>
      </c>
      <c r="D255" s="100" t="s">
        <v>16</v>
      </c>
      <c r="E255" s="100" t="s">
        <v>24</v>
      </c>
      <c r="F255" t="s">
        <v>7</v>
      </c>
      <c r="H255" s="100" t="s">
        <v>305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165</v>
      </c>
      <c r="C256" s="100" t="s">
        <v>174</v>
      </c>
      <c r="D256" s="100" t="s">
        <v>175</v>
      </c>
      <c r="E256" s="100" t="s">
        <v>1</v>
      </c>
      <c r="F256" t="s">
        <v>8</v>
      </c>
      <c r="H256" s="100" t="s">
        <v>305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165</v>
      </c>
      <c r="C257" s="100" t="s">
        <v>177</v>
      </c>
      <c r="D257" s="100" t="s">
        <v>93</v>
      </c>
      <c r="E257" s="100" t="s">
        <v>95</v>
      </c>
      <c r="F257" s="116" t="s">
        <v>170</v>
      </c>
      <c r="H257" s="100" t="s">
        <v>305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165</v>
      </c>
      <c r="C258" s="100" t="s">
        <v>177</v>
      </c>
      <c r="D258" s="100" t="s">
        <v>168</v>
      </c>
      <c r="E258" s="101" t="s">
        <v>95</v>
      </c>
      <c r="F258" s="116" t="s">
        <v>170</v>
      </c>
      <c r="H258" s="100" t="s">
        <v>305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179</v>
      </c>
      <c r="C259" s="100" t="s">
        <v>180</v>
      </c>
      <c r="D259" s="100" t="s">
        <v>17</v>
      </c>
      <c r="E259" s="100" t="s">
        <v>24</v>
      </c>
      <c r="F259" t="s">
        <v>10</v>
      </c>
      <c r="H259" s="100" t="s">
        <v>305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181</v>
      </c>
      <c r="C260" s="110"/>
      <c r="D260" s="110" t="s">
        <v>175</v>
      </c>
      <c r="E260" s="110" t="s">
        <v>1</v>
      </c>
      <c r="F260" s="8" t="s">
        <v>8</v>
      </c>
      <c r="G260" s="8"/>
      <c r="H260" s="110" t="s">
        <v>305</v>
      </c>
      <c r="I260" s="8"/>
      <c r="J260" s="8"/>
      <c r="K260" s="8"/>
      <c r="L260" s="8"/>
      <c r="M260" s="251"/>
      <c r="N260" s="8"/>
      <c r="O260" s="8"/>
      <c r="P260" s="8"/>
      <c r="Q260" s="279"/>
      <c r="R260" s="59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317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205</v>
      </c>
      <c r="N265" s="626" t="s">
        <v>528</v>
      </c>
      <c r="O265" s="627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0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39" t="s">
        <v>7</v>
      </c>
      <c r="Z266" s="439">
        <v>3.1641891891891891</v>
      </c>
      <c r="AA266" s="439">
        <v>3.1641891891891891</v>
      </c>
      <c r="AB266" s="439">
        <v>3.0330810810810807</v>
      </c>
      <c r="AC266" s="439">
        <v>3.2032972972972971</v>
      </c>
      <c r="AD266" s="439">
        <v>3.0300947810555652</v>
      </c>
      <c r="AE266" s="439">
        <v>3.0300947810555652</v>
      </c>
    </row>
    <row r="267" spans="2:31" x14ac:dyDescent="0.25">
      <c r="B267" s="129" t="s">
        <v>170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0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39" t="s">
        <v>170</v>
      </c>
      <c r="Z267" s="439">
        <v>0.96299999999999997</v>
      </c>
      <c r="AA267" s="439">
        <v>0.83199999999999996</v>
      </c>
      <c r="AB267" s="439">
        <v>1.1180000000000001</v>
      </c>
      <c r="AC267" s="439">
        <v>1.0860000000000001</v>
      </c>
      <c r="AD267" s="439">
        <v>1.0860000000000001</v>
      </c>
      <c r="AE267" s="439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0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39" t="s">
        <v>9</v>
      </c>
      <c r="Z268" s="439">
        <v>0.77481081081081082</v>
      </c>
      <c r="AA268" s="439">
        <v>0.77481081081081082</v>
      </c>
      <c r="AB268" s="439">
        <v>0.75891891891891894</v>
      </c>
      <c r="AC268" s="439">
        <v>0.80270270270270283</v>
      </c>
      <c r="AD268" s="439">
        <v>0.80270270270270283</v>
      </c>
      <c r="AE268" s="439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0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39" t="s">
        <v>10</v>
      </c>
      <c r="Z269" s="439">
        <v>0.1360000000000007</v>
      </c>
      <c r="AA269" s="439">
        <v>0</v>
      </c>
      <c r="AB269" s="439">
        <v>0</v>
      </c>
      <c r="AC269" s="439">
        <v>0</v>
      </c>
      <c r="AD269" s="439">
        <v>0</v>
      </c>
      <c r="AE269" s="439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0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39" t="s">
        <v>8</v>
      </c>
      <c r="Z270" s="439">
        <v>1.3620000000000003</v>
      </c>
      <c r="AA270" s="439">
        <v>1.3200000000000003</v>
      </c>
      <c r="AB270" s="439">
        <v>1.3200000000000003</v>
      </c>
      <c r="AC270" s="439">
        <v>1.2079999999999993</v>
      </c>
      <c r="AD270" s="439">
        <v>1.2079999999999993</v>
      </c>
      <c r="AE270" s="439">
        <v>1.2079999999999993</v>
      </c>
    </row>
    <row r="271" spans="2:31" x14ac:dyDescent="0.25">
      <c r="B271" s="115" t="s">
        <v>299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39" t="s">
        <v>299</v>
      </c>
      <c r="Z271" s="439">
        <v>6.4000000000000012</v>
      </c>
      <c r="AA271" s="439">
        <v>6.0910000000000002</v>
      </c>
      <c r="AB271" s="439">
        <v>6.23</v>
      </c>
      <c r="AC271" s="439">
        <v>6.3</v>
      </c>
      <c r="AD271" s="439">
        <v>6.1267974837582679</v>
      </c>
      <c r="AE271" s="439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47"/>
    </row>
    <row r="277" spans="2:22" x14ac:dyDescent="0.25">
      <c r="V277" s="547" t="s">
        <v>1014</v>
      </c>
    </row>
    <row r="278" spans="2:22" x14ac:dyDescent="0.25">
      <c r="V278" s="547"/>
    </row>
    <row r="279" spans="2:22" x14ac:dyDescent="0.25">
      <c r="O279" s="579" t="s">
        <v>1224</v>
      </c>
      <c r="P279" s="579"/>
      <c r="Q279" s="579"/>
      <c r="V279" s="556"/>
    </row>
    <row r="280" spans="2:22" x14ac:dyDescent="0.25">
      <c r="O280" s="579" t="s">
        <v>1260</v>
      </c>
      <c r="P280" s="579" t="s">
        <v>1233</v>
      </c>
      <c r="Q280" s="579" t="s">
        <v>1261</v>
      </c>
      <c r="R280" s="252">
        <v>2017</v>
      </c>
      <c r="S280">
        <v>2018</v>
      </c>
      <c r="T280" s="252">
        <v>2019</v>
      </c>
      <c r="U280">
        <v>2020</v>
      </c>
      <c r="V280" s="556"/>
    </row>
    <row r="281" spans="2:22" x14ac:dyDescent="0.25">
      <c r="O281" s="580" t="s">
        <v>995</v>
      </c>
      <c r="P281" s="580" t="s">
        <v>1262</v>
      </c>
      <c r="Q281" s="580" t="s">
        <v>1263</v>
      </c>
      <c r="R281" s="239" t="s">
        <v>1264</v>
      </c>
      <c r="V281" s="556"/>
    </row>
    <row r="282" spans="2:22" x14ac:dyDescent="0.25">
      <c r="O282" s="582" t="s">
        <v>1265</v>
      </c>
      <c r="P282" s="580" t="str">
        <f>'Iron and Steel input'!AD105</f>
        <v>IISSSC</v>
      </c>
      <c r="Q282" s="580" t="s">
        <v>140</v>
      </c>
      <c r="R282" s="239">
        <f>R271</f>
        <v>6.23</v>
      </c>
      <c r="S282" s="239">
        <f t="shared" ref="S282:U282" si="29">S271</f>
        <v>6.3</v>
      </c>
      <c r="T282" s="239">
        <f t="shared" si="29"/>
        <v>6.1267974837582679</v>
      </c>
      <c r="U282" s="239">
        <f t="shared" si="29"/>
        <v>5.0030232389251985</v>
      </c>
      <c r="V282" s="556"/>
    </row>
    <row r="291" spans="2:24" x14ac:dyDescent="0.25">
      <c r="B291" t="s">
        <v>314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311</v>
      </c>
      <c r="C293" t="s">
        <v>305</v>
      </c>
      <c r="M293" s="239">
        <f t="shared" ref="M293:U293" si="30">M55</f>
        <v>10.3</v>
      </c>
      <c r="N293">
        <f t="shared" si="30"/>
        <v>10.3</v>
      </c>
      <c r="O293">
        <f t="shared" si="30"/>
        <v>10.3</v>
      </c>
      <c r="P293">
        <f t="shared" si="30"/>
        <v>10.3</v>
      </c>
      <c r="Q293">
        <f t="shared" si="30"/>
        <v>10.3</v>
      </c>
      <c r="R293" s="239">
        <f t="shared" si="30"/>
        <v>10.3</v>
      </c>
      <c r="S293">
        <f t="shared" si="30"/>
        <v>10.3</v>
      </c>
      <c r="T293">
        <f t="shared" si="30"/>
        <v>10.3</v>
      </c>
      <c r="U293">
        <f t="shared" si="30"/>
        <v>10.3</v>
      </c>
      <c r="V293" s="5"/>
    </row>
    <row r="294" spans="2:24" x14ac:dyDescent="0.25">
      <c r="B294" s="4" t="s">
        <v>312</v>
      </c>
      <c r="C294" t="s">
        <v>305</v>
      </c>
      <c r="M294" s="239">
        <f>M271</f>
        <v>6.94</v>
      </c>
      <c r="P294">
        <f t="shared" ref="P294:U294" si="31">P271</f>
        <v>6.4000000000000012</v>
      </c>
      <c r="Q294">
        <f t="shared" si="31"/>
        <v>6.0910000000000002</v>
      </c>
      <c r="R294" s="239">
        <f t="shared" si="31"/>
        <v>6.23</v>
      </c>
      <c r="S294">
        <f t="shared" si="31"/>
        <v>6.3</v>
      </c>
      <c r="T294">
        <f t="shared" si="31"/>
        <v>6.1267974837582679</v>
      </c>
      <c r="U294">
        <f t="shared" si="31"/>
        <v>5.0030232389251985</v>
      </c>
      <c r="V294" s="5"/>
    </row>
    <row r="295" spans="2:24" x14ac:dyDescent="0.25">
      <c r="B295" s="4" t="s">
        <v>234</v>
      </c>
      <c r="C295" t="s">
        <v>262</v>
      </c>
      <c r="M295" s="250">
        <f>M294/M293</f>
        <v>0.67378640776699028</v>
      </c>
      <c r="P295" s="17">
        <f t="shared" ref="P295:U295" si="32">P294/P293</f>
        <v>0.62135922330097093</v>
      </c>
      <c r="Q295" s="17">
        <f t="shared" si="32"/>
        <v>0.5913592233009709</v>
      </c>
      <c r="R295" s="250">
        <f t="shared" si="32"/>
        <v>0.60485436893203881</v>
      </c>
      <c r="S295" s="17">
        <f t="shared" si="32"/>
        <v>0.61165048543689315</v>
      </c>
      <c r="T295" s="17">
        <f t="shared" si="32"/>
        <v>0.59483470716099685</v>
      </c>
      <c r="U295" s="17">
        <f t="shared" si="32"/>
        <v>0.48573041154613572</v>
      </c>
      <c r="V295" s="5"/>
      <c r="X295" t="s">
        <v>358</v>
      </c>
    </row>
    <row r="296" spans="2:24" x14ac:dyDescent="0.25">
      <c r="B296" s="4" t="s">
        <v>315</v>
      </c>
      <c r="C296" t="s">
        <v>316</v>
      </c>
      <c r="M296" s="250">
        <f>(M266+M267+M268)/M294</f>
        <v>0.78674351585014402</v>
      </c>
      <c r="N296" s="17"/>
      <c r="O296" s="17"/>
      <c r="P296" s="17">
        <f t="shared" ref="P296:U296" si="33">(P266+P267+P268)/P294</f>
        <v>0.76593749999999983</v>
      </c>
      <c r="Q296" s="17">
        <f t="shared" si="33"/>
        <v>0.78328681661467736</v>
      </c>
      <c r="R296" s="250">
        <f t="shared" si="33"/>
        <v>0.7881219903691814</v>
      </c>
      <c r="S296" s="17">
        <f t="shared" si="33"/>
        <v>0.80825396825396834</v>
      </c>
      <c r="T296" s="17">
        <f t="shared" si="33"/>
        <v>0.80283337205084271</v>
      </c>
      <c r="U296" s="17">
        <f t="shared" si="33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313</v>
      </c>
      <c r="V298" s="5"/>
    </row>
    <row r="299" spans="2:24" x14ac:dyDescent="0.25">
      <c r="B299" s="4" t="s">
        <v>24</v>
      </c>
      <c r="C299" t="s">
        <v>187</v>
      </c>
      <c r="M299" s="239">
        <f>M266+M269</f>
        <v>3.92</v>
      </c>
      <c r="P299" s="301">
        <f t="shared" ref="P299:U299" si="34">P266+P269</f>
        <v>3.3001891891891897</v>
      </c>
      <c r="Q299" s="301">
        <f t="shared" si="34"/>
        <v>3.1641891891891891</v>
      </c>
      <c r="R299" s="607">
        <f t="shared" si="34"/>
        <v>3.0330810810810807</v>
      </c>
      <c r="S299" s="301">
        <f t="shared" si="34"/>
        <v>3.2032972972972971</v>
      </c>
      <c r="T299" s="301">
        <f t="shared" si="34"/>
        <v>3.0300947810555652</v>
      </c>
      <c r="U299" s="301">
        <f t="shared" si="34"/>
        <v>3.0300947810555652</v>
      </c>
      <c r="V299" s="5"/>
    </row>
    <row r="300" spans="2:24" x14ac:dyDescent="0.25">
      <c r="B300" s="4" t="s">
        <v>1</v>
      </c>
      <c r="C300" t="s">
        <v>187</v>
      </c>
      <c r="M300" s="239">
        <f>M267+M268+M270</f>
        <v>3.02</v>
      </c>
      <c r="P300" s="301">
        <f t="shared" ref="P300:U300" si="35">P267+P268+P270</f>
        <v>3.0998108108108111</v>
      </c>
      <c r="Q300" s="301">
        <f t="shared" si="35"/>
        <v>2.9268108108108111</v>
      </c>
      <c r="R300" s="607">
        <f t="shared" si="35"/>
        <v>3.1969189189189193</v>
      </c>
      <c r="S300" s="301">
        <f t="shared" si="35"/>
        <v>3.0967027027027023</v>
      </c>
      <c r="T300" s="301">
        <f t="shared" si="35"/>
        <v>3.0967027027027023</v>
      </c>
      <c r="U300" s="301">
        <f t="shared" si="35"/>
        <v>1.9729284578696338</v>
      </c>
      <c r="V300" s="5"/>
    </row>
    <row r="301" spans="2:24" x14ac:dyDescent="0.25">
      <c r="B301" s="4" t="s">
        <v>24</v>
      </c>
      <c r="C301" t="s">
        <v>262</v>
      </c>
      <c r="M301" s="250">
        <f>M299/M294</f>
        <v>0.56484149855907773</v>
      </c>
      <c r="P301" s="17">
        <f t="shared" ref="P301:U301" si="36">P299/P294</f>
        <v>0.51565456081081074</v>
      </c>
      <c r="Q301" s="17">
        <f t="shared" si="36"/>
        <v>0.51948599395652417</v>
      </c>
      <c r="R301" s="250">
        <f t="shared" si="36"/>
        <v>0.48685089583965979</v>
      </c>
      <c r="S301" s="17">
        <f t="shared" si="36"/>
        <v>0.50845988845988843</v>
      </c>
      <c r="T301" s="17">
        <f t="shared" si="36"/>
        <v>0.49456421386346533</v>
      </c>
      <c r="U301" s="17">
        <f t="shared" si="36"/>
        <v>0.60565274961755355</v>
      </c>
      <c r="V301" s="5"/>
    </row>
    <row r="302" spans="2:24" x14ac:dyDescent="0.25">
      <c r="B302" s="4" t="s">
        <v>1</v>
      </c>
      <c r="C302" t="s">
        <v>262</v>
      </c>
      <c r="M302" s="250">
        <f>1-M301</f>
        <v>0.43515850144092227</v>
      </c>
      <c r="P302" s="17">
        <f t="shared" ref="P302:U302" si="37">1-P301</f>
        <v>0.48434543918918926</v>
      </c>
      <c r="Q302" s="17">
        <f t="shared" si="37"/>
        <v>0.48051400604347583</v>
      </c>
      <c r="R302" s="250">
        <f t="shared" si="37"/>
        <v>0.51314910416034021</v>
      </c>
      <c r="S302" s="17">
        <f t="shared" si="37"/>
        <v>0.49154011154011157</v>
      </c>
      <c r="T302" s="17">
        <f t="shared" si="37"/>
        <v>0.50543578613653461</v>
      </c>
      <c r="U302" s="17">
        <f t="shared" si="37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525</v>
      </c>
      <c r="C304" t="s">
        <v>262</v>
      </c>
      <c r="M304" s="375">
        <f>M270/M271</f>
        <v>0.1239193083573487</v>
      </c>
      <c r="N304" s="376"/>
      <c r="O304" s="376"/>
      <c r="P304" s="377">
        <f t="shared" ref="P304:U304" si="38">P270/P271</f>
        <v>0.21281250000000002</v>
      </c>
      <c r="Q304" s="377">
        <f t="shared" si="38"/>
        <v>0.21671318338532264</v>
      </c>
      <c r="R304" s="375">
        <f t="shared" si="38"/>
        <v>0.21187800963081865</v>
      </c>
      <c r="S304" s="377">
        <f t="shared" si="38"/>
        <v>0.19174603174603164</v>
      </c>
      <c r="T304" s="378">
        <f t="shared" si="38"/>
        <v>0.19716662794915726</v>
      </c>
      <c r="U304" s="377">
        <f t="shared" si="38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5" workbookViewId="0">
      <selection activeCell="L109" sqref="L109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418</v>
      </c>
      <c r="J2" t="s">
        <v>424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431</v>
      </c>
    </row>
    <row r="5" spans="1:12" x14ac:dyDescent="0.25">
      <c r="A5" s="4" t="s">
        <v>420</v>
      </c>
      <c r="B5" s="355">
        <v>220000</v>
      </c>
      <c r="C5" t="s">
        <v>421</v>
      </c>
      <c r="H5" s="5"/>
      <c r="J5">
        <v>30</v>
      </c>
      <c r="K5" t="s">
        <v>432</v>
      </c>
    </row>
    <row r="6" spans="1:12" x14ac:dyDescent="0.25">
      <c r="A6" s="4" t="s">
        <v>461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419</v>
      </c>
      <c r="C8">
        <v>195000</v>
      </c>
      <c r="D8">
        <v>190000</v>
      </c>
      <c r="E8">
        <v>184000</v>
      </c>
      <c r="G8" t="s">
        <v>286</v>
      </c>
      <c r="H8" s="5"/>
      <c r="J8" t="s">
        <v>428</v>
      </c>
    </row>
    <row r="9" spans="1:12" x14ac:dyDescent="0.25">
      <c r="A9" s="4" t="s">
        <v>422</v>
      </c>
      <c r="C9">
        <v>1.4</v>
      </c>
      <c r="D9">
        <v>1.4</v>
      </c>
      <c r="E9">
        <v>1.4</v>
      </c>
      <c r="G9" t="s">
        <v>423</v>
      </c>
      <c r="H9" s="5"/>
      <c r="J9" t="s">
        <v>429</v>
      </c>
    </row>
    <row r="10" spans="1:12" x14ac:dyDescent="0.25">
      <c r="A10" s="4"/>
      <c r="H10" s="5"/>
    </row>
    <row r="11" spans="1:12" x14ac:dyDescent="0.25">
      <c r="A11" s="4" t="s">
        <v>427</v>
      </c>
      <c r="H11" s="5"/>
    </row>
    <row r="12" spans="1:12" x14ac:dyDescent="0.25">
      <c r="A12" s="4" t="s">
        <v>425</v>
      </c>
      <c r="C12">
        <v>367</v>
      </c>
      <c r="D12">
        <v>193</v>
      </c>
      <c r="E12">
        <v>158</v>
      </c>
      <c r="G12" t="s">
        <v>426</v>
      </c>
      <c r="H12" s="5"/>
      <c r="J12" t="s">
        <v>462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550</v>
      </c>
    </row>
    <row r="15" spans="1:12" x14ac:dyDescent="0.25">
      <c r="A15" s="4" t="s">
        <v>430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549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548</v>
      </c>
      <c r="K18">
        <v>2.7</v>
      </c>
      <c r="L18" s="5"/>
    </row>
    <row r="19" spans="1:12" x14ac:dyDescent="0.25">
      <c r="A19" t="s">
        <v>476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477</v>
      </c>
      <c r="H21" s="5"/>
    </row>
    <row r="22" spans="1:12" x14ac:dyDescent="0.25">
      <c r="A22" s="4" t="s">
        <v>478</v>
      </c>
      <c r="B22" s="1">
        <v>190000</v>
      </c>
      <c r="C22" t="s">
        <v>479</v>
      </c>
      <c r="H22" s="5"/>
      <c r="J22">
        <v>30</v>
      </c>
      <c r="K22" t="s">
        <v>432</v>
      </c>
    </row>
    <row r="23" spans="1:12" x14ac:dyDescent="0.25">
      <c r="A23" s="4"/>
      <c r="H23" s="5"/>
      <c r="J23" s="19">
        <f>B21*1000*J22/1000000000</f>
        <v>20.85</v>
      </c>
      <c r="K23" t="s">
        <v>1289</v>
      </c>
    </row>
    <row r="24" spans="1:12" x14ac:dyDescent="0.25">
      <c r="A24" s="4" t="s">
        <v>422</v>
      </c>
      <c r="B24">
        <v>1.4</v>
      </c>
      <c r="C24" t="s">
        <v>480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481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656</v>
      </c>
      <c r="L27" t="s">
        <v>1290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444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445</v>
      </c>
      <c r="H37" s="5"/>
    </row>
    <row r="38" spans="1:8" x14ac:dyDescent="0.25">
      <c r="A38" s="4" t="s">
        <v>446</v>
      </c>
      <c r="H38" s="5"/>
    </row>
    <row r="39" spans="1:8" x14ac:dyDescent="0.25">
      <c r="A39" s="4"/>
      <c r="H39" s="5"/>
    </row>
    <row r="40" spans="1:8" x14ac:dyDescent="0.25">
      <c r="A40" s="4" t="s">
        <v>447</v>
      </c>
      <c r="H40" s="5"/>
    </row>
    <row r="41" spans="1:8" x14ac:dyDescent="0.25">
      <c r="A41" s="4"/>
      <c r="B41" t="s">
        <v>5</v>
      </c>
      <c r="C41" t="s">
        <v>449</v>
      </c>
      <c r="H41" s="5"/>
    </row>
    <row r="42" spans="1:8" x14ac:dyDescent="0.25">
      <c r="A42" s="4" t="s">
        <v>448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463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586</v>
      </c>
    </row>
    <row r="50" spans="1:14" x14ac:dyDescent="0.25">
      <c r="A50" s="4"/>
      <c r="C50" t="s">
        <v>471</v>
      </c>
      <c r="H50" s="5"/>
    </row>
    <row r="51" spans="1:14" x14ac:dyDescent="0.25">
      <c r="A51" s="4" t="s">
        <v>465</v>
      </c>
      <c r="B51" t="s">
        <v>467</v>
      </c>
      <c r="C51" s="1">
        <v>1088723</v>
      </c>
      <c r="D51" t="s">
        <v>464</v>
      </c>
      <c r="F51" t="s">
        <v>469</v>
      </c>
      <c r="H51" s="5"/>
      <c r="J51" s="119">
        <f>C51/0.52</f>
        <v>2093698.0769230768</v>
      </c>
      <c r="K51" t="s">
        <v>472</v>
      </c>
      <c r="M51" s="19">
        <f>C51/1000</f>
        <v>1088.723</v>
      </c>
      <c r="N51" t="s">
        <v>587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473</v>
      </c>
      <c r="M52" s="321">
        <f>J52/1000</f>
        <v>62.810942307692308</v>
      </c>
      <c r="N52" t="s">
        <v>588</v>
      </c>
    </row>
    <row r="53" spans="1:14" x14ac:dyDescent="0.25">
      <c r="A53" s="4" t="s">
        <v>468</v>
      </c>
      <c r="B53" t="s">
        <v>466</v>
      </c>
      <c r="C53" s="1">
        <v>317799</v>
      </c>
      <c r="D53" t="s">
        <v>464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642</v>
      </c>
    </row>
    <row r="55" spans="1:14" x14ac:dyDescent="0.25">
      <c r="A55" s="4" t="s">
        <v>23</v>
      </c>
      <c r="B55" t="s">
        <v>470</v>
      </c>
      <c r="C55" s="1">
        <v>8569232</v>
      </c>
      <c r="D55" t="s">
        <v>464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474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475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485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486</v>
      </c>
      <c r="B74">
        <v>1.1499999999999999</v>
      </c>
      <c r="C74" t="s">
        <v>487</v>
      </c>
      <c r="H74" s="5"/>
    </row>
    <row r="75" spans="1:12" x14ac:dyDescent="0.25">
      <c r="A75" s="4"/>
      <c r="H75" s="5"/>
    </row>
    <row r="76" spans="1:12" x14ac:dyDescent="0.25">
      <c r="A76" s="4" t="s">
        <v>488</v>
      </c>
      <c r="B76" s="285">
        <v>0.65</v>
      </c>
      <c r="C76" t="s">
        <v>562</v>
      </c>
      <c r="H76" s="5"/>
    </row>
    <row r="77" spans="1:12" x14ac:dyDescent="0.25">
      <c r="A77" s="4" t="s">
        <v>489</v>
      </c>
      <c r="B77" s="285">
        <v>0.35</v>
      </c>
      <c r="C77" t="s">
        <v>1187</v>
      </c>
      <c r="H77" s="5"/>
    </row>
    <row r="78" spans="1:12" x14ac:dyDescent="0.25">
      <c r="A78" s="4"/>
      <c r="H78" s="5"/>
    </row>
    <row r="79" spans="1:12" x14ac:dyDescent="0.25">
      <c r="A79" s="4" t="s">
        <v>492</v>
      </c>
      <c r="H79" s="5"/>
    </row>
    <row r="80" spans="1:12" x14ac:dyDescent="0.25">
      <c r="A80" s="4"/>
      <c r="B80" t="s">
        <v>491</v>
      </c>
      <c r="H80" s="5"/>
      <c r="J80" t="s">
        <v>432</v>
      </c>
      <c r="L80" t="s">
        <v>493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490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501</v>
      </c>
      <c r="L84" s="356">
        <f>SUM(L81:L83)</f>
        <v>15570</v>
      </c>
      <c r="M84" s="18" t="s">
        <v>494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494</v>
      </c>
    </row>
    <row r="86" spans="1:15" x14ac:dyDescent="0.25">
      <c r="A86" s="4" t="s">
        <v>495</v>
      </c>
      <c r="B86">
        <v>1.8</v>
      </c>
      <c r="C86" t="s">
        <v>496</v>
      </c>
      <c r="H86" s="5"/>
      <c r="K86" t="s">
        <v>13</v>
      </c>
      <c r="L86" s="359">
        <f>L83</f>
        <v>3840</v>
      </c>
      <c r="M86" s="18" t="s">
        <v>494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643</v>
      </c>
      <c r="J94" s="285"/>
      <c r="O94" s="321"/>
    </row>
    <row r="95" spans="1:15" x14ac:dyDescent="0.25">
      <c r="B95" t="s">
        <v>655</v>
      </c>
      <c r="J95" s="285"/>
    </row>
    <row r="96" spans="1:15" ht="15.75" thickBot="1" x14ac:dyDescent="0.3">
      <c r="B96" s="418"/>
      <c r="C96" s="418" t="s">
        <v>644</v>
      </c>
      <c r="D96" s="418" t="s">
        <v>645</v>
      </c>
      <c r="E96" s="418" t="s">
        <v>646</v>
      </c>
      <c r="F96" s="418" t="s">
        <v>647</v>
      </c>
      <c r="G96" s="418" t="s">
        <v>648</v>
      </c>
      <c r="J96" s="119"/>
    </row>
    <row r="97" spans="2:14" ht="29.25" thickBot="1" x14ac:dyDescent="0.3">
      <c r="B97" s="419" t="s">
        <v>649</v>
      </c>
      <c r="C97" s="420" t="s">
        <v>650</v>
      </c>
      <c r="D97" s="420" t="s">
        <v>651</v>
      </c>
      <c r="E97" s="420" t="s">
        <v>652</v>
      </c>
      <c r="F97" s="420" t="s">
        <v>653</v>
      </c>
      <c r="G97" s="420">
        <v>179.47</v>
      </c>
      <c r="H97" s="421" t="s">
        <v>654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481</v>
      </c>
      <c r="J100" s="320">
        <v>29</v>
      </c>
      <c r="K100" t="s">
        <v>146</v>
      </c>
    </row>
    <row r="101" spans="2:14" x14ac:dyDescent="0.25">
      <c r="G101" s="321">
        <f>G100/J100</f>
        <v>99.017931034482757</v>
      </c>
      <c r="H101" t="s">
        <v>656</v>
      </c>
    </row>
    <row r="103" spans="2:14" x14ac:dyDescent="0.25">
      <c r="N103" s="285"/>
    </row>
    <row r="107" spans="2:14" x14ac:dyDescent="0.25">
      <c r="B107" s="574"/>
      <c r="C107" s="574"/>
      <c r="D107" s="575" t="s">
        <v>1224</v>
      </c>
      <c r="G107" s="574"/>
      <c r="H107" s="577"/>
      <c r="I107" s="547" t="s">
        <v>1156</v>
      </c>
      <c r="J107" s="547"/>
      <c r="K107" s="547"/>
      <c r="L107" s="547"/>
      <c r="N107" s="285"/>
    </row>
    <row r="108" spans="2:14" ht="23.25" x14ac:dyDescent="0.25">
      <c r="B108" s="573" t="s">
        <v>1203</v>
      </c>
      <c r="C108" s="551" t="s">
        <v>1225</v>
      </c>
      <c r="D108" s="551" t="s">
        <v>1226</v>
      </c>
      <c r="E108" s="552" t="s">
        <v>1227</v>
      </c>
      <c r="F108" s="552" t="s">
        <v>1228</v>
      </c>
      <c r="G108" s="552" t="s">
        <v>1291</v>
      </c>
      <c r="H108" s="549" t="s">
        <v>896</v>
      </c>
      <c r="I108" s="549" t="str">
        <f>"ENV_ACT~"&amp;I107</f>
        <v>ENV_ACT~CO2SP</v>
      </c>
      <c r="J108" s="547" t="s">
        <v>1010</v>
      </c>
      <c r="K108" s="547" t="s">
        <v>932</v>
      </c>
      <c r="L108" s="547" t="s">
        <v>1300</v>
      </c>
    </row>
    <row r="109" spans="2:14" x14ac:dyDescent="0.25">
      <c r="B109" s="99" t="s">
        <v>1154</v>
      </c>
      <c r="C109" t="s">
        <v>1294</v>
      </c>
      <c r="D109" t="str">
        <f>'Iron and Steel input'!D124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47">
        <v>1000</v>
      </c>
      <c r="K109" s="547">
        <v>10</v>
      </c>
      <c r="L109" s="547">
        <v>0</v>
      </c>
    </row>
    <row r="113" spans="7:8" x14ac:dyDescent="0.25">
      <c r="G113">
        <v>0.65</v>
      </c>
      <c r="H113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592</v>
      </c>
    </row>
    <row r="5" spans="1:3" x14ac:dyDescent="0.25">
      <c r="B5" t="s">
        <v>593</v>
      </c>
      <c r="C5" t="s">
        <v>594</v>
      </c>
    </row>
    <row r="7" spans="1:3" x14ac:dyDescent="0.25">
      <c r="A7" s="18" t="s">
        <v>6</v>
      </c>
    </row>
    <row r="8" spans="1:3" x14ac:dyDescent="0.25">
      <c r="B8" t="s">
        <v>610</v>
      </c>
    </row>
    <row r="9" spans="1:3" x14ac:dyDescent="0.25">
      <c r="B9">
        <v>280</v>
      </c>
      <c r="C9" t="s">
        <v>609</v>
      </c>
    </row>
    <row r="10" spans="1:3" x14ac:dyDescent="0.25">
      <c r="B10">
        <v>120</v>
      </c>
      <c r="C10" t="s">
        <v>611</v>
      </c>
    </row>
    <row r="11" spans="1:3" x14ac:dyDescent="0.25">
      <c r="B11">
        <v>500</v>
      </c>
      <c r="C11" t="s">
        <v>612</v>
      </c>
    </row>
    <row r="12" spans="1:3" x14ac:dyDescent="0.25">
      <c r="B12" t="s">
        <v>196</v>
      </c>
      <c r="C12" t="s">
        <v>613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663</v>
      </c>
    </row>
    <row r="3" spans="1:10" ht="16.5" thickTop="1" x14ac:dyDescent="0.25"/>
    <row r="4" spans="1:10" x14ac:dyDescent="0.25">
      <c r="B4" s="58" t="s">
        <v>664</v>
      </c>
      <c r="C4" s="60" t="s">
        <v>665</v>
      </c>
      <c r="D4" s="21" t="s">
        <v>728</v>
      </c>
      <c r="E4" s="43">
        <v>1.3012729844413011</v>
      </c>
      <c r="F4" s="21" t="s">
        <v>729</v>
      </c>
    </row>
    <row r="5" spans="1:10" x14ac:dyDescent="0.25">
      <c r="B5" s="58" t="s">
        <v>666</v>
      </c>
      <c r="C5" s="60">
        <v>2010</v>
      </c>
    </row>
    <row r="7" spans="1:10" ht="18" thickBot="1" x14ac:dyDescent="0.35">
      <c r="B7" s="22" t="s">
        <v>723</v>
      </c>
    </row>
    <row r="8" spans="1:10" ht="16.5" thickTop="1" x14ac:dyDescent="0.25">
      <c r="B8" s="423"/>
      <c r="C8" s="424"/>
      <c r="D8" s="424" t="s">
        <v>667</v>
      </c>
      <c r="E8" s="424" t="s">
        <v>668</v>
      </c>
      <c r="F8" s="424" t="s">
        <v>669</v>
      </c>
      <c r="G8" s="424" t="s">
        <v>670</v>
      </c>
      <c r="H8" s="424" t="s">
        <v>671</v>
      </c>
      <c r="I8" s="424" t="s">
        <v>724</v>
      </c>
      <c r="J8" s="425" t="s">
        <v>561</v>
      </c>
    </row>
    <row r="9" spans="1:10" x14ac:dyDescent="0.25">
      <c r="B9" s="70"/>
      <c r="C9" s="81"/>
      <c r="D9" s="81" t="s">
        <v>672</v>
      </c>
      <c r="E9" s="81" t="s">
        <v>673</v>
      </c>
      <c r="F9" s="81"/>
      <c r="G9" s="81"/>
      <c r="H9" s="81"/>
      <c r="I9" s="81"/>
      <c r="J9" s="426"/>
    </row>
    <row r="10" spans="1:10" x14ac:dyDescent="0.25">
      <c r="B10" s="80" t="s">
        <v>229</v>
      </c>
      <c r="C10" s="59" t="s">
        <v>244</v>
      </c>
      <c r="D10" s="59" t="s">
        <v>674</v>
      </c>
      <c r="E10" s="59">
        <v>98</v>
      </c>
      <c r="F10" s="59" t="s">
        <v>675</v>
      </c>
      <c r="G10" s="427">
        <v>2011</v>
      </c>
      <c r="H10" s="59">
        <v>7.5574381672222009</v>
      </c>
      <c r="I10" s="432">
        <f>H10*E10</f>
        <v>740.62894038777563</v>
      </c>
      <c r="J10" s="428" t="s">
        <v>676</v>
      </c>
    </row>
    <row r="11" spans="1:10" x14ac:dyDescent="0.25">
      <c r="B11" s="55"/>
      <c r="C11" s="59" t="s">
        <v>677</v>
      </c>
      <c r="D11" s="59" t="s">
        <v>674</v>
      </c>
      <c r="E11" s="59">
        <v>43.89</v>
      </c>
      <c r="F11" s="59" t="s">
        <v>675</v>
      </c>
      <c r="G11" s="427">
        <v>2000</v>
      </c>
      <c r="H11" s="59">
        <v>5.914974034351558</v>
      </c>
      <c r="I11" s="432">
        <f>H11*E11</f>
        <v>259.60821036768988</v>
      </c>
      <c r="J11" s="428" t="s">
        <v>678</v>
      </c>
    </row>
    <row r="12" spans="1:10" x14ac:dyDescent="0.25">
      <c r="B12" s="58"/>
      <c r="C12" s="59" t="s">
        <v>679</v>
      </c>
      <c r="D12" s="59" t="s">
        <v>674</v>
      </c>
      <c r="E12" s="59">
        <v>340</v>
      </c>
      <c r="F12" s="59" t="s">
        <v>675</v>
      </c>
      <c r="G12" s="427">
        <v>2011</v>
      </c>
      <c r="H12" s="59">
        <v>7.5574381672222009</v>
      </c>
      <c r="I12" s="432">
        <f t="shared" ref="I12:I27" si="0">H12*E12</f>
        <v>2569.5289768555481</v>
      </c>
      <c r="J12" s="428" t="s">
        <v>676</v>
      </c>
    </row>
    <row r="13" spans="1:10" x14ac:dyDescent="0.25">
      <c r="B13" s="58"/>
      <c r="C13" s="59" t="s">
        <v>680</v>
      </c>
      <c r="D13" s="59" t="s">
        <v>681</v>
      </c>
      <c r="E13" s="59">
        <v>9.5000000000000001E-2</v>
      </c>
      <c r="F13" s="59" t="s">
        <v>675</v>
      </c>
      <c r="G13" s="427">
        <v>2011</v>
      </c>
      <c r="H13" s="59">
        <v>7.5574381672222009</v>
      </c>
      <c r="I13" s="432">
        <f t="shared" si="0"/>
        <v>0.71795662588610909</v>
      </c>
      <c r="J13" s="428" t="s">
        <v>676</v>
      </c>
    </row>
    <row r="14" spans="1:10" x14ac:dyDescent="0.25">
      <c r="B14" s="58"/>
      <c r="C14" s="59" t="s">
        <v>682</v>
      </c>
      <c r="D14" s="59" t="s">
        <v>674</v>
      </c>
      <c r="E14" s="59">
        <v>90.02</v>
      </c>
      <c r="F14" s="59" t="s">
        <v>675</v>
      </c>
      <c r="G14" s="427">
        <v>2000</v>
      </c>
      <c r="H14" s="59">
        <v>5.914974034351558</v>
      </c>
      <c r="I14" s="432">
        <f t="shared" si="0"/>
        <v>532.46596257232727</v>
      </c>
      <c r="J14" s="428" t="s">
        <v>678</v>
      </c>
    </row>
    <row r="15" spans="1:10" x14ac:dyDescent="0.25">
      <c r="B15" s="58"/>
      <c r="C15" s="59" t="s">
        <v>683</v>
      </c>
      <c r="D15" s="59" t="s">
        <v>674</v>
      </c>
      <c r="E15" s="59">
        <v>77.83</v>
      </c>
      <c r="F15" s="59" t="s">
        <v>675</v>
      </c>
      <c r="G15" s="427">
        <v>2000</v>
      </c>
      <c r="H15" s="59">
        <v>5.914974034351558</v>
      </c>
      <c r="I15" s="432">
        <f t="shared" si="0"/>
        <v>460.36242909358174</v>
      </c>
      <c r="J15" s="428" t="s">
        <v>678</v>
      </c>
    </row>
    <row r="16" spans="1:10" x14ac:dyDescent="0.25">
      <c r="B16" s="58"/>
      <c r="C16" s="59" t="s">
        <v>684</v>
      </c>
      <c r="D16" s="59" t="s">
        <v>674</v>
      </c>
      <c r="E16" s="59">
        <v>1175</v>
      </c>
      <c r="F16" s="59" t="s">
        <v>675</v>
      </c>
      <c r="G16" s="427">
        <v>2011</v>
      </c>
      <c r="H16" s="59">
        <v>7.5574381672222009</v>
      </c>
      <c r="I16" s="432">
        <f t="shared" si="0"/>
        <v>8879.9898464860853</v>
      </c>
      <c r="J16" s="428" t="s">
        <v>676</v>
      </c>
    </row>
    <row r="17" spans="2:10" x14ac:dyDescent="0.25">
      <c r="B17" s="58"/>
      <c r="C17" s="59" t="s">
        <v>246</v>
      </c>
      <c r="D17" s="59" t="s">
        <v>674</v>
      </c>
      <c r="E17" s="59">
        <v>50</v>
      </c>
      <c r="F17" s="59" t="s">
        <v>675</v>
      </c>
      <c r="G17" s="427">
        <v>2011</v>
      </c>
      <c r="H17" s="59">
        <v>7.5574381672222009</v>
      </c>
      <c r="I17" s="432">
        <f t="shared" si="0"/>
        <v>377.87190836111006</v>
      </c>
      <c r="J17" s="428" t="s">
        <v>676</v>
      </c>
    </row>
    <row r="18" spans="2:10" x14ac:dyDescent="0.25">
      <c r="B18" s="58"/>
      <c r="C18" s="59" t="s">
        <v>685</v>
      </c>
      <c r="D18" s="59" t="s">
        <v>674</v>
      </c>
      <c r="E18" s="59">
        <v>490.53</v>
      </c>
      <c r="F18" s="59" t="s">
        <v>675</v>
      </c>
      <c r="G18" s="427">
        <v>2000</v>
      </c>
      <c r="H18" s="59">
        <v>5.914974034351558</v>
      </c>
      <c r="I18" s="432">
        <f t="shared" si="0"/>
        <v>2901.4722130704695</v>
      </c>
      <c r="J18" s="428" t="s">
        <v>678</v>
      </c>
    </row>
    <row r="19" spans="2:10" x14ac:dyDescent="0.25">
      <c r="B19" s="58"/>
      <c r="C19" s="59" t="s">
        <v>686</v>
      </c>
      <c r="D19" s="59" t="s">
        <v>674</v>
      </c>
      <c r="E19" s="59">
        <v>5800</v>
      </c>
      <c r="F19" s="59" t="s">
        <v>675</v>
      </c>
      <c r="G19" s="427">
        <v>2011</v>
      </c>
      <c r="H19" s="59">
        <v>7.5574381672222009</v>
      </c>
      <c r="I19" s="432">
        <f t="shared" si="0"/>
        <v>43833.141369888763</v>
      </c>
      <c r="J19" s="428" t="s">
        <v>676</v>
      </c>
    </row>
    <row r="20" spans="2:10" x14ac:dyDescent="0.25">
      <c r="B20" s="58"/>
      <c r="C20" s="59" t="s">
        <v>687</v>
      </c>
      <c r="D20" s="59" t="s">
        <v>674</v>
      </c>
      <c r="E20" s="59">
        <v>648</v>
      </c>
      <c r="F20" s="59" t="s">
        <v>675</v>
      </c>
      <c r="G20" s="427">
        <v>2011</v>
      </c>
      <c r="H20" s="59">
        <v>7.5574381672222009</v>
      </c>
      <c r="I20" s="432">
        <f t="shared" si="0"/>
        <v>4897.2199323599862</v>
      </c>
      <c r="J20" s="428" t="s">
        <v>676</v>
      </c>
    </row>
    <row r="21" spans="2:10" x14ac:dyDescent="0.25">
      <c r="B21" s="80" t="s">
        <v>688</v>
      </c>
      <c r="C21" s="59" t="s">
        <v>689</v>
      </c>
      <c r="D21" s="59" t="s">
        <v>674</v>
      </c>
      <c r="E21" s="59">
        <v>9.25</v>
      </c>
      <c r="F21" s="59" t="s">
        <v>675</v>
      </c>
      <c r="G21" s="427">
        <v>2011</v>
      </c>
      <c r="H21" s="59">
        <v>7.5574381672222009</v>
      </c>
      <c r="I21" s="432">
        <f t="shared" si="0"/>
        <v>69.906303046805363</v>
      </c>
      <c r="J21" s="428" t="s">
        <v>676</v>
      </c>
    </row>
    <row r="22" spans="2:10" x14ac:dyDescent="0.25">
      <c r="B22" s="58"/>
      <c r="C22" s="59" t="s">
        <v>690</v>
      </c>
      <c r="D22" s="59" t="s">
        <v>674</v>
      </c>
      <c r="E22" s="59">
        <v>5</v>
      </c>
      <c r="F22" s="59" t="s">
        <v>675</v>
      </c>
      <c r="G22" s="427">
        <v>2011</v>
      </c>
      <c r="H22" s="59">
        <v>7.5574381672222009</v>
      </c>
      <c r="I22" s="432">
        <f t="shared" si="0"/>
        <v>37.787190836111002</v>
      </c>
      <c r="J22" s="428" t="s">
        <v>676</v>
      </c>
    </row>
    <row r="23" spans="2:10" x14ac:dyDescent="0.25">
      <c r="B23" s="58"/>
      <c r="C23" s="59" t="s">
        <v>691</v>
      </c>
      <c r="D23" s="59" t="s">
        <v>674</v>
      </c>
      <c r="E23" s="59">
        <v>13.25</v>
      </c>
      <c r="F23" s="59" t="s">
        <v>675</v>
      </c>
      <c r="G23" s="427">
        <v>2011</v>
      </c>
      <c r="H23" s="59">
        <v>7.5574381672222009</v>
      </c>
      <c r="I23" s="432">
        <f t="shared" si="0"/>
        <v>100.13605571569416</v>
      </c>
      <c r="J23" s="428" t="s">
        <v>676</v>
      </c>
    </row>
    <row r="24" spans="2:10" x14ac:dyDescent="0.25">
      <c r="B24" s="80" t="s">
        <v>692</v>
      </c>
      <c r="C24" s="59" t="s">
        <v>693</v>
      </c>
      <c r="D24" s="59" t="s">
        <v>694</v>
      </c>
      <c r="E24" s="59">
        <v>37.700000000000003</v>
      </c>
      <c r="F24" s="59" t="s">
        <v>675</v>
      </c>
      <c r="G24" s="427">
        <v>2011</v>
      </c>
      <c r="H24" s="59">
        <v>7.5574381672222009</v>
      </c>
      <c r="I24" s="432">
        <f t="shared" si="0"/>
        <v>284.91541890427698</v>
      </c>
      <c r="J24" s="428" t="s">
        <v>676</v>
      </c>
    </row>
    <row r="25" spans="2:10" x14ac:dyDescent="0.25">
      <c r="B25" s="58"/>
      <c r="C25" s="59" t="s">
        <v>695</v>
      </c>
      <c r="D25" s="59"/>
      <c r="E25" s="59"/>
      <c r="F25" s="59" t="s">
        <v>675</v>
      </c>
      <c r="G25" s="427">
        <v>2011</v>
      </c>
      <c r="H25" s="59">
        <v>7.5574381672222009</v>
      </c>
      <c r="I25" s="432">
        <f>H25*E25</f>
        <v>0</v>
      </c>
      <c r="J25" s="428" t="s">
        <v>676</v>
      </c>
    </row>
    <row r="26" spans="2:10" x14ac:dyDescent="0.25">
      <c r="B26" s="58"/>
      <c r="C26" s="59" t="s">
        <v>696</v>
      </c>
      <c r="D26" s="429" t="s">
        <v>697</v>
      </c>
      <c r="E26" s="59">
        <v>15</v>
      </c>
      <c r="F26" s="59" t="s">
        <v>675</v>
      </c>
      <c r="G26" s="427">
        <v>2011</v>
      </c>
      <c r="H26" s="59">
        <v>7.5574381672222009</v>
      </c>
      <c r="I26" s="432">
        <f t="shared" si="0"/>
        <v>113.36157250833301</v>
      </c>
      <c r="J26" s="428" t="s">
        <v>676</v>
      </c>
    </row>
    <row r="27" spans="2:10" x14ac:dyDescent="0.25">
      <c r="B27" s="58"/>
      <c r="C27" s="59" t="s">
        <v>698</v>
      </c>
      <c r="D27" s="429" t="s">
        <v>697</v>
      </c>
      <c r="E27" s="59">
        <v>-31.8</v>
      </c>
      <c r="F27" s="59" t="s">
        <v>675</v>
      </c>
      <c r="G27" s="427">
        <v>2011</v>
      </c>
      <c r="H27" s="59">
        <v>7.5574381672222009</v>
      </c>
      <c r="I27" s="432">
        <f t="shared" si="0"/>
        <v>-240.326533717666</v>
      </c>
      <c r="J27" s="428" t="s">
        <v>676</v>
      </c>
    </row>
    <row r="33" spans="2:9" ht="18" thickBot="1" x14ac:dyDescent="0.35">
      <c r="B33" s="22" t="s">
        <v>699</v>
      </c>
    </row>
    <row r="34" spans="2:9" ht="16.5" thickTop="1" x14ac:dyDescent="0.25">
      <c r="B34" s="423"/>
      <c r="C34" s="424"/>
      <c r="D34" s="424" t="s">
        <v>700</v>
      </c>
      <c r="E34" s="424" t="s">
        <v>667</v>
      </c>
      <c r="F34" s="424" t="s">
        <v>7</v>
      </c>
      <c r="G34" s="424"/>
      <c r="H34" s="424" t="s">
        <v>7</v>
      </c>
      <c r="I34" s="425" t="s">
        <v>701</v>
      </c>
    </row>
    <row r="35" spans="2:9" x14ac:dyDescent="0.25">
      <c r="B35" s="70"/>
      <c r="C35" s="81"/>
      <c r="D35" s="81"/>
      <c r="E35" s="81"/>
      <c r="F35" s="81" t="s">
        <v>702</v>
      </c>
      <c r="G35" s="81"/>
      <c r="H35" s="430" t="s">
        <v>703</v>
      </c>
      <c r="I35" s="426"/>
    </row>
    <row r="36" spans="2:9" x14ac:dyDescent="0.25">
      <c r="B36" s="58" t="s">
        <v>704</v>
      </c>
      <c r="C36" s="59" t="s">
        <v>244</v>
      </c>
      <c r="D36" s="59" t="s">
        <v>705</v>
      </c>
      <c r="E36" s="59" t="s">
        <v>706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707</v>
      </c>
    </row>
    <row r="37" spans="2:9" x14ac:dyDescent="0.25">
      <c r="B37" s="58"/>
      <c r="C37" s="59" t="s">
        <v>689</v>
      </c>
      <c r="D37" s="59" t="s">
        <v>708</v>
      </c>
      <c r="E37" s="59" t="s">
        <v>706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707</v>
      </c>
    </row>
    <row r="38" spans="2:9" x14ac:dyDescent="0.25">
      <c r="B38" s="58"/>
      <c r="C38" s="59" t="s">
        <v>679</v>
      </c>
      <c r="D38" s="59" t="s">
        <v>705</v>
      </c>
      <c r="E38" s="59" t="s">
        <v>706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707</v>
      </c>
    </row>
    <row r="39" spans="2:9" x14ac:dyDescent="0.25">
      <c r="B39" s="58"/>
      <c r="C39" s="59" t="s">
        <v>690</v>
      </c>
      <c r="D39" s="59" t="s">
        <v>708</v>
      </c>
      <c r="E39" s="59" t="s">
        <v>706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707</v>
      </c>
    </row>
    <row r="40" spans="2:9" x14ac:dyDescent="0.25">
      <c r="B40" s="58"/>
      <c r="C40" s="59" t="s">
        <v>691</v>
      </c>
      <c r="D40" s="59" t="s">
        <v>708</v>
      </c>
      <c r="E40" s="59" t="s">
        <v>706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707</v>
      </c>
    </row>
    <row r="41" spans="2:9" x14ac:dyDescent="0.25">
      <c r="B41" s="58"/>
      <c r="C41" s="59" t="s">
        <v>680</v>
      </c>
      <c r="D41" s="59" t="s">
        <v>705</v>
      </c>
      <c r="E41" s="59" t="s">
        <v>709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707</v>
      </c>
    </row>
    <row r="42" spans="2:9" x14ac:dyDescent="0.25">
      <c r="B42" s="58"/>
      <c r="C42" s="59" t="s">
        <v>684</v>
      </c>
      <c r="D42" s="59" t="s">
        <v>705</v>
      </c>
      <c r="E42" s="59" t="s">
        <v>706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707</v>
      </c>
    </row>
    <row r="43" spans="2:9" x14ac:dyDescent="0.25">
      <c r="B43" s="58"/>
      <c r="C43" s="59" t="s">
        <v>246</v>
      </c>
      <c r="D43" s="59" t="s">
        <v>705</v>
      </c>
      <c r="E43" s="59" t="s">
        <v>706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707</v>
      </c>
    </row>
    <row r="44" spans="2:9" x14ac:dyDescent="0.25">
      <c r="B44" s="58"/>
      <c r="C44" s="59" t="s">
        <v>686</v>
      </c>
      <c r="D44" s="59" t="s">
        <v>705</v>
      </c>
      <c r="E44" s="59" t="s">
        <v>706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707</v>
      </c>
    </row>
    <row r="45" spans="2:9" x14ac:dyDescent="0.25">
      <c r="B45" s="58"/>
      <c r="C45" s="59" t="s">
        <v>687</v>
      </c>
      <c r="D45" s="59" t="s">
        <v>705</v>
      </c>
      <c r="E45" s="59" t="s">
        <v>706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707</v>
      </c>
    </row>
    <row r="46" spans="2:9" x14ac:dyDescent="0.25">
      <c r="B46" s="58" t="s">
        <v>692</v>
      </c>
      <c r="C46" s="59" t="s">
        <v>693</v>
      </c>
      <c r="D46" s="59" t="s">
        <v>705</v>
      </c>
      <c r="E46" s="59" t="s">
        <v>710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707</v>
      </c>
    </row>
    <row r="47" spans="2:9" x14ac:dyDescent="0.25">
      <c r="B47" s="58"/>
      <c r="C47" s="59" t="s">
        <v>696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707</v>
      </c>
    </row>
    <row r="48" spans="2:9" x14ac:dyDescent="0.25">
      <c r="B48" s="58"/>
      <c r="C48" s="59" t="s">
        <v>698</v>
      </c>
      <c r="D48" s="59" t="s">
        <v>705</v>
      </c>
      <c r="E48" s="59" t="s">
        <v>706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707</v>
      </c>
    </row>
    <row r="49" spans="2:9" x14ac:dyDescent="0.25">
      <c r="B49" s="58"/>
      <c r="C49" s="59" t="s">
        <v>711</v>
      </c>
      <c r="D49" s="59"/>
      <c r="E49" s="59"/>
      <c r="F49" s="59"/>
      <c r="G49" s="59" t="e">
        <f t="shared" si="1"/>
        <v>#N/A</v>
      </c>
      <c r="H49" s="59"/>
      <c r="I49" s="60" t="s">
        <v>707</v>
      </c>
    </row>
    <row r="50" spans="2:9" x14ac:dyDescent="0.25">
      <c r="B50" s="58"/>
      <c r="C50" s="59" t="s">
        <v>712</v>
      </c>
      <c r="D50" s="59"/>
      <c r="E50" s="59"/>
      <c r="F50" s="59"/>
      <c r="G50" s="59" t="e">
        <f t="shared" si="1"/>
        <v>#N/A</v>
      </c>
      <c r="H50" s="59"/>
      <c r="I50" s="60" t="s">
        <v>707</v>
      </c>
    </row>
    <row r="51" spans="2:9" x14ac:dyDescent="0.25">
      <c r="B51" s="58"/>
      <c r="C51" s="59" t="s">
        <v>713</v>
      </c>
      <c r="D51" s="59"/>
      <c r="E51" s="59"/>
      <c r="F51" s="59"/>
      <c r="G51" s="59" t="e">
        <f t="shared" si="1"/>
        <v>#N/A</v>
      </c>
      <c r="H51" s="59"/>
      <c r="I51" s="60" t="s">
        <v>707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730</v>
      </c>
    </row>
    <row r="55" spans="2:9" ht="18" thickBot="1" x14ac:dyDescent="0.35">
      <c r="B55" s="22" t="s">
        <v>714</v>
      </c>
    </row>
    <row r="56" spans="2:9" ht="16.5" thickTop="1" x14ac:dyDescent="0.25">
      <c r="B56" s="80"/>
      <c r="C56" s="83"/>
      <c r="D56" s="83" t="s">
        <v>700</v>
      </c>
      <c r="E56" s="83" t="s">
        <v>667</v>
      </c>
      <c r="F56" s="83" t="s">
        <v>9</v>
      </c>
      <c r="G56" s="83"/>
      <c r="H56" s="83" t="s">
        <v>9</v>
      </c>
      <c r="I56" s="84" t="s">
        <v>715</v>
      </c>
    </row>
    <row r="57" spans="2:9" x14ac:dyDescent="0.25">
      <c r="B57" s="70"/>
      <c r="C57" s="81"/>
      <c r="D57" s="81"/>
      <c r="E57" s="81"/>
      <c r="F57" s="81" t="s">
        <v>702</v>
      </c>
      <c r="G57" s="81"/>
      <c r="H57" s="81" t="s">
        <v>716</v>
      </c>
      <c r="I57" s="426"/>
    </row>
    <row r="58" spans="2:9" x14ac:dyDescent="0.25">
      <c r="B58" s="58" t="s">
        <v>704</v>
      </c>
      <c r="C58" s="59" t="s">
        <v>677</v>
      </c>
      <c r="D58" s="59" t="s">
        <v>705</v>
      </c>
      <c r="E58" s="59" t="s">
        <v>706</v>
      </c>
      <c r="F58" s="59">
        <v>1.4652000000000001</v>
      </c>
      <c r="G58" s="59">
        <f>VLOOKUP(C58,$C$10:$J$27,7,FALSE)</f>
        <v>259.60821036768988</v>
      </c>
      <c r="H58" s="432">
        <f>G58*F58</f>
        <v>380.37794983073923</v>
      </c>
      <c r="I58" s="60" t="s">
        <v>678</v>
      </c>
    </row>
    <row r="59" spans="2:9" x14ac:dyDescent="0.25">
      <c r="B59" s="58"/>
      <c r="C59" s="59" t="s">
        <v>689</v>
      </c>
      <c r="D59" s="59" t="s">
        <v>708</v>
      </c>
      <c r="E59" s="59" t="s">
        <v>706</v>
      </c>
      <c r="F59" s="59">
        <v>1.4652000000000001</v>
      </c>
      <c r="G59" s="59">
        <f t="shared" ref="G59:G73" si="3">VLOOKUP(C59,$C$10:$J$27,7,FALSE)</f>
        <v>69.906303046805363</v>
      </c>
      <c r="H59" s="432">
        <f t="shared" ref="H59:H70" si="4">G59*F59</f>
        <v>102.42671522417922</v>
      </c>
      <c r="I59" s="60" t="s">
        <v>678</v>
      </c>
    </row>
    <row r="60" spans="2:9" x14ac:dyDescent="0.25">
      <c r="B60" s="58"/>
      <c r="C60" s="59" t="s">
        <v>679</v>
      </c>
      <c r="D60" s="59" t="s">
        <v>705</v>
      </c>
      <c r="E60" s="59" t="s">
        <v>706</v>
      </c>
      <c r="F60" s="59">
        <v>0.14099999999999999</v>
      </c>
      <c r="G60" s="59">
        <f t="shared" si="3"/>
        <v>2569.5289768555481</v>
      </c>
      <c r="H60" s="432">
        <f t="shared" si="4"/>
        <v>362.30358573663227</v>
      </c>
      <c r="I60" s="60"/>
    </row>
    <row r="61" spans="2:9" x14ac:dyDescent="0.25">
      <c r="B61" s="58"/>
      <c r="C61" s="59" t="s">
        <v>690</v>
      </c>
      <c r="D61" s="59" t="s">
        <v>708</v>
      </c>
      <c r="E61" s="59" t="s">
        <v>706</v>
      </c>
      <c r="F61" s="59">
        <v>0.14099999999999999</v>
      </c>
      <c r="G61" s="59">
        <f t="shared" si="3"/>
        <v>37.787190836111002</v>
      </c>
      <c r="H61" s="432">
        <f t="shared" si="4"/>
        <v>5.3279939078916509</v>
      </c>
      <c r="I61" s="60"/>
    </row>
    <row r="62" spans="2:9" x14ac:dyDescent="0.25">
      <c r="B62" s="58"/>
      <c r="C62" s="59" t="s">
        <v>691</v>
      </c>
      <c r="D62" s="59" t="s">
        <v>708</v>
      </c>
      <c r="E62" s="59" t="s">
        <v>706</v>
      </c>
      <c r="F62" s="59">
        <v>0.877</v>
      </c>
      <c r="G62" s="59">
        <f t="shared" si="3"/>
        <v>100.13605571569416</v>
      </c>
      <c r="H62" s="432">
        <f t="shared" si="4"/>
        <v>87.819320862663773</v>
      </c>
      <c r="I62" s="60"/>
    </row>
    <row r="63" spans="2:9" x14ac:dyDescent="0.25">
      <c r="B63" s="58"/>
      <c r="C63" s="59" t="s">
        <v>680</v>
      </c>
      <c r="D63" s="59" t="s">
        <v>705</v>
      </c>
      <c r="E63" s="59" t="s">
        <v>709</v>
      </c>
      <c r="F63" s="59">
        <v>11</v>
      </c>
      <c r="G63" s="59">
        <f t="shared" si="3"/>
        <v>0.71795662588610909</v>
      </c>
      <c r="H63" s="432">
        <f t="shared" si="4"/>
        <v>7.8975228847472003</v>
      </c>
      <c r="I63" s="60"/>
    </row>
    <row r="64" spans="2:9" x14ac:dyDescent="0.25">
      <c r="B64" s="58"/>
      <c r="C64" s="59" t="s">
        <v>683</v>
      </c>
      <c r="D64" s="59" t="s">
        <v>705</v>
      </c>
      <c r="E64" s="59" t="s">
        <v>706</v>
      </c>
      <c r="F64" s="59">
        <f>0.0402+0.0124</f>
        <v>5.2600000000000001E-2</v>
      </c>
      <c r="G64" s="59">
        <f t="shared" si="3"/>
        <v>460.36242909358174</v>
      </c>
      <c r="H64" s="432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705</v>
      </c>
      <c r="E65" s="59" t="s">
        <v>706</v>
      </c>
      <c r="F65" s="59">
        <v>0</v>
      </c>
      <c r="G65" s="59">
        <f t="shared" si="3"/>
        <v>377.87190836111006</v>
      </c>
      <c r="H65" s="432">
        <f t="shared" si="4"/>
        <v>0</v>
      </c>
      <c r="I65" s="60"/>
    </row>
    <row r="66" spans="2:9" x14ac:dyDescent="0.25">
      <c r="B66" s="58"/>
      <c r="C66" s="59" t="s">
        <v>686</v>
      </c>
      <c r="D66" s="59" t="s">
        <v>705</v>
      </c>
      <c r="E66" s="59" t="s">
        <v>706</v>
      </c>
      <c r="F66" s="59">
        <v>2E-3</v>
      </c>
      <c r="G66" s="59">
        <f t="shared" si="3"/>
        <v>43833.141369888763</v>
      </c>
      <c r="H66" s="432">
        <f t="shared" si="4"/>
        <v>87.666282739777529</v>
      </c>
      <c r="I66" s="60"/>
    </row>
    <row r="67" spans="2:9" x14ac:dyDescent="0.25">
      <c r="B67" s="58"/>
      <c r="C67" s="59" t="s">
        <v>687</v>
      </c>
      <c r="D67" s="59" t="s">
        <v>705</v>
      </c>
      <c r="E67" s="59" t="s">
        <v>706</v>
      </c>
      <c r="F67" s="59">
        <v>0</v>
      </c>
      <c r="G67" s="59">
        <f t="shared" si="3"/>
        <v>4897.2199323599862</v>
      </c>
      <c r="H67" s="432">
        <f t="shared" si="4"/>
        <v>0</v>
      </c>
      <c r="I67" s="60"/>
    </row>
    <row r="68" spans="2:9" x14ac:dyDescent="0.25">
      <c r="B68" s="58" t="s">
        <v>692</v>
      </c>
      <c r="C68" s="59" t="s">
        <v>693</v>
      </c>
      <c r="D68" s="59" t="s">
        <v>705</v>
      </c>
      <c r="E68" s="59" t="s">
        <v>710</v>
      </c>
      <c r="F68" s="59">
        <f>1.7807+1.04+1</f>
        <v>3.8207</v>
      </c>
      <c r="G68" s="59">
        <f t="shared" si="3"/>
        <v>284.91541890427698</v>
      </c>
      <c r="H68" s="432">
        <f t="shared" si="4"/>
        <v>1088.576341007571</v>
      </c>
      <c r="I68" s="60"/>
    </row>
    <row r="69" spans="2:9" x14ac:dyDescent="0.25">
      <c r="B69" s="58"/>
      <c r="C69" s="59" t="s">
        <v>696</v>
      </c>
      <c r="D69" s="59"/>
      <c r="E69" s="59"/>
      <c r="F69" s="59">
        <v>1</v>
      </c>
      <c r="G69" s="59">
        <f t="shared" si="3"/>
        <v>113.36157250833301</v>
      </c>
      <c r="H69" s="432">
        <f t="shared" si="4"/>
        <v>113.36157250833301</v>
      </c>
      <c r="I69" s="60"/>
    </row>
    <row r="70" spans="2:9" x14ac:dyDescent="0.25">
      <c r="B70" s="58"/>
      <c r="C70" s="59" t="s">
        <v>698</v>
      </c>
      <c r="D70" s="59" t="s">
        <v>705</v>
      </c>
      <c r="E70" s="59" t="s">
        <v>706</v>
      </c>
      <c r="F70" s="59">
        <v>0</v>
      </c>
      <c r="G70" s="59">
        <f t="shared" si="3"/>
        <v>-240.326533717666</v>
      </c>
      <c r="H70" s="432">
        <f t="shared" si="4"/>
        <v>0</v>
      </c>
      <c r="I70" s="60"/>
    </row>
    <row r="71" spans="2:9" x14ac:dyDescent="0.25">
      <c r="B71" s="58"/>
      <c r="C71" s="59" t="s">
        <v>711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712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713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3">
        <f>H74-H58</f>
        <v>1879.5943986421182</v>
      </c>
      <c r="I75" s="21" t="s">
        <v>730</v>
      </c>
    </row>
    <row r="77" spans="2:9" ht="18" thickBot="1" x14ac:dyDescent="0.35">
      <c r="B77" s="22" t="s">
        <v>717</v>
      </c>
    </row>
    <row r="78" spans="2:9" ht="16.5" thickTop="1" x14ac:dyDescent="0.25">
      <c r="B78" s="423"/>
      <c r="C78" s="424"/>
      <c r="D78" s="424" t="s">
        <v>700</v>
      </c>
      <c r="E78" s="424" t="s">
        <v>667</v>
      </c>
      <c r="F78" s="424" t="s">
        <v>8</v>
      </c>
      <c r="G78" s="424"/>
      <c r="H78" s="424" t="s">
        <v>8</v>
      </c>
      <c r="I78" s="425"/>
    </row>
    <row r="79" spans="2:9" x14ac:dyDescent="0.25">
      <c r="B79" s="70"/>
      <c r="C79" s="81"/>
      <c r="D79" s="81"/>
      <c r="E79" s="81"/>
      <c r="F79" s="81" t="s">
        <v>702</v>
      </c>
      <c r="G79" s="81"/>
      <c r="H79" s="81" t="s">
        <v>716</v>
      </c>
      <c r="I79" s="426"/>
    </row>
    <row r="80" spans="2:9" x14ac:dyDescent="0.25">
      <c r="B80" s="58" t="s">
        <v>704</v>
      </c>
      <c r="C80" s="59" t="s">
        <v>244</v>
      </c>
      <c r="D80" s="59" t="s">
        <v>705</v>
      </c>
      <c r="E80" s="59" t="s">
        <v>706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718</v>
      </c>
    </row>
    <row r="81" spans="2:9" x14ac:dyDescent="0.25">
      <c r="B81" s="58"/>
      <c r="C81" s="59" t="s">
        <v>689</v>
      </c>
      <c r="D81" s="59" t="s">
        <v>708</v>
      </c>
      <c r="E81" s="59" t="s">
        <v>706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718</v>
      </c>
    </row>
    <row r="82" spans="2:9" x14ac:dyDescent="0.25">
      <c r="B82" s="58"/>
      <c r="C82" s="59" t="s">
        <v>679</v>
      </c>
      <c r="D82" s="59" t="s">
        <v>705</v>
      </c>
      <c r="E82" s="59" t="s">
        <v>706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718</v>
      </c>
    </row>
    <row r="83" spans="2:9" x14ac:dyDescent="0.25">
      <c r="B83" s="58"/>
      <c r="C83" s="59" t="s">
        <v>690</v>
      </c>
      <c r="D83" s="59" t="s">
        <v>708</v>
      </c>
      <c r="E83" s="59" t="s">
        <v>706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718</v>
      </c>
    </row>
    <row r="84" spans="2:9" x14ac:dyDescent="0.25">
      <c r="B84" s="58"/>
      <c r="C84" s="59" t="s">
        <v>691</v>
      </c>
      <c r="D84" s="59" t="s">
        <v>708</v>
      </c>
      <c r="E84" s="59" t="s">
        <v>706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718</v>
      </c>
    </row>
    <row r="85" spans="2:9" x14ac:dyDescent="0.25">
      <c r="B85" s="58"/>
      <c r="C85" s="59" t="s">
        <v>680</v>
      </c>
      <c r="D85" s="59" t="s">
        <v>705</v>
      </c>
      <c r="E85" s="59" t="s">
        <v>709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718</v>
      </c>
    </row>
    <row r="86" spans="2:9" x14ac:dyDescent="0.25">
      <c r="B86" s="58"/>
      <c r="C86" s="59" t="s">
        <v>684</v>
      </c>
      <c r="D86" s="59" t="s">
        <v>705</v>
      </c>
      <c r="E86" s="59" t="s">
        <v>706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718</v>
      </c>
    </row>
    <row r="87" spans="2:9" x14ac:dyDescent="0.25">
      <c r="B87" s="58"/>
      <c r="C87" s="59" t="s">
        <v>246</v>
      </c>
      <c r="D87" s="59" t="s">
        <v>705</v>
      </c>
      <c r="E87" s="59" t="s">
        <v>706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718</v>
      </c>
    </row>
    <row r="88" spans="2:9" x14ac:dyDescent="0.25">
      <c r="B88" s="58"/>
      <c r="C88" s="59" t="s">
        <v>686</v>
      </c>
      <c r="D88" s="59" t="s">
        <v>705</v>
      </c>
      <c r="E88" s="59" t="s">
        <v>706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718</v>
      </c>
    </row>
    <row r="89" spans="2:9" x14ac:dyDescent="0.25">
      <c r="B89" s="58"/>
      <c r="C89" s="59" t="s">
        <v>687</v>
      </c>
      <c r="D89" s="59" t="s">
        <v>705</v>
      </c>
      <c r="E89" s="59" t="s">
        <v>706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718</v>
      </c>
    </row>
    <row r="90" spans="2:9" x14ac:dyDescent="0.25">
      <c r="B90" s="58" t="s">
        <v>692</v>
      </c>
      <c r="C90" s="59" t="s">
        <v>693</v>
      </c>
      <c r="D90" s="59" t="s">
        <v>705</v>
      </c>
      <c r="E90" s="59" t="s">
        <v>710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718</v>
      </c>
    </row>
    <row r="91" spans="2:9" x14ac:dyDescent="0.25">
      <c r="B91" s="58"/>
      <c r="C91" s="59" t="s">
        <v>696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718</v>
      </c>
    </row>
    <row r="92" spans="2:9" x14ac:dyDescent="0.25">
      <c r="B92" s="58"/>
      <c r="C92" s="59" t="s">
        <v>698</v>
      </c>
      <c r="D92" s="59" t="s">
        <v>705</v>
      </c>
      <c r="E92" s="59" t="s">
        <v>706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718</v>
      </c>
    </row>
    <row r="93" spans="2:9" x14ac:dyDescent="0.25">
      <c r="B93" s="58"/>
      <c r="C93" s="59" t="s">
        <v>711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712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713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719</v>
      </c>
    </row>
    <row r="100" spans="2:9" ht="16.5" thickTop="1" x14ac:dyDescent="0.25">
      <c r="B100" s="423"/>
      <c r="C100" s="424"/>
      <c r="D100" s="424" t="s">
        <v>700</v>
      </c>
      <c r="E100" s="424" t="s">
        <v>667</v>
      </c>
      <c r="F100" s="424" t="s">
        <v>720</v>
      </c>
      <c r="G100" s="424"/>
      <c r="H100" s="424" t="s">
        <v>720</v>
      </c>
      <c r="I100" s="425" t="s">
        <v>721</v>
      </c>
    </row>
    <row r="101" spans="2:9" x14ac:dyDescent="0.25">
      <c r="B101" s="70"/>
      <c r="C101" s="81"/>
      <c r="D101" s="81"/>
      <c r="E101" s="81"/>
      <c r="F101" s="81" t="s">
        <v>702</v>
      </c>
      <c r="G101" s="81"/>
      <c r="H101" s="81" t="s">
        <v>716</v>
      </c>
      <c r="I101" s="426"/>
    </row>
    <row r="102" spans="2:9" x14ac:dyDescent="0.25">
      <c r="B102" s="58" t="s">
        <v>704</v>
      </c>
      <c r="C102" s="59" t="s">
        <v>677</v>
      </c>
      <c r="D102" s="59" t="s">
        <v>705</v>
      </c>
      <c r="E102" s="59" t="s">
        <v>706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689</v>
      </c>
      <c r="D103" s="59" t="s">
        <v>708</v>
      </c>
      <c r="E103" s="59" t="s">
        <v>706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679</v>
      </c>
      <c r="D104" s="59" t="s">
        <v>705</v>
      </c>
      <c r="E104" s="59" t="s">
        <v>706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690</v>
      </c>
      <c r="D105" s="59" t="s">
        <v>708</v>
      </c>
      <c r="E105" s="59" t="s">
        <v>706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691</v>
      </c>
      <c r="D106" s="59" t="s">
        <v>708</v>
      </c>
      <c r="E106" s="59" t="s">
        <v>706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680</v>
      </c>
      <c r="D107" s="59" t="s">
        <v>705</v>
      </c>
      <c r="E107" s="59" t="s">
        <v>709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682</v>
      </c>
      <c r="D108" s="59" t="s">
        <v>705</v>
      </c>
      <c r="E108" s="59" t="s">
        <v>706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685</v>
      </c>
      <c r="D109" s="59" t="s">
        <v>705</v>
      </c>
      <c r="E109" s="59" t="s">
        <v>706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686</v>
      </c>
      <c r="D110" s="59" t="s">
        <v>705</v>
      </c>
      <c r="E110" s="59" t="s">
        <v>706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683</v>
      </c>
      <c r="D111" s="59" t="s">
        <v>705</v>
      </c>
      <c r="E111" s="59" t="s">
        <v>706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692</v>
      </c>
      <c r="C112" s="59" t="s">
        <v>693</v>
      </c>
      <c r="D112" s="59" t="s">
        <v>705</v>
      </c>
      <c r="E112" s="59" t="s">
        <v>710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698</v>
      </c>
      <c r="D114" s="59" t="s">
        <v>705</v>
      </c>
      <c r="E114" s="59" t="s">
        <v>706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711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712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713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3" t="s">
        <v>722</v>
      </c>
      <c r="C121" s="424" t="s">
        <v>7</v>
      </c>
      <c r="D121" s="424" t="s">
        <v>9</v>
      </c>
      <c r="E121" s="424" t="s">
        <v>156</v>
      </c>
      <c r="F121" s="425" t="s">
        <v>720</v>
      </c>
    </row>
    <row r="122" spans="2:9" x14ac:dyDescent="0.25">
      <c r="B122" s="58" t="s">
        <v>726</v>
      </c>
      <c r="C122" s="427">
        <f>H52</f>
        <v>2242.9361758185828</v>
      </c>
      <c r="D122" s="427">
        <f>H74</f>
        <v>2259.9723484728574</v>
      </c>
      <c r="E122" s="427">
        <f>H96</f>
        <v>3348.619987307768</v>
      </c>
      <c r="F122" s="431">
        <f>H118</f>
        <v>2126.6537865331043</v>
      </c>
      <c r="H122" s="21" t="s">
        <v>725</v>
      </c>
    </row>
    <row r="123" spans="2:9" x14ac:dyDescent="0.25">
      <c r="B123" s="58" t="s">
        <v>727</v>
      </c>
      <c r="C123" s="427">
        <f>H53*E4</f>
        <v>1465.3215205328313</v>
      </c>
      <c r="D123" s="427">
        <f>H75*E4</f>
        <v>2445.8654126601818</v>
      </c>
      <c r="E123" s="88">
        <f>H96*$E$4</f>
        <v>4357.4687246437716</v>
      </c>
      <c r="F123" s="88"/>
      <c r="H123" s="21" t="s">
        <v>731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1081</v>
      </c>
    </row>
    <row r="2" spans="1:10" ht="16.5" thickTop="1" x14ac:dyDescent="0.25"/>
    <row r="3" spans="1:10" x14ac:dyDescent="0.25">
      <c r="A3" s="58" t="s">
        <v>1082</v>
      </c>
      <c r="B3" s="60">
        <v>2010</v>
      </c>
    </row>
    <row r="4" spans="1:10" x14ac:dyDescent="0.25">
      <c r="A4" s="58" t="s">
        <v>664</v>
      </c>
      <c r="B4" s="530" t="s">
        <v>665</v>
      </c>
    </row>
    <row r="6" spans="1:10" x14ac:dyDescent="0.25">
      <c r="A6" s="32" t="s">
        <v>1083</v>
      </c>
    </row>
    <row r="7" spans="1:10" x14ac:dyDescent="0.25">
      <c r="A7" s="423" t="s">
        <v>122</v>
      </c>
      <c r="B7" s="23" t="s">
        <v>1084</v>
      </c>
      <c r="C7" s="24" t="s">
        <v>561</v>
      </c>
      <c r="D7" s="24" t="s">
        <v>1085</v>
      </c>
      <c r="E7" s="24" t="s">
        <v>1086</v>
      </c>
      <c r="F7" s="24" t="s">
        <v>664</v>
      </c>
      <c r="G7" s="24" t="s">
        <v>1087</v>
      </c>
      <c r="H7" s="24" t="s">
        <v>671</v>
      </c>
      <c r="I7" s="24" t="s">
        <v>700</v>
      </c>
      <c r="J7" s="25" t="s">
        <v>1088</v>
      </c>
    </row>
    <row r="8" spans="1:10" x14ac:dyDescent="0.25">
      <c r="B8" s="58" t="s">
        <v>1089</v>
      </c>
      <c r="C8" s="59" t="s">
        <v>1090</v>
      </c>
      <c r="D8" s="59" t="s">
        <v>1091</v>
      </c>
      <c r="E8" s="59">
        <v>2000</v>
      </c>
      <c r="F8" s="59" t="s">
        <v>675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1092</v>
      </c>
      <c r="J8" s="431">
        <f t="shared" ref="J8:J20" si="1">G8*H8</f>
        <v>875.4161570840306</v>
      </c>
    </row>
    <row r="9" spans="1:10" x14ac:dyDescent="0.25">
      <c r="A9" s="58"/>
      <c r="B9" s="58" t="s">
        <v>1089</v>
      </c>
      <c r="C9" s="59" t="s">
        <v>1090</v>
      </c>
      <c r="D9" s="59" t="s">
        <v>1091</v>
      </c>
      <c r="E9" s="59">
        <v>2000</v>
      </c>
      <c r="F9" s="59" t="s">
        <v>675</v>
      </c>
      <c r="G9" s="59">
        <v>275</v>
      </c>
      <c r="H9" s="59">
        <f t="shared" si="0"/>
        <v>5.914974034351558</v>
      </c>
      <c r="I9" s="59" t="s">
        <v>1092</v>
      </c>
      <c r="J9" s="431">
        <f t="shared" si="1"/>
        <v>1626.6178594466785</v>
      </c>
    </row>
    <row r="10" spans="1:10" x14ac:dyDescent="0.25">
      <c r="A10" s="58"/>
      <c r="B10" s="58" t="s">
        <v>369</v>
      </c>
      <c r="C10" s="59" t="s">
        <v>1090</v>
      </c>
      <c r="D10" s="59" t="s">
        <v>1093</v>
      </c>
      <c r="E10" s="59">
        <v>2000</v>
      </c>
      <c r="F10" s="59" t="s">
        <v>675</v>
      </c>
      <c r="G10" s="59">
        <v>100</v>
      </c>
      <c r="H10" s="59">
        <f t="shared" si="0"/>
        <v>5.914974034351558</v>
      </c>
      <c r="I10" s="59" t="s">
        <v>1092</v>
      </c>
      <c r="J10" s="431">
        <f t="shared" si="1"/>
        <v>591.49740343515577</v>
      </c>
    </row>
    <row r="11" spans="1:10" x14ac:dyDescent="0.25">
      <c r="A11" s="58"/>
      <c r="B11" s="58" t="s">
        <v>1094</v>
      </c>
      <c r="C11" s="59" t="s">
        <v>1090</v>
      </c>
      <c r="D11" s="59" t="s">
        <v>1091</v>
      </c>
      <c r="E11" s="59">
        <v>2000</v>
      </c>
      <c r="F11" s="59" t="s">
        <v>675</v>
      </c>
      <c r="G11" s="59">
        <v>143</v>
      </c>
      <c r="H11" s="59">
        <f t="shared" si="0"/>
        <v>5.914974034351558</v>
      </c>
      <c r="I11" s="59" t="s">
        <v>1092</v>
      </c>
      <c r="J11" s="431">
        <f t="shared" si="1"/>
        <v>845.84128691227284</v>
      </c>
    </row>
    <row r="12" spans="1:10" x14ac:dyDescent="0.25">
      <c r="A12" s="58"/>
      <c r="B12" s="58" t="s">
        <v>1095</v>
      </c>
      <c r="C12" s="59" t="s">
        <v>1090</v>
      </c>
      <c r="D12" s="59" t="s">
        <v>1091</v>
      </c>
      <c r="E12" s="59">
        <v>2000</v>
      </c>
      <c r="F12" s="59" t="s">
        <v>675</v>
      </c>
      <c r="G12" s="59">
        <v>145</v>
      </c>
      <c r="H12" s="59">
        <f t="shared" si="0"/>
        <v>5.914974034351558</v>
      </c>
      <c r="I12" s="59" t="s">
        <v>1092</v>
      </c>
      <c r="J12" s="431">
        <f t="shared" si="1"/>
        <v>857.6712349809759</v>
      </c>
    </row>
    <row r="13" spans="1:10" x14ac:dyDescent="0.25">
      <c r="A13" s="58"/>
      <c r="B13" s="58" t="s">
        <v>1096</v>
      </c>
      <c r="C13" s="59" t="s">
        <v>1090</v>
      </c>
      <c r="D13" s="59" t="s">
        <v>1091</v>
      </c>
      <c r="E13" s="59">
        <v>2000</v>
      </c>
      <c r="F13" s="59" t="s">
        <v>675</v>
      </c>
      <c r="G13" s="59">
        <v>122</v>
      </c>
      <c r="H13" s="59">
        <f t="shared" si="0"/>
        <v>5.914974034351558</v>
      </c>
      <c r="I13" s="59" t="s">
        <v>1092</v>
      </c>
      <c r="J13" s="431">
        <f t="shared" si="1"/>
        <v>721.62683219089013</v>
      </c>
    </row>
    <row r="14" spans="1:10" x14ac:dyDescent="0.25">
      <c r="A14" s="58"/>
      <c r="B14" s="58" t="s">
        <v>1097</v>
      </c>
      <c r="C14" s="59" t="s">
        <v>1090</v>
      </c>
      <c r="D14" s="59" t="s">
        <v>1091</v>
      </c>
      <c r="E14" s="59">
        <v>2000</v>
      </c>
      <c r="F14" s="59" t="s">
        <v>675</v>
      </c>
      <c r="G14" s="59">
        <v>98</v>
      </c>
      <c r="H14" s="59">
        <f t="shared" si="0"/>
        <v>5.914974034351558</v>
      </c>
      <c r="I14" s="59" t="s">
        <v>1092</v>
      </c>
      <c r="J14" s="431">
        <f t="shared" si="1"/>
        <v>579.66745536645271</v>
      </c>
    </row>
    <row r="15" spans="1:10" x14ac:dyDescent="0.25">
      <c r="A15" s="58"/>
      <c r="B15" s="58" t="s">
        <v>1098</v>
      </c>
      <c r="C15" s="59" t="s">
        <v>1090</v>
      </c>
      <c r="D15" s="59" t="s">
        <v>1091</v>
      </c>
      <c r="E15" s="59">
        <v>2000</v>
      </c>
      <c r="F15" s="59" t="s">
        <v>675</v>
      </c>
      <c r="G15" s="59">
        <v>320</v>
      </c>
      <c r="H15" s="59">
        <f t="shared" si="0"/>
        <v>5.914974034351558</v>
      </c>
      <c r="I15" s="59" t="s">
        <v>1092</v>
      </c>
      <c r="J15" s="431">
        <f t="shared" si="1"/>
        <v>1892.7916909924986</v>
      </c>
    </row>
    <row r="16" spans="1:10" x14ac:dyDescent="0.25">
      <c r="A16" s="58"/>
      <c r="B16" s="58" t="s">
        <v>1</v>
      </c>
      <c r="C16" s="59" t="s">
        <v>1090</v>
      </c>
      <c r="D16" s="59" t="s">
        <v>1093</v>
      </c>
      <c r="E16" s="59">
        <v>2000</v>
      </c>
      <c r="F16" s="59" t="s">
        <v>675</v>
      </c>
      <c r="G16" s="59">
        <v>80</v>
      </c>
      <c r="H16" s="59">
        <f t="shared" si="0"/>
        <v>5.914974034351558</v>
      </c>
      <c r="I16" s="59" t="s">
        <v>1092</v>
      </c>
      <c r="J16" s="431">
        <f t="shared" si="1"/>
        <v>473.19792274812465</v>
      </c>
    </row>
    <row r="17" spans="1:10" x14ac:dyDescent="0.25">
      <c r="A17" s="58"/>
      <c r="B17" s="58" t="s">
        <v>1099</v>
      </c>
      <c r="C17" s="59" t="s">
        <v>1090</v>
      </c>
      <c r="D17" s="59" t="s">
        <v>1091</v>
      </c>
      <c r="E17" s="59">
        <v>2010</v>
      </c>
      <c r="F17" s="59" t="s">
        <v>859</v>
      </c>
      <c r="G17" s="59">
        <v>273</v>
      </c>
      <c r="H17" s="59">
        <f t="shared" si="0"/>
        <v>9.7120768109592781</v>
      </c>
      <c r="I17" s="59" t="s">
        <v>1092</v>
      </c>
      <c r="J17" s="431">
        <f t="shared" si="1"/>
        <v>2651.396969391883</v>
      </c>
    </row>
    <row r="18" spans="1:10" x14ac:dyDescent="0.25">
      <c r="A18" s="58"/>
      <c r="B18" s="58" t="s">
        <v>1100</v>
      </c>
      <c r="C18" s="59" t="s">
        <v>1090</v>
      </c>
      <c r="D18" s="59" t="s">
        <v>1091</v>
      </c>
      <c r="E18" s="59">
        <v>2010</v>
      </c>
      <c r="F18" s="59" t="s">
        <v>859</v>
      </c>
      <c r="G18" s="59">
        <v>500</v>
      </c>
      <c r="H18" s="59">
        <f t="shared" si="0"/>
        <v>9.7120768109592781</v>
      </c>
      <c r="I18" s="59" t="s">
        <v>1092</v>
      </c>
      <c r="J18" s="431">
        <f t="shared" si="1"/>
        <v>4856.0384054796386</v>
      </c>
    </row>
    <row r="19" spans="1:10" x14ac:dyDescent="0.25">
      <c r="A19" s="58"/>
      <c r="B19" s="58" t="s">
        <v>191</v>
      </c>
      <c r="C19" s="59" t="s">
        <v>1090</v>
      </c>
      <c r="D19" s="59" t="s">
        <v>1091</v>
      </c>
      <c r="E19" s="59">
        <v>2010</v>
      </c>
      <c r="F19" s="59" t="s">
        <v>859</v>
      </c>
      <c r="G19" s="59">
        <v>200</v>
      </c>
      <c r="H19" s="59">
        <f t="shared" si="0"/>
        <v>9.7120768109592781</v>
      </c>
      <c r="I19" s="59" t="s">
        <v>1092</v>
      </c>
      <c r="J19" s="431">
        <f t="shared" si="1"/>
        <v>1942.4153621918556</v>
      </c>
    </row>
    <row r="20" spans="1:10" x14ac:dyDescent="0.25">
      <c r="A20" s="58"/>
      <c r="B20" s="58" t="s">
        <v>1101</v>
      </c>
      <c r="C20" s="59" t="s">
        <v>1090</v>
      </c>
      <c r="D20" s="59" t="s">
        <v>1091</v>
      </c>
      <c r="E20" s="59">
        <v>2010</v>
      </c>
      <c r="F20" s="59" t="s">
        <v>859</v>
      </c>
      <c r="G20" s="59">
        <v>400</v>
      </c>
      <c r="H20" s="59">
        <f t="shared" si="0"/>
        <v>9.7120768109592781</v>
      </c>
      <c r="I20" s="59" t="s">
        <v>1092</v>
      </c>
      <c r="J20" s="431">
        <f t="shared" si="1"/>
        <v>3884.8307243837112</v>
      </c>
    </row>
    <row r="22" spans="1:10" x14ac:dyDescent="0.25">
      <c r="A22" s="32" t="s">
        <v>1102</v>
      </c>
      <c r="H22" s="531"/>
    </row>
    <row r="23" spans="1:10" x14ac:dyDescent="0.25">
      <c r="A23" s="58" t="s">
        <v>7</v>
      </c>
      <c r="B23" s="59" t="s">
        <v>1103</v>
      </c>
      <c r="C23" s="59" t="s">
        <v>1104</v>
      </c>
      <c r="D23" s="59"/>
      <c r="E23" s="59"/>
      <c r="F23" s="59"/>
      <c r="G23" s="59"/>
      <c r="H23" s="59"/>
      <c r="I23" s="59"/>
      <c r="J23" s="431">
        <f>$J$17+$J$10</f>
        <v>3242.8943728270388</v>
      </c>
    </row>
    <row r="24" spans="1:10" x14ac:dyDescent="0.25">
      <c r="A24" s="58" t="s">
        <v>7</v>
      </c>
      <c r="B24" s="59" t="s">
        <v>765</v>
      </c>
      <c r="C24" s="59" t="s">
        <v>1105</v>
      </c>
      <c r="D24" s="59" t="s">
        <v>1106</v>
      </c>
      <c r="E24" s="59"/>
      <c r="F24" s="59"/>
      <c r="G24" s="59"/>
      <c r="H24" s="59"/>
      <c r="I24" s="59">
        <v>100</v>
      </c>
      <c r="J24" s="431">
        <f>I24*($J$9+$J$10)/100</f>
        <v>2218.1152628818345</v>
      </c>
    </row>
    <row r="25" spans="1:10" x14ac:dyDescent="0.25">
      <c r="A25" s="58" t="s">
        <v>9</v>
      </c>
      <c r="B25" s="59" t="s">
        <v>1107</v>
      </c>
      <c r="C25" s="59" t="s">
        <v>1108</v>
      </c>
      <c r="D25" s="59"/>
      <c r="E25" s="59">
        <v>2000</v>
      </c>
      <c r="F25" s="59" t="s">
        <v>675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1092</v>
      </c>
      <c r="J25" s="431">
        <f>G25*H25</f>
        <v>2144.7695848558751</v>
      </c>
    </row>
    <row r="26" spans="1:10" x14ac:dyDescent="0.25">
      <c r="A26" s="58" t="s">
        <v>9</v>
      </c>
      <c r="B26" s="59" t="s">
        <v>1109</v>
      </c>
      <c r="C26" s="59" t="s">
        <v>1108</v>
      </c>
      <c r="D26" s="59"/>
      <c r="E26" s="59">
        <v>2000</v>
      </c>
      <c r="F26" s="59" t="s">
        <v>675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1092</v>
      </c>
      <c r="J26" s="431">
        <f>G26*H26</f>
        <v>2209.2428018303067</v>
      </c>
    </row>
    <row r="27" spans="1:10" x14ac:dyDescent="0.25">
      <c r="A27" s="58" t="s">
        <v>9</v>
      </c>
      <c r="B27" s="59" t="s">
        <v>1110</v>
      </c>
      <c r="C27" s="59" t="s">
        <v>1104</v>
      </c>
      <c r="D27" s="59"/>
      <c r="E27" s="59"/>
      <c r="F27" s="59"/>
      <c r="G27" s="59"/>
      <c r="H27" s="59"/>
      <c r="I27" s="59"/>
      <c r="J27" s="431">
        <f>$J$15+$J$16</f>
        <v>2365.9896137406231</v>
      </c>
    </row>
    <row r="28" spans="1:10" x14ac:dyDescent="0.25">
      <c r="A28" s="58" t="s">
        <v>9</v>
      </c>
      <c r="B28" s="59" t="s">
        <v>1111</v>
      </c>
      <c r="C28" s="59" t="s">
        <v>1108</v>
      </c>
      <c r="D28" s="59"/>
      <c r="E28" s="59">
        <v>2000</v>
      </c>
      <c r="F28" s="59" t="s">
        <v>675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1092</v>
      </c>
      <c r="J28" s="431">
        <f t="shared" ref="J28:J33" si="3">G28*H28</f>
        <v>1535.7047085386951</v>
      </c>
    </row>
    <row r="29" spans="1:10" x14ac:dyDescent="0.25">
      <c r="A29" s="58" t="s">
        <v>9</v>
      </c>
      <c r="B29" s="59" t="s">
        <v>1112</v>
      </c>
      <c r="C29" s="59" t="s">
        <v>1108</v>
      </c>
      <c r="D29" s="59"/>
      <c r="E29" s="59">
        <v>2000</v>
      </c>
      <c r="F29" s="59" t="s">
        <v>675</v>
      </c>
      <c r="G29" s="59">
        <v>334.67</v>
      </c>
      <c r="H29" s="59">
        <f t="shared" si="2"/>
        <v>5.914974034351558</v>
      </c>
      <c r="I29" s="59" t="s">
        <v>1092</v>
      </c>
      <c r="J29" s="431">
        <f t="shared" si="3"/>
        <v>1979.5643600764361</v>
      </c>
    </row>
    <row r="30" spans="1:10" x14ac:dyDescent="0.25">
      <c r="A30" s="58" t="s">
        <v>8</v>
      </c>
      <c r="B30" s="59" t="s">
        <v>1113</v>
      </c>
      <c r="C30" s="59" t="s">
        <v>1108</v>
      </c>
      <c r="D30" s="59"/>
      <c r="E30" s="59">
        <v>2000</v>
      </c>
      <c r="F30" s="59" t="s">
        <v>675</v>
      </c>
      <c r="G30" s="59">
        <v>296.10000000000002</v>
      </c>
      <c r="H30" s="59">
        <f t="shared" si="2"/>
        <v>5.914974034351558</v>
      </c>
      <c r="I30" s="59" t="s">
        <v>1092</v>
      </c>
      <c r="J30" s="431">
        <f t="shared" si="3"/>
        <v>1751.4238115714963</v>
      </c>
    </row>
    <row r="31" spans="1:10" x14ac:dyDescent="0.25">
      <c r="A31" s="58" t="s">
        <v>8</v>
      </c>
      <c r="B31" s="59" t="s">
        <v>1114</v>
      </c>
      <c r="C31" s="59" t="s">
        <v>1108</v>
      </c>
      <c r="D31" s="59"/>
      <c r="E31" s="59">
        <v>2000</v>
      </c>
      <c r="F31" s="59" t="s">
        <v>675</v>
      </c>
      <c r="G31" s="59">
        <v>232.37</v>
      </c>
      <c r="H31" s="59">
        <f t="shared" si="2"/>
        <v>5.914974034351558</v>
      </c>
      <c r="I31" s="59" t="s">
        <v>1092</v>
      </c>
      <c r="J31" s="431">
        <f t="shared" si="3"/>
        <v>1374.4625163622716</v>
      </c>
    </row>
    <row r="32" spans="1:10" x14ac:dyDescent="0.25">
      <c r="A32" s="58" t="s">
        <v>8</v>
      </c>
      <c r="B32" s="59" t="s">
        <v>1115</v>
      </c>
      <c r="C32" s="59" t="s">
        <v>1108</v>
      </c>
      <c r="D32" s="59"/>
      <c r="E32" s="59">
        <v>2000</v>
      </c>
      <c r="F32" s="59" t="s">
        <v>675</v>
      </c>
      <c r="G32" s="59">
        <v>239.63</v>
      </c>
      <c r="H32" s="59">
        <f t="shared" si="2"/>
        <v>5.914974034351558</v>
      </c>
      <c r="I32" s="59" t="s">
        <v>1092</v>
      </c>
      <c r="J32" s="431">
        <f t="shared" si="3"/>
        <v>1417.4052278516638</v>
      </c>
    </row>
    <row r="33" spans="1:10" x14ac:dyDescent="0.25">
      <c r="A33" s="58" t="s">
        <v>8</v>
      </c>
      <c r="B33" s="59" t="s">
        <v>1116</v>
      </c>
      <c r="C33" s="59" t="s">
        <v>1108</v>
      </c>
      <c r="D33" s="59"/>
      <c r="E33" s="59">
        <v>2000</v>
      </c>
      <c r="F33" s="59" t="s">
        <v>675</v>
      </c>
      <c r="G33" s="59">
        <v>263.47000000000003</v>
      </c>
      <c r="H33" s="59">
        <f t="shared" si="2"/>
        <v>5.914974034351558</v>
      </c>
      <c r="I33" s="59" t="s">
        <v>1092</v>
      </c>
      <c r="J33" s="431">
        <f t="shared" si="3"/>
        <v>1558.4182088306052</v>
      </c>
    </row>
    <row r="34" spans="1:10" x14ac:dyDescent="0.25">
      <c r="A34" s="58" t="s">
        <v>7</v>
      </c>
      <c r="B34" s="59" t="s">
        <v>1117</v>
      </c>
      <c r="C34" s="59" t="s">
        <v>1104</v>
      </c>
      <c r="D34" s="59"/>
      <c r="E34" s="59"/>
      <c r="F34" s="59"/>
      <c r="G34" s="59"/>
      <c r="H34" s="59"/>
      <c r="I34" s="59"/>
      <c r="J34" s="431">
        <f>$J$8+$J$10</f>
        <v>1466.9135605191864</v>
      </c>
    </row>
    <row r="35" spans="1:10" x14ac:dyDescent="0.25">
      <c r="A35" s="58" t="s">
        <v>7</v>
      </c>
      <c r="B35" s="59" t="s">
        <v>1118</v>
      </c>
      <c r="C35" s="59" t="s">
        <v>1104</v>
      </c>
      <c r="D35" s="59"/>
      <c r="E35" s="59"/>
      <c r="F35" s="59"/>
      <c r="G35" s="59"/>
      <c r="H35" s="59"/>
      <c r="I35" s="59"/>
      <c r="J35" s="431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1105</v>
      </c>
      <c r="D36" s="59" t="s">
        <v>1106</v>
      </c>
      <c r="E36" s="59"/>
      <c r="F36" s="59"/>
      <c r="G36" s="59"/>
      <c r="H36" s="59"/>
      <c r="I36" s="59">
        <v>82</v>
      </c>
      <c r="J36" s="431">
        <f>I36*($J$9+$J$10)/100</f>
        <v>1818.8545155631043</v>
      </c>
    </row>
    <row r="37" spans="1:10" x14ac:dyDescent="0.25">
      <c r="A37" s="58" t="s">
        <v>1119</v>
      </c>
      <c r="B37" s="59" t="s">
        <v>1120</v>
      </c>
      <c r="C37" s="59" t="s">
        <v>1104</v>
      </c>
      <c r="D37" s="59"/>
      <c r="E37" s="59"/>
      <c r="F37" s="59"/>
      <c r="G37" s="59"/>
      <c r="H37" s="59"/>
      <c r="I37" s="59"/>
      <c r="J37" s="431">
        <f>$J$20+$J$10</f>
        <v>4476.328127818867</v>
      </c>
    </row>
    <row r="38" spans="1:10" x14ac:dyDescent="0.25">
      <c r="A38" s="58" t="s">
        <v>1119</v>
      </c>
      <c r="B38" s="59" t="s">
        <v>1121</v>
      </c>
      <c r="C38" s="59" t="s">
        <v>1104</v>
      </c>
      <c r="D38" s="59"/>
      <c r="E38" s="59"/>
      <c r="F38" s="59"/>
      <c r="G38" s="59"/>
      <c r="H38" s="59"/>
      <c r="I38" s="59"/>
      <c r="J38" s="431">
        <f>$J$18+$J$10</f>
        <v>5447.535808914794</v>
      </c>
    </row>
    <row r="39" spans="1:10" x14ac:dyDescent="0.25">
      <c r="A39" s="58" t="s">
        <v>9</v>
      </c>
      <c r="B39" s="59" t="s">
        <v>1122</v>
      </c>
      <c r="C39" s="59" t="s">
        <v>1104</v>
      </c>
      <c r="D39" s="59"/>
      <c r="E39" s="59"/>
      <c r="F39" s="59"/>
      <c r="G39" s="59"/>
      <c r="H39" s="59"/>
      <c r="I39" s="59"/>
      <c r="J39" s="431">
        <f>$J$11+$J$16</f>
        <v>1319.0392096603975</v>
      </c>
    </row>
    <row r="40" spans="1:10" x14ac:dyDescent="0.25">
      <c r="A40" s="58" t="s">
        <v>9</v>
      </c>
      <c r="B40" s="59" t="s">
        <v>1123</v>
      </c>
      <c r="C40" s="59" t="s">
        <v>1104</v>
      </c>
      <c r="D40" s="59"/>
      <c r="E40" s="59"/>
      <c r="F40" s="59"/>
      <c r="G40" s="59"/>
      <c r="H40" s="59"/>
      <c r="I40" s="59"/>
      <c r="J40" s="431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1105</v>
      </c>
      <c r="D41" s="59" t="s">
        <v>1106</v>
      </c>
      <c r="E41" s="59"/>
      <c r="F41" s="59"/>
      <c r="G41" s="59"/>
      <c r="H41" s="59"/>
      <c r="I41" s="59">
        <v>71</v>
      </c>
      <c r="J41" s="431">
        <f>I41*($J$9+$J$10)/100</f>
        <v>1574.8618366461026</v>
      </c>
    </row>
    <row r="42" spans="1:10" x14ac:dyDescent="0.25">
      <c r="A42" s="58" t="s">
        <v>9</v>
      </c>
      <c r="B42" s="59" t="s">
        <v>1124</v>
      </c>
      <c r="C42" s="59" t="s">
        <v>1108</v>
      </c>
      <c r="D42" s="59"/>
      <c r="E42" s="59">
        <v>2000</v>
      </c>
      <c r="F42" s="59" t="s">
        <v>675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1092</v>
      </c>
      <c r="J42" s="431">
        <f t="shared" ref="J42:J48" si="5">G42*H42</f>
        <v>2161.0949131906855</v>
      </c>
    </row>
    <row r="43" spans="1:10" x14ac:dyDescent="0.25">
      <c r="A43" s="58" t="s">
        <v>9</v>
      </c>
      <c r="B43" s="59" t="s">
        <v>1125</v>
      </c>
      <c r="C43" s="59" t="s">
        <v>1108</v>
      </c>
      <c r="D43" s="59"/>
      <c r="E43" s="59">
        <v>2000</v>
      </c>
      <c r="F43" s="59" t="s">
        <v>675</v>
      </c>
      <c r="G43" s="59">
        <v>365.45</v>
      </c>
      <c r="H43" s="59">
        <f t="shared" si="4"/>
        <v>5.914974034351558</v>
      </c>
      <c r="I43" s="59" t="s">
        <v>1092</v>
      </c>
      <c r="J43" s="431">
        <f t="shared" si="5"/>
        <v>2161.627260853777</v>
      </c>
    </row>
    <row r="44" spans="1:10" x14ac:dyDescent="0.25">
      <c r="A44" s="58"/>
      <c r="B44" s="59" t="s">
        <v>1126</v>
      </c>
      <c r="C44" s="59" t="s">
        <v>1108</v>
      </c>
      <c r="D44" s="59"/>
      <c r="E44" s="59">
        <v>2000</v>
      </c>
      <c r="F44" s="59" t="s">
        <v>675</v>
      </c>
      <c r="G44" s="59">
        <v>231.85</v>
      </c>
      <c r="H44" s="59">
        <f t="shared" si="4"/>
        <v>5.914974034351558</v>
      </c>
      <c r="I44" s="59" t="s">
        <v>1092</v>
      </c>
      <c r="J44" s="431">
        <f t="shared" si="5"/>
        <v>1371.3867298644086</v>
      </c>
    </row>
    <row r="45" spans="1:10" x14ac:dyDescent="0.25">
      <c r="A45" s="58"/>
      <c r="B45" s="59" t="s">
        <v>1127</v>
      </c>
      <c r="C45" s="59" t="s">
        <v>1108</v>
      </c>
      <c r="D45" s="59"/>
      <c r="E45" s="59">
        <v>2000</v>
      </c>
      <c r="F45" s="59" t="s">
        <v>675</v>
      </c>
      <c r="G45" s="59">
        <v>232.7</v>
      </c>
      <c r="H45" s="59">
        <f t="shared" si="4"/>
        <v>5.914974034351558</v>
      </c>
      <c r="I45" s="59" t="s">
        <v>1092</v>
      </c>
      <c r="J45" s="431">
        <f t="shared" si="5"/>
        <v>1376.4144577936074</v>
      </c>
    </row>
    <row r="46" spans="1:10" x14ac:dyDescent="0.25">
      <c r="A46" s="58"/>
      <c r="B46" s="59" t="s">
        <v>1128</v>
      </c>
      <c r="C46" s="59" t="s">
        <v>1108</v>
      </c>
      <c r="D46" s="59"/>
      <c r="E46" s="59">
        <v>2000</v>
      </c>
      <c r="F46" s="59" t="s">
        <v>675</v>
      </c>
      <c r="G46" s="59">
        <v>292.32</v>
      </c>
      <c r="H46" s="59">
        <f t="shared" si="4"/>
        <v>5.914974034351558</v>
      </c>
      <c r="I46" s="59" t="s">
        <v>1092</v>
      </c>
      <c r="J46" s="431">
        <f t="shared" si="5"/>
        <v>1729.0652097216473</v>
      </c>
    </row>
    <row r="47" spans="1:10" x14ac:dyDescent="0.25">
      <c r="A47" s="58"/>
      <c r="B47" s="59" t="s">
        <v>1129</v>
      </c>
      <c r="C47" s="59" t="s">
        <v>1108</v>
      </c>
      <c r="D47" s="59"/>
      <c r="E47" s="59">
        <v>2000</v>
      </c>
      <c r="F47" s="59" t="s">
        <v>675</v>
      </c>
      <c r="G47" s="59">
        <v>347.59</v>
      </c>
      <c r="H47" s="59">
        <f t="shared" si="4"/>
        <v>5.914974034351558</v>
      </c>
      <c r="I47" s="59" t="s">
        <v>1092</v>
      </c>
      <c r="J47" s="431">
        <f t="shared" si="5"/>
        <v>2055.9858246002577</v>
      </c>
    </row>
    <row r="48" spans="1:10" x14ac:dyDescent="0.25">
      <c r="A48" s="58"/>
      <c r="B48" s="59" t="s">
        <v>1130</v>
      </c>
      <c r="C48" s="59" t="s">
        <v>1108</v>
      </c>
      <c r="D48" s="59"/>
      <c r="E48" s="59">
        <v>2000</v>
      </c>
      <c r="F48" s="59" t="s">
        <v>675</v>
      </c>
      <c r="G48" s="59">
        <v>257.24</v>
      </c>
      <c r="H48" s="59">
        <f t="shared" si="4"/>
        <v>5.914974034351558</v>
      </c>
      <c r="I48" s="59" t="s">
        <v>1092</v>
      </c>
      <c r="J48" s="431">
        <f t="shared" si="5"/>
        <v>1521.5679205965948</v>
      </c>
    </row>
    <row r="49" spans="1:10" x14ac:dyDescent="0.25">
      <c r="A49" s="58" t="s">
        <v>1131</v>
      </c>
      <c r="B49" s="59" t="s">
        <v>1132</v>
      </c>
      <c r="C49" s="59" t="s">
        <v>1105</v>
      </c>
      <c r="D49" s="59" t="s">
        <v>1091</v>
      </c>
      <c r="E49" s="59"/>
      <c r="F49" s="59"/>
      <c r="G49" s="59"/>
      <c r="H49" s="59"/>
      <c r="I49" s="59">
        <v>325</v>
      </c>
      <c r="J49" s="431">
        <f>I49*($J$9+$J$10)/100</f>
        <v>7208.8746043659621</v>
      </c>
    </row>
    <row r="50" spans="1:10" x14ac:dyDescent="0.25">
      <c r="A50" s="58" t="s">
        <v>8</v>
      </c>
      <c r="B50" s="59" t="s">
        <v>764</v>
      </c>
      <c r="C50" s="59" t="s">
        <v>1105</v>
      </c>
      <c r="D50" s="59" t="s">
        <v>1093</v>
      </c>
      <c r="E50" s="59"/>
      <c r="F50" s="59"/>
      <c r="G50" s="59"/>
      <c r="H50" s="59"/>
      <c r="I50" s="59">
        <v>45</v>
      </c>
      <c r="J50" s="431">
        <f>I50*($J$9+$J$10)/100</f>
        <v>998.15186829682557</v>
      </c>
    </row>
    <row r="51" spans="1:10" x14ac:dyDescent="0.25">
      <c r="A51" s="58" t="s">
        <v>8</v>
      </c>
      <c r="B51" s="59" t="s">
        <v>1133</v>
      </c>
      <c r="C51" s="59" t="s">
        <v>1105</v>
      </c>
      <c r="D51" s="59" t="s">
        <v>1093</v>
      </c>
      <c r="E51" s="59"/>
      <c r="F51" s="59"/>
      <c r="G51" s="59"/>
      <c r="H51" s="59"/>
      <c r="I51" s="59">
        <v>41</v>
      </c>
      <c r="J51" s="431">
        <f>I51*($J$9+$J$10)/100</f>
        <v>909.42725778155216</v>
      </c>
    </row>
    <row r="52" spans="1:10" x14ac:dyDescent="0.25">
      <c r="A52" s="58" t="s">
        <v>8</v>
      </c>
      <c r="B52" s="59" t="s">
        <v>1134</v>
      </c>
      <c r="C52" s="59" t="s">
        <v>1108</v>
      </c>
      <c r="D52" s="59"/>
      <c r="E52" s="59">
        <v>2000</v>
      </c>
      <c r="F52" s="59" t="s">
        <v>675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1092</v>
      </c>
      <c r="J52" s="431">
        <f>G52*H52</f>
        <v>1027.3126902861786</v>
      </c>
    </row>
    <row r="53" spans="1:10" x14ac:dyDescent="0.25">
      <c r="A53" s="58"/>
      <c r="B53" s="59" t="s">
        <v>1135</v>
      </c>
      <c r="C53" s="59" t="s">
        <v>1108</v>
      </c>
      <c r="D53" s="59"/>
      <c r="E53" s="59">
        <v>2000</v>
      </c>
      <c r="F53" s="59" t="s">
        <v>675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1092</v>
      </c>
      <c r="J53" s="431">
        <f>G53*H53</f>
        <v>1467.2684589612475</v>
      </c>
    </row>
    <row r="54" spans="1:10" x14ac:dyDescent="0.25">
      <c r="A54" s="58"/>
      <c r="B54" s="59" t="s">
        <v>1136</v>
      </c>
      <c r="C54" s="59" t="s">
        <v>1104</v>
      </c>
      <c r="D54" s="59"/>
      <c r="E54" s="59"/>
      <c r="F54" s="59"/>
      <c r="G54" s="59"/>
      <c r="H54" s="59"/>
      <c r="I54" s="59"/>
      <c r="J54" s="431">
        <f>$J$14+$J$16</f>
        <v>1052.8653781145774</v>
      </c>
    </row>
    <row r="55" spans="1:10" x14ac:dyDescent="0.25">
      <c r="A55" s="58"/>
      <c r="B55" s="59" t="s">
        <v>1137</v>
      </c>
      <c r="C55" s="59" t="s">
        <v>1104</v>
      </c>
      <c r="D55" s="59"/>
      <c r="E55" s="59"/>
      <c r="F55" s="59"/>
      <c r="G55" s="59"/>
      <c r="H55" s="59"/>
      <c r="I55" s="59"/>
      <c r="J55" s="431">
        <f>$J$13+$J$16</f>
        <v>1194.8247549390148</v>
      </c>
    </row>
    <row r="56" spans="1:10" x14ac:dyDescent="0.25">
      <c r="A56" s="58" t="s">
        <v>7</v>
      </c>
      <c r="B56" s="59" t="s">
        <v>1138</v>
      </c>
      <c r="C56" s="59" t="s">
        <v>1104</v>
      </c>
      <c r="D56" s="59"/>
      <c r="E56" s="59"/>
      <c r="F56" s="59"/>
      <c r="G56" s="59"/>
      <c r="H56" s="59"/>
      <c r="I56" s="59"/>
      <c r="J56" s="431">
        <f>$J$19+$J$10</f>
        <v>2533.9127656270111</v>
      </c>
    </row>
    <row r="57" spans="1:10" x14ac:dyDescent="0.25">
      <c r="A57" s="58" t="s">
        <v>7</v>
      </c>
      <c r="B57" s="59" t="s">
        <v>1139</v>
      </c>
      <c r="C57" s="59" t="s">
        <v>1105</v>
      </c>
      <c r="D57" s="59" t="s">
        <v>1106</v>
      </c>
      <c r="E57" s="59"/>
      <c r="F57" s="59"/>
      <c r="G57" s="59"/>
      <c r="H57" s="59"/>
      <c r="I57" s="59">
        <v>105</v>
      </c>
      <c r="J57" s="431">
        <f>I57*($J$9+$J$10)/100</f>
        <v>2329.0210260259259</v>
      </c>
    </row>
    <row r="58" spans="1:10" x14ac:dyDescent="0.25">
      <c r="A58" s="58"/>
      <c r="B58" s="59" t="s">
        <v>1140</v>
      </c>
      <c r="C58" s="59" t="s">
        <v>1108</v>
      </c>
      <c r="D58" s="59"/>
      <c r="E58" s="59">
        <v>2000</v>
      </c>
      <c r="F58" s="59" t="s">
        <v>675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1092</v>
      </c>
      <c r="J58" s="431">
        <f t="shared" ref="J58:J63" si="7">G58*H58</f>
        <v>1441.1242737294135</v>
      </c>
    </row>
    <row r="59" spans="1:10" x14ac:dyDescent="0.25">
      <c r="A59" s="58"/>
      <c r="B59" s="59" t="s">
        <v>1141</v>
      </c>
      <c r="C59" s="59" t="s">
        <v>1108</v>
      </c>
      <c r="D59" s="59"/>
      <c r="E59" s="59">
        <v>2000</v>
      </c>
      <c r="F59" s="59" t="s">
        <v>675</v>
      </c>
      <c r="G59" s="59">
        <v>198.05</v>
      </c>
      <c r="H59" s="59">
        <f t="shared" si="6"/>
        <v>5.914974034351558</v>
      </c>
      <c r="I59" s="59" t="s">
        <v>1092</v>
      </c>
      <c r="J59" s="431">
        <f t="shared" si="7"/>
        <v>1171.4606075033262</v>
      </c>
    </row>
    <row r="60" spans="1:10" x14ac:dyDescent="0.25">
      <c r="A60" s="58"/>
      <c r="B60" s="59" t="s">
        <v>1142</v>
      </c>
      <c r="C60" s="59" t="s">
        <v>1108</v>
      </c>
      <c r="D60" s="59"/>
      <c r="E60" s="59">
        <v>2000</v>
      </c>
      <c r="F60" s="59" t="s">
        <v>675</v>
      </c>
      <c r="G60" s="59">
        <v>243.63</v>
      </c>
      <c r="H60" s="59">
        <f t="shared" si="6"/>
        <v>5.914974034351558</v>
      </c>
      <c r="I60" s="59" t="s">
        <v>1092</v>
      </c>
      <c r="J60" s="431">
        <f t="shared" si="7"/>
        <v>1441.0651239890701</v>
      </c>
    </row>
    <row r="61" spans="1:10" x14ac:dyDescent="0.25">
      <c r="A61" s="58"/>
      <c r="B61" s="59" t="s">
        <v>1143</v>
      </c>
      <c r="C61" s="59" t="s">
        <v>1108</v>
      </c>
      <c r="D61" s="59"/>
      <c r="E61" s="59">
        <v>2000</v>
      </c>
      <c r="F61" s="59" t="s">
        <v>675</v>
      </c>
      <c r="G61" s="59">
        <v>196.48</v>
      </c>
      <c r="H61" s="59">
        <f t="shared" si="6"/>
        <v>5.914974034351558</v>
      </c>
      <c r="I61" s="59" t="s">
        <v>1092</v>
      </c>
      <c r="J61" s="431">
        <f t="shared" si="7"/>
        <v>1162.1740982693941</v>
      </c>
    </row>
    <row r="62" spans="1:10" x14ac:dyDescent="0.25">
      <c r="A62" s="58"/>
      <c r="B62" s="59" t="s">
        <v>1144</v>
      </c>
      <c r="C62" s="59" t="s">
        <v>1108</v>
      </c>
      <c r="D62" s="59"/>
      <c r="E62" s="59">
        <v>2000</v>
      </c>
      <c r="F62" s="59" t="s">
        <v>675</v>
      </c>
      <c r="G62" s="59">
        <v>187.71</v>
      </c>
      <c r="H62" s="59">
        <f t="shared" si="6"/>
        <v>5.914974034351558</v>
      </c>
      <c r="I62" s="59" t="s">
        <v>1092</v>
      </c>
      <c r="J62" s="431">
        <f t="shared" si="7"/>
        <v>1110.2997759881309</v>
      </c>
    </row>
    <row r="63" spans="1:10" x14ac:dyDescent="0.25">
      <c r="A63" s="58" t="s">
        <v>8</v>
      </c>
      <c r="B63" s="59" t="s">
        <v>1145</v>
      </c>
      <c r="C63" s="59" t="s">
        <v>1108</v>
      </c>
      <c r="D63" s="59"/>
      <c r="E63" s="59">
        <v>2000</v>
      </c>
      <c r="F63" s="59" t="s">
        <v>675</v>
      </c>
      <c r="G63" s="59">
        <v>344.39</v>
      </c>
      <c r="H63" s="59">
        <f t="shared" si="6"/>
        <v>5.914974034351558</v>
      </c>
      <c r="I63" s="59" t="s">
        <v>1092</v>
      </c>
      <c r="J63" s="431">
        <f t="shared" si="7"/>
        <v>2037.057907690333</v>
      </c>
    </row>
    <row r="64" spans="1:10" x14ac:dyDescent="0.25">
      <c r="I64" s="88"/>
    </row>
    <row r="65" spans="1:4" x14ac:dyDescent="0.25">
      <c r="A65" s="37" t="s">
        <v>1146</v>
      </c>
    </row>
    <row r="66" spans="1:4" x14ac:dyDescent="0.25">
      <c r="A66" s="37" t="s">
        <v>1147</v>
      </c>
    </row>
    <row r="67" spans="1:4" x14ac:dyDescent="0.25">
      <c r="A67" s="37" t="s">
        <v>1148</v>
      </c>
    </row>
    <row r="70" spans="1:4" x14ac:dyDescent="0.25">
      <c r="B70" s="532" t="s">
        <v>761</v>
      </c>
      <c r="C70" s="533" t="s">
        <v>762</v>
      </c>
    </row>
    <row r="71" spans="1:4" x14ac:dyDescent="0.25">
      <c r="B71" s="70"/>
      <c r="C71" s="437" t="s">
        <v>763</v>
      </c>
    </row>
    <row r="72" spans="1:4" x14ac:dyDescent="0.25">
      <c r="B72" s="58" t="s">
        <v>8</v>
      </c>
      <c r="C72" s="431">
        <f t="array" ref="C72">AVERAGE(IF($A$23:$A$63=B72,$J$23:$J$63))</f>
        <v>1384.2074360838658</v>
      </c>
    </row>
    <row r="73" spans="1:4" x14ac:dyDescent="0.25">
      <c r="B73" s="58" t="s">
        <v>9</v>
      </c>
      <c r="C73" s="431">
        <f t="array" ref="C73">AVERAGE(IF($A$23:$A$63=B73,$J$23:$J$63))</f>
        <v>1878.2763447122002</v>
      </c>
      <c r="D73" s="21" t="s">
        <v>1149</v>
      </c>
    </row>
    <row r="74" spans="1:4" x14ac:dyDescent="0.25">
      <c r="B74" s="58" t="s">
        <v>7</v>
      </c>
      <c r="C74" s="431">
        <f t="array" ref="C74">AVERAGE(IF($A$23:$A$63=B74,$J$23:$J$63))</f>
        <v>2261.1181094751337</v>
      </c>
    </row>
    <row r="75" spans="1:4" x14ac:dyDescent="0.25">
      <c r="B75" s="58" t="s">
        <v>9</v>
      </c>
      <c r="C75" s="431">
        <f>C73*1.2</f>
        <v>2253.9316136546399</v>
      </c>
      <c r="D75" s="21" t="s">
        <v>1150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506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507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130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138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508</v>
      </c>
      <c r="M2" t="s">
        <v>508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659</v>
      </c>
    </row>
    <row r="5" spans="3:25" x14ac:dyDescent="0.25">
      <c r="C5" s="4" t="s">
        <v>401</v>
      </c>
      <c r="D5">
        <v>2.33</v>
      </c>
      <c r="E5">
        <v>2.34</v>
      </c>
      <c r="F5">
        <v>2.3199999999999998</v>
      </c>
      <c r="G5" t="s">
        <v>405</v>
      </c>
      <c r="I5" s="5"/>
      <c r="M5" s="6" t="s">
        <v>427</v>
      </c>
      <c r="V5" s="5"/>
      <c r="Y5" s="118" t="s">
        <v>660</v>
      </c>
    </row>
    <row r="6" spans="3:25" x14ac:dyDescent="0.25">
      <c r="C6" s="4" t="s">
        <v>401</v>
      </c>
      <c r="D6">
        <v>2.91</v>
      </c>
      <c r="E6">
        <v>3.01</v>
      </c>
      <c r="F6">
        <v>3</v>
      </c>
      <c r="G6" t="s">
        <v>403</v>
      </c>
      <c r="I6" s="5"/>
      <c r="M6" s="4"/>
      <c r="O6" t="s">
        <v>962</v>
      </c>
      <c r="V6" s="5"/>
    </row>
    <row r="7" spans="3:25" x14ac:dyDescent="0.25">
      <c r="C7" s="4" t="s">
        <v>402</v>
      </c>
      <c r="D7">
        <v>14.84</v>
      </c>
      <c r="E7">
        <v>14.71</v>
      </c>
      <c r="F7">
        <v>14.3</v>
      </c>
      <c r="G7" t="s">
        <v>408</v>
      </c>
      <c r="I7" s="5"/>
      <c r="M7" s="4" t="s">
        <v>963</v>
      </c>
      <c r="O7">
        <v>4493</v>
      </c>
      <c r="Q7" t="s">
        <v>964</v>
      </c>
      <c r="V7" s="5"/>
    </row>
    <row r="8" spans="3:25" x14ac:dyDescent="0.25">
      <c r="C8" s="4"/>
      <c r="I8" s="5"/>
      <c r="M8" s="4"/>
      <c r="O8" t="s">
        <v>426</v>
      </c>
      <c r="V8" s="5"/>
    </row>
    <row r="9" spans="3:25" x14ac:dyDescent="0.25">
      <c r="C9" s="4" t="s">
        <v>407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404</v>
      </c>
      <c r="I9" s="5"/>
      <c r="M9" s="4" t="s">
        <v>965</v>
      </c>
      <c r="O9">
        <v>3098</v>
      </c>
      <c r="P9" t="s">
        <v>966</v>
      </c>
      <c r="Q9" t="s">
        <v>967</v>
      </c>
      <c r="V9" s="5"/>
    </row>
    <row r="10" spans="3:25" x14ac:dyDescent="0.25">
      <c r="C10" s="4"/>
      <c r="D10" s="268"/>
      <c r="E10" s="268"/>
      <c r="F10" s="268"/>
      <c r="I10" s="5"/>
      <c r="M10" s="4" t="s">
        <v>968</v>
      </c>
      <c r="O10">
        <v>1393</v>
      </c>
      <c r="P10" t="s">
        <v>966</v>
      </c>
      <c r="Q10" t="s">
        <v>967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406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969</v>
      </c>
      <c r="N13" s="18"/>
      <c r="O13" s="483">
        <f>O7*1000000/(O9*1000)</f>
        <v>1450.2905100064559</v>
      </c>
      <c r="P13" s="18" t="s">
        <v>970</v>
      </c>
      <c r="Q13" s="18" t="s">
        <v>971</v>
      </c>
      <c r="V13" s="5"/>
    </row>
    <row r="14" spans="3:25" x14ac:dyDescent="0.25">
      <c r="M14" s="4"/>
      <c r="V14" s="5"/>
    </row>
    <row r="15" spans="3:25" x14ac:dyDescent="0.25">
      <c r="C15" t="s">
        <v>509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511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510</v>
      </c>
      <c r="I18" s="5"/>
      <c r="M18" s="4" t="s">
        <v>972</v>
      </c>
      <c r="V18" s="5"/>
    </row>
    <row r="19" spans="3:22" x14ac:dyDescent="0.25">
      <c r="C19" s="4">
        <v>2016</v>
      </c>
      <c r="D19" s="361">
        <v>6544</v>
      </c>
      <c r="E19" t="s">
        <v>510</v>
      </c>
      <c r="I19" s="5"/>
      <c r="M19" s="4"/>
      <c r="V19" s="5"/>
    </row>
    <row r="20" spans="3:22" x14ac:dyDescent="0.25">
      <c r="C20" s="4"/>
      <c r="I20" s="5"/>
      <c r="M20" s="4" t="s">
        <v>973</v>
      </c>
      <c r="P20">
        <v>16</v>
      </c>
      <c r="V20" s="5"/>
    </row>
    <row r="21" spans="3:22" x14ac:dyDescent="0.25">
      <c r="C21" s="4"/>
      <c r="I21" s="5"/>
      <c r="M21" s="117"/>
      <c r="N21" s="117" t="s">
        <v>970</v>
      </c>
      <c r="P21" t="s">
        <v>974</v>
      </c>
      <c r="V21" s="5"/>
    </row>
    <row r="22" spans="3:22" x14ac:dyDescent="0.25">
      <c r="C22" s="4" t="s">
        <v>512</v>
      </c>
      <c r="I22" s="5"/>
      <c r="M22" s="117" t="s">
        <v>975</v>
      </c>
      <c r="N22" s="469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513</v>
      </c>
      <c r="I23" s="5"/>
      <c r="M23" s="117" t="s">
        <v>136</v>
      </c>
      <c r="N23" s="469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514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742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739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740</v>
      </c>
    </row>
    <row r="38" spans="3:17" x14ac:dyDescent="0.25">
      <c r="C38" s="4"/>
      <c r="I38" t="s">
        <v>743</v>
      </c>
      <c r="M38" s="5"/>
      <c r="P38">
        <v>1.4</v>
      </c>
      <c r="Q38" t="s">
        <v>741</v>
      </c>
    </row>
    <row r="39" spans="3:17" x14ac:dyDescent="0.25">
      <c r="C39" s="4"/>
      <c r="I39" t="s">
        <v>744</v>
      </c>
      <c r="M39" s="5"/>
    </row>
    <row r="40" spans="3:17" x14ac:dyDescent="0.25">
      <c r="C40" s="4"/>
      <c r="I40" t="s">
        <v>745</v>
      </c>
      <c r="M40" s="5"/>
    </row>
    <row r="41" spans="3:17" x14ac:dyDescent="0.25">
      <c r="C41" s="4"/>
      <c r="I41" t="s">
        <v>746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1057</v>
      </c>
    </row>
    <row r="79" spans="3:13" x14ac:dyDescent="0.25">
      <c r="D79" t="s">
        <v>657</v>
      </c>
    </row>
    <row r="94" spans="21:23" x14ac:dyDescent="0.25">
      <c r="V94" t="s">
        <v>661</v>
      </c>
    </row>
    <row r="95" spans="21:23" x14ac:dyDescent="0.25">
      <c r="U95" t="s">
        <v>333</v>
      </c>
      <c r="V95">
        <v>1072</v>
      </c>
      <c r="W95" t="s">
        <v>426</v>
      </c>
    </row>
    <row r="96" spans="21:23" x14ac:dyDescent="0.25">
      <c r="U96" t="s">
        <v>662</v>
      </c>
      <c r="V96">
        <v>1406</v>
      </c>
    </row>
    <row r="124" spans="3:3" x14ac:dyDescent="0.25">
      <c r="C124" t="s">
        <v>658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41" t="s">
        <v>224</v>
      </c>
      <c r="B5" s="644" t="s">
        <v>225</v>
      </c>
      <c r="C5" s="633"/>
      <c r="D5" s="633"/>
      <c r="E5" s="634"/>
      <c r="F5" s="635" t="s">
        <v>226</v>
      </c>
      <c r="G5" s="633"/>
      <c r="H5" s="634"/>
      <c r="I5" s="633" t="s">
        <v>227</v>
      </c>
      <c r="J5" s="633"/>
      <c r="K5" s="633"/>
      <c r="L5" s="633"/>
      <c r="M5" s="633"/>
      <c r="N5" s="633"/>
      <c r="O5" s="633"/>
      <c r="P5" s="634"/>
      <c r="Q5" s="635" t="s">
        <v>228</v>
      </c>
      <c r="R5" s="633"/>
      <c r="S5" s="633"/>
      <c r="T5" s="633"/>
      <c r="U5" s="633"/>
      <c r="V5" s="633"/>
      <c r="W5" s="633"/>
      <c r="X5" s="634"/>
      <c r="Y5" s="633" t="s">
        <v>229</v>
      </c>
      <c r="Z5" s="633"/>
      <c r="AA5" s="633"/>
      <c r="AB5" s="636"/>
      <c r="AC5" s="644" t="s">
        <v>230</v>
      </c>
      <c r="AD5" s="633"/>
      <c r="AE5" s="633"/>
      <c r="AF5" s="633"/>
      <c r="AG5" s="137"/>
      <c r="AH5" s="137"/>
      <c r="AI5" s="138" t="s">
        <v>231</v>
      </c>
      <c r="AJ5" s="636" t="s">
        <v>232</v>
      </c>
      <c r="AK5" s="646"/>
      <c r="AL5" s="646"/>
      <c r="AM5" s="646"/>
      <c r="AN5" s="646"/>
      <c r="AO5" s="646"/>
      <c r="AP5" s="646"/>
      <c r="AQ5" s="646"/>
      <c r="AR5" s="646"/>
      <c r="AS5" s="646"/>
      <c r="AT5" s="640"/>
    </row>
    <row r="6" spans="1:46" s="151" customFormat="1" ht="26.25" customHeight="1" x14ac:dyDescent="0.2">
      <c r="A6" s="642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47" t="s">
        <v>247</v>
      </c>
      <c r="AD6" s="648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43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37" t="s">
        <v>224</v>
      </c>
      <c r="B21" s="639" t="s">
        <v>275</v>
      </c>
      <c r="C21" s="640"/>
      <c r="D21" s="635" t="s">
        <v>276</v>
      </c>
      <c r="E21" s="633"/>
      <c r="F21" s="634"/>
      <c r="G21" s="635" t="s">
        <v>277</v>
      </c>
      <c r="H21" s="634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38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38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45"/>
      <c r="T26" s="645"/>
      <c r="U26" s="645"/>
      <c r="V26" s="645"/>
      <c r="W26" s="645"/>
      <c r="X26" s="64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600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600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516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516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49" t="s">
        <v>200</v>
      </c>
      <c r="F40" s="649"/>
      <c r="G40" s="649"/>
      <c r="H40" s="649"/>
      <c r="I40" s="649"/>
      <c r="J40" s="649"/>
      <c r="K40" s="649"/>
      <c r="L40" s="15"/>
      <c r="M40" s="649" t="s">
        <v>201</v>
      </c>
      <c r="N40" s="649"/>
      <c r="O40" s="650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51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51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346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382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383</v>
      </c>
      <c r="G55" t="s">
        <v>384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411</v>
      </c>
    </row>
    <row r="60" spans="2:21" x14ac:dyDescent="0.25">
      <c r="C60" t="s">
        <v>13</v>
      </c>
      <c r="D60" s="336">
        <f>E42/O47</f>
        <v>0.54441454869243722</v>
      </c>
      <c r="E60" t="s">
        <v>412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412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434</v>
      </c>
    </row>
    <row r="69" spans="1:14" x14ac:dyDescent="0.25">
      <c r="B69" s="18" t="s">
        <v>441</v>
      </c>
    </row>
    <row r="70" spans="1:14" x14ac:dyDescent="0.25">
      <c r="B70" t="s">
        <v>443</v>
      </c>
    </row>
    <row r="72" spans="1:14" x14ac:dyDescent="0.25">
      <c r="B72" s="285">
        <v>0.26</v>
      </c>
      <c r="C72" t="s">
        <v>435</v>
      </c>
    </row>
    <row r="73" spans="1:14" x14ac:dyDescent="0.25">
      <c r="B73">
        <v>1.5</v>
      </c>
      <c r="C73" t="s">
        <v>438</v>
      </c>
      <c r="H73">
        <v>12.3</v>
      </c>
      <c r="I73" t="s">
        <v>437</v>
      </c>
    </row>
    <row r="74" spans="1:14" x14ac:dyDescent="0.25">
      <c r="B74">
        <v>949570</v>
      </c>
      <c r="C74" t="s">
        <v>436</v>
      </c>
    </row>
    <row r="75" spans="1:14" x14ac:dyDescent="0.25">
      <c r="A75" t="s">
        <v>442</v>
      </c>
    </row>
    <row r="76" spans="1:14" x14ac:dyDescent="0.25">
      <c r="B76">
        <f>B73*B74</f>
        <v>1424355</v>
      </c>
      <c r="C76" t="s">
        <v>591</v>
      </c>
    </row>
    <row r="77" spans="1:14" x14ac:dyDescent="0.25">
      <c r="B77" s="119">
        <f>B76/B72</f>
        <v>5478288.461538461</v>
      </c>
      <c r="C77" t="s">
        <v>440</v>
      </c>
    </row>
    <row r="79" spans="1:14" x14ac:dyDescent="0.25">
      <c r="B79" s="321">
        <f>B77*H73/1000</f>
        <v>67382.948076923072</v>
      </c>
      <c r="C79" t="s">
        <v>439</v>
      </c>
    </row>
    <row r="81" spans="2:3" x14ac:dyDescent="0.25">
      <c r="B81" s="321">
        <f>B79*3.6/1000</f>
        <v>242.57861307692306</v>
      </c>
      <c r="C81" t="s">
        <v>328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343</v>
      </c>
    </row>
    <row r="3" spans="2:9" x14ac:dyDescent="0.25">
      <c r="B3" t="s">
        <v>344</v>
      </c>
    </row>
    <row r="6" spans="2:9" x14ac:dyDescent="0.25">
      <c r="B6" t="s">
        <v>590</v>
      </c>
    </row>
    <row r="7" spans="2:9" x14ac:dyDescent="0.25">
      <c r="B7" t="s">
        <v>345</v>
      </c>
    </row>
    <row r="8" spans="2:9" x14ac:dyDescent="0.25">
      <c r="E8" t="s">
        <v>332</v>
      </c>
    </row>
    <row r="9" spans="2:9" x14ac:dyDescent="0.25">
      <c r="C9" s="18" t="s">
        <v>329</v>
      </c>
    </row>
    <row r="10" spans="2:9" x14ac:dyDescent="0.25">
      <c r="C10" t="s">
        <v>330</v>
      </c>
      <c r="D10">
        <v>1600</v>
      </c>
      <c r="E10" t="s">
        <v>331</v>
      </c>
      <c r="I10" t="s">
        <v>502</v>
      </c>
    </row>
    <row r="11" spans="2:9" x14ac:dyDescent="0.25">
      <c r="C11" t="s">
        <v>333</v>
      </c>
      <c r="D11">
        <v>275</v>
      </c>
      <c r="E11" t="s">
        <v>334</v>
      </c>
      <c r="H11">
        <v>30</v>
      </c>
      <c r="I11">
        <f>H11*D11/1000</f>
        <v>8.25</v>
      </c>
    </row>
    <row r="12" spans="2:9" x14ac:dyDescent="0.25">
      <c r="C12" t="s">
        <v>335</v>
      </c>
      <c r="D12">
        <v>205</v>
      </c>
      <c r="E12" t="s">
        <v>334</v>
      </c>
      <c r="H12">
        <v>24</v>
      </c>
      <c r="I12">
        <f>H12*D12/1000</f>
        <v>4.92</v>
      </c>
    </row>
    <row r="13" spans="2:9" x14ac:dyDescent="0.25">
      <c r="C13" t="s">
        <v>336</v>
      </c>
      <c r="D13">
        <v>1000</v>
      </c>
      <c r="E13" t="s">
        <v>337</v>
      </c>
    </row>
    <row r="15" spans="2:9" x14ac:dyDescent="0.25">
      <c r="C15" s="18" t="s">
        <v>338</v>
      </c>
    </row>
    <row r="16" spans="2:9" x14ac:dyDescent="0.25">
      <c r="C16" t="s">
        <v>339</v>
      </c>
      <c r="D16">
        <v>12000</v>
      </c>
      <c r="E16" t="s">
        <v>340</v>
      </c>
    </row>
    <row r="17" spans="3:5" x14ac:dyDescent="0.25">
      <c r="C17" t="s">
        <v>341</v>
      </c>
      <c r="D17">
        <v>320</v>
      </c>
      <c r="E17" t="s">
        <v>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589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350</v>
      </c>
    </row>
    <row r="26" spans="2:3" x14ac:dyDescent="0.25">
      <c r="B26">
        <v>1915</v>
      </c>
      <c r="C26" t="s">
        <v>348</v>
      </c>
    </row>
    <row r="27" spans="2:3" x14ac:dyDescent="0.25">
      <c r="B27">
        <v>478</v>
      </c>
      <c r="C27" t="s">
        <v>349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Log</vt:lpstr>
      <vt:lpstr>PAMS and scenarios</vt:lpstr>
      <vt:lpstr>HDRI scenarios</vt:lpstr>
      <vt:lpstr>H-DRI literature and calcs</vt:lpstr>
      <vt:lpstr>Summary Hydrogen DRI old</vt:lpstr>
      <vt:lpstr>Iron and Steel input</vt:lpstr>
      <vt:lpstr>Energy Calibration</vt:lpstr>
      <vt:lpstr>Energy and Emissions</vt:lpstr>
      <vt:lpstr>Capacity &amp; Production</vt:lpstr>
      <vt:lpstr>Coke</vt:lpstr>
      <vt:lpstr>Scrap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2023-09-19T11:27:03Z</dcterms:modified>
</cp:coreProperties>
</file>