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F1CCBFCD-9832-4B51-BEA7-72A67B457255}" xr6:coauthVersionLast="47" xr6:coauthVersionMax="47" xr10:uidLastSave="{00000000-0000-0000-0000-000000000000}"/>
  <bookViews>
    <workbookView xWindow="-120" yWindow="-120" windowWidth="38640" windowHeight="21240" tabRatio="818" firstSheet="1" activeTab="3" xr2:uid="{00000000-000D-0000-FFFF-FFFF00000000}"/>
  </bookViews>
  <sheets>
    <sheet name="About and Log" sheetId="64" r:id="rId1"/>
    <sheet name="SEC_Comm" sheetId="67" r:id="rId2"/>
    <sheet name="SEC_Processes" sheetId="68" r:id="rId3"/>
    <sheet name="Process Input" sheetId="56" r:id="rId4"/>
    <sheet name="Index" sheetId="60" r:id="rId5"/>
    <sheet name="RES_Cr" sheetId="52" r:id="rId6"/>
    <sheet name="RES_Mn" sheetId="66" r:id="rId7"/>
    <sheet name="EB_Exist" sheetId="27" r:id="rId8"/>
    <sheet name="ANSv2-692-REGIONS" sheetId="18" state="veryHidden" r:id="rId9"/>
    <sheet name="ANSv2-692-Commodities" sheetId="19" state="veryHidden" r:id="rId10"/>
    <sheet name="Commodities_BASE" sheetId="29" r:id="rId11"/>
    <sheet name="ANSv2-692-Processes" sheetId="20" state="veryHidden" r:id="rId12"/>
    <sheet name="ANSv2-692-Constraints" sheetId="23" state="veryHidden" r:id="rId13"/>
    <sheet name="ANSv2-692-CommData" sheetId="21" state="veryHidden" r:id="rId14"/>
    <sheet name="CommData_BASE" sheetId="30" r:id="rId15"/>
    <sheet name="Processes_BASE" sheetId="31" r:id="rId16"/>
    <sheet name="ANSv2-692-ProcData" sheetId="25" state="veryHidden" r:id="rId17"/>
    <sheet name="ProcData_F_Mn_Cr - PAMS" sheetId="61" r:id="rId18"/>
    <sheet name="NetZero work" sheetId="62" r:id="rId19"/>
    <sheet name="Chrome methodology" sheetId="70" r:id="rId20"/>
    <sheet name="Sheet1" sheetId="69" r:id="rId21"/>
    <sheet name="Production and Capacity" sheetId="63" r:id="rId22"/>
    <sheet name="RES of chrome industry with EE" sheetId="65" r:id="rId23"/>
    <sheet name="ANSv2-692-ConstrData" sheetId="24" state="veryHidden" r:id="rId24"/>
    <sheet name="ANSv2-692-ITEMS" sheetId="10" state="veryHidden" r:id="rId25"/>
    <sheet name="ANSv2-692-TS DATA" sheetId="12" state="veryHidden" r:id="rId26"/>
    <sheet name="ANSv2-692-TID DATA" sheetId="13" state="veryHidden" r:id="rId27"/>
    <sheet name="ANSv2-692-TS&amp;TID DATA" sheetId="14" state="veryHidden" r:id="rId28"/>
    <sheet name="ANSv2-692-TS TRADE" sheetId="15" state="veryHidden" r:id="rId29"/>
    <sheet name="ANSv2-692-TID TRADE" sheetId="16" state="veryHidden" r:id="rId30"/>
    <sheet name="ANSv2-692-TS&amp;TID TRADE" sheetId="17" state="veryHidden" r:id="rId31"/>
  </sheets>
  <definedNames>
    <definedName name="FA_PAMS_index">Index!$J$5</definedName>
    <definedName name="FID_1">#REF!</definedName>
    <definedName name="LOCAL_MYSQL_DATE_FORMAT" localSheetId="1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2" l="1"/>
  <c r="J2" i="52"/>
  <c r="K59" i="70" l="1"/>
  <c r="G59" i="70"/>
  <c r="H59" i="70" s="1"/>
  <c r="I59" i="70" s="1"/>
  <c r="J59" i="70" s="1"/>
  <c r="F59" i="70"/>
  <c r="D46" i="70"/>
  <c r="E59" i="70"/>
  <c r="C59" i="70"/>
  <c r="E320" i="70"/>
  <c r="E321" i="70" s="1"/>
  <c r="T161" i="70"/>
  <c r="R157" i="70" s="1"/>
  <c r="R156" i="70"/>
  <c r="R155" i="70"/>
  <c r="N152" i="70"/>
  <c r="N151" i="70"/>
  <c r="D150" i="70"/>
  <c r="J124" i="70"/>
  <c r="F103" i="70"/>
  <c r="F105" i="70" s="1"/>
  <c r="H96" i="70"/>
  <c r="D95" i="70"/>
  <c r="D106" i="70" s="1"/>
  <c r="D94" i="70"/>
  <c r="D105" i="70" s="1"/>
  <c r="I93" i="70"/>
  <c r="D93" i="70"/>
  <c r="D104" i="70" s="1"/>
  <c r="D92" i="70"/>
  <c r="D103" i="70" s="1"/>
  <c r="D91" i="70"/>
  <c r="D102" i="70" s="1"/>
  <c r="D90" i="70"/>
  <c r="D101" i="70" s="1"/>
  <c r="H89" i="70"/>
  <c r="H111" i="70" s="1"/>
  <c r="D89" i="70"/>
  <c r="D100" i="70" s="1"/>
  <c r="E70" i="70"/>
  <c r="F47" i="70" s="1"/>
  <c r="J69" i="70"/>
  <c r="G87" i="70" s="1"/>
  <c r="I69" i="70"/>
  <c r="G86" i="70" s="1"/>
  <c r="H86" i="70" s="1"/>
  <c r="H69" i="70"/>
  <c r="G85" i="70" s="1"/>
  <c r="H85" i="70" s="1"/>
  <c r="G69" i="70"/>
  <c r="G84" i="70" s="1"/>
  <c r="H84" i="70" s="1"/>
  <c r="F69" i="70"/>
  <c r="E69" i="70"/>
  <c r="G47" i="70" s="1"/>
  <c r="I68" i="70"/>
  <c r="F86" i="70" s="1"/>
  <c r="H68" i="70"/>
  <c r="F85" i="70" s="1"/>
  <c r="G68" i="70"/>
  <c r="F84" i="70" s="1"/>
  <c r="F68" i="70"/>
  <c r="E68" i="70"/>
  <c r="F82" i="70" s="1"/>
  <c r="H49" i="70"/>
  <c r="D49" i="70" s="1"/>
  <c r="F46" i="70"/>
  <c r="H42" i="70"/>
  <c r="F95" i="70" s="1"/>
  <c r="I41" i="70"/>
  <c r="F94" i="70" s="1"/>
  <c r="H39" i="70"/>
  <c r="B279" i="70"/>
  <c r="H149" i="70" s="1"/>
  <c r="K149" i="70" s="1"/>
  <c r="H36" i="70"/>
  <c r="F92" i="70" s="1"/>
  <c r="H35" i="70"/>
  <c r="F91" i="70" s="1"/>
  <c r="H33" i="70"/>
  <c r="F90" i="70" s="1"/>
  <c r="G33" i="70"/>
  <c r="G90" i="70" s="1"/>
  <c r="G32" i="70"/>
  <c r="G89" i="70" s="1"/>
  <c r="H67" i="62"/>
  <c r="H66" i="62"/>
  <c r="F64" i="62"/>
  <c r="H21" i="62"/>
  <c r="G21" i="62"/>
  <c r="H46" i="70" l="1"/>
  <c r="G46" i="70"/>
  <c r="G48" i="70" s="1"/>
  <c r="G82" i="70"/>
  <c r="H157" i="70"/>
  <c r="F48" i="70"/>
  <c r="H82" i="70"/>
  <c r="H154" i="70" s="1"/>
  <c r="J154" i="70" s="1"/>
  <c r="J68" i="70"/>
  <c r="F87" i="70" s="1"/>
  <c r="F88" i="70" s="1"/>
  <c r="N149" i="70"/>
  <c r="G111" i="70"/>
  <c r="G96" i="70"/>
  <c r="H87" i="70"/>
  <c r="H156" i="70"/>
  <c r="H115" i="70"/>
  <c r="G88" i="70"/>
  <c r="F93" i="70"/>
  <c r="F96" i="70" s="1"/>
  <c r="H116" i="70"/>
  <c r="F104" i="70"/>
  <c r="I46" i="70"/>
  <c r="H47" i="70"/>
  <c r="H114" i="70"/>
  <c r="F111" i="70" l="1"/>
  <c r="H113" i="70"/>
  <c r="D53" i="70"/>
  <c r="F97" i="70"/>
  <c r="D148" i="70" s="1"/>
  <c r="F150" i="70" s="1"/>
  <c r="H48" i="70"/>
  <c r="I47" i="70"/>
  <c r="I48" i="70" s="1"/>
  <c r="H88" i="70"/>
  <c r="H155" i="70"/>
  <c r="H158" i="70" s="1"/>
  <c r="G117" i="70"/>
  <c r="G114" i="70"/>
  <c r="G116" i="70"/>
  <c r="G113" i="70"/>
  <c r="G115" i="70"/>
  <c r="H117" i="70"/>
  <c r="F113" i="70" l="1"/>
  <c r="I113" i="70" s="1"/>
  <c r="F114" i="70"/>
  <c r="I114" i="70" s="1"/>
  <c r="F117" i="70"/>
  <c r="I117" i="70" s="1"/>
  <c r="F116" i="70"/>
  <c r="I116" i="70" s="1"/>
  <c r="I111" i="70"/>
  <c r="F115" i="70"/>
  <c r="I115" i="70" s="1"/>
  <c r="J122" i="70" s="1"/>
  <c r="D48" i="70"/>
  <c r="D52" i="70"/>
  <c r="D50" i="70"/>
  <c r="J156" i="70"/>
  <c r="J155" i="70"/>
  <c r="J157" i="70"/>
  <c r="H160" i="70"/>
  <c r="F120" i="70" l="1"/>
  <c r="F121" i="70"/>
  <c r="D155" i="70" s="1"/>
  <c r="D154" i="70"/>
  <c r="J158" i="70"/>
  <c r="J160" i="70" s="1"/>
  <c r="F122" i="70"/>
  <c r="D156" i="70" l="1"/>
  <c r="D158" i="70" s="1"/>
  <c r="E20" i="30" l="1"/>
  <c r="E19" i="30"/>
  <c r="C20" i="30"/>
  <c r="C19" i="30"/>
  <c r="M7" i="56" l="1"/>
  <c r="B8" i="56"/>
  <c r="C8" i="56"/>
  <c r="Q26" i="56" l="1"/>
  <c r="H26" i="56"/>
  <c r="C13" i="31"/>
  <c r="B13" i="31"/>
  <c r="B27" i="27"/>
  <c r="A21" i="27"/>
  <c r="A8" i="27"/>
  <c r="R25" i="56"/>
  <c r="R24" i="56"/>
  <c r="R23" i="56"/>
  <c r="R29" i="56"/>
  <c r="C32" i="56" l="1"/>
  <c r="B32" i="56"/>
  <c r="C27" i="56"/>
  <c r="B27" i="56"/>
  <c r="F31" i="56"/>
  <c r="E30" i="56"/>
  <c r="E29" i="56"/>
  <c r="E28" i="56"/>
  <c r="E27" i="56"/>
  <c r="F26" i="56"/>
  <c r="E25" i="56"/>
  <c r="E24" i="56"/>
  <c r="E23" i="56"/>
  <c r="C15" i="31"/>
  <c r="B15" i="31"/>
  <c r="C14" i="31"/>
  <c r="B14" i="31"/>
  <c r="C8" i="30"/>
  <c r="B8" i="30"/>
  <c r="I24" i="27"/>
  <c r="H24" i="27"/>
  <c r="I21" i="27"/>
  <c r="H21" i="27"/>
  <c r="B25" i="27"/>
  <c r="A25" i="27"/>
  <c r="B24" i="27"/>
  <c r="A24" i="27"/>
  <c r="B23" i="27"/>
  <c r="A23" i="27"/>
  <c r="D21" i="27"/>
  <c r="C21" i="27"/>
  <c r="B21" i="27"/>
  <c r="J10" i="61"/>
  <c r="C10" i="29"/>
  <c r="B10" i="29"/>
  <c r="E8" i="30"/>
  <c r="F85" i="62"/>
  <c r="F87" i="62" s="1"/>
  <c r="E10" i="61"/>
  <c r="E9" i="61"/>
  <c r="D10" i="61"/>
  <c r="F86" i="62" l="1"/>
  <c r="D23" i="56"/>
  <c r="R32" i="56"/>
  <c r="R28" i="56"/>
  <c r="I26" i="56"/>
  <c r="D27" i="56"/>
  <c r="D32" i="56" s="1"/>
  <c r="E32" i="56"/>
  <c r="E33" i="56"/>
  <c r="E34" i="56"/>
  <c r="R34" i="56"/>
  <c r="E35" i="56"/>
  <c r="F36" i="56"/>
  <c r="M31" i="56"/>
  <c r="M36" i="56"/>
  <c r="B23" i="56"/>
  <c r="B10" i="61" s="1"/>
  <c r="C23" i="56"/>
  <c r="C10" i="61" s="1"/>
  <c r="F10" i="61"/>
  <c r="C16" i="29"/>
  <c r="B16" i="29"/>
  <c r="B15" i="29"/>
  <c r="R33" i="56" l="1"/>
  <c r="R35" i="56"/>
  <c r="R27" i="56"/>
  <c r="R30" i="56" s="1"/>
  <c r="C26" i="27" l="1"/>
  <c r="C27" i="27" s="1"/>
  <c r="D26" i="27"/>
  <c r="D27" i="27" s="1"/>
  <c r="K21" i="27"/>
  <c r="F22" i="27"/>
  <c r="AB22" i="27"/>
  <c r="I23" i="27"/>
  <c r="I25" i="27" s="1"/>
  <c r="AD25" i="27"/>
  <c r="A26" i="27"/>
  <c r="Q7" i="56" s="1"/>
  <c r="B26" i="27"/>
  <c r="AD26" i="27"/>
  <c r="AD27" i="27" s="1"/>
  <c r="AD28" i="27"/>
  <c r="AD29" i="27"/>
  <c r="AD33" i="27"/>
  <c r="AD34" i="27" s="1"/>
  <c r="AD35" i="27" s="1"/>
  <c r="AD36" i="27" s="1"/>
  <c r="T34" i="27"/>
  <c r="Q34" i="27" s="1"/>
  <c r="Q35" i="27"/>
  <c r="O36" i="27"/>
  <c r="U50" i="27"/>
  <c r="K25" i="27" s="1"/>
  <c r="H10" i="61" s="1"/>
  <c r="V50" i="27"/>
  <c r="W50" i="27" s="1"/>
  <c r="W52" i="27" s="1"/>
  <c r="U52" i="27"/>
  <c r="K23" i="27" s="1"/>
  <c r="U55" i="27"/>
  <c r="I10" i="61" l="1"/>
  <c r="K24" i="27"/>
  <c r="H23" i="27"/>
  <c r="H25" i="27" s="1"/>
  <c r="K22" i="27"/>
  <c r="Q36" i="27"/>
  <c r="D39" i="63" l="1"/>
  <c r="D38" i="63"/>
  <c r="D37" i="63"/>
  <c r="J18" i="63"/>
  <c r="I18" i="63"/>
  <c r="H18" i="63"/>
  <c r="G18" i="63"/>
  <c r="F18" i="63"/>
  <c r="E18" i="63"/>
  <c r="J17" i="63"/>
  <c r="I17" i="63"/>
  <c r="H17" i="63"/>
  <c r="G17" i="63"/>
  <c r="F17" i="63"/>
  <c r="E17" i="63"/>
  <c r="J16" i="63"/>
  <c r="J19" i="63" s="1"/>
  <c r="I16" i="63"/>
  <c r="I19" i="63" s="1"/>
  <c r="H16" i="63"/>
  <c r="H19" i="63" s="1"/>
  <c r="G16" i="63"/>
  <c r="G19" i="63" s="1"/>
  <c r="F16" i="63"/>
  <c r="F19" i="63" s="1"/>
  <c r="E16" i="63"/>
  <c r="R155" i="62"/>
  <c r="R156" i="62" s="1"/>
  <c r="T148" i="62"/>
  <c r="R145" i="62" s="1"/>
  <c r="R144" i="62"/>
  <c r="R143" i="62"/>
  <c r="N140" i="62"/>
  <c r="N139" i="62"/>
  <c r="J103" i="62"/>
  <c r="D77" i="62"/>
  <c r="D88" i="62" s="1"/>
  <c r="D76" i="62"/>
  <c r="D87" i="62" s="1"/>
  <c r="I75" i="62"/>
  <c r="D75" i="62"/>
  <c r="D86" i="62" s="1"/>
  <c r="D74" i="62"/>
  <c r="D85" i="62" s="1"/>
  <c r="D73" i="62"/>
  <c r="D84" i="62" s="1"/>
  <c r="D72" i="62"/>
  <c r="D83" i="62" s="1"/>
  <c r="H71" i="62"/>
  <c r="H78" i="62" s="1"/>
  <c r="D71" i="62"/>
  <c r="D82" i="62" s="1"/>
  <c r="G52" i="62"/>
  <c r="F35" i="62" s="1"/>
  <c r="L51" i="62"/>
  <c r="G69" i="62" s="1"/>
  <c r="K51" i="62"/>
  <c r="G68" i="62" s="1"/>
  <c r="H68" i="62" s="1"/>
  <c r="J51" i="62"/>
  <c r="G67" i="62" s="1"/>
  <c r="I51" i="62"/>
  <c r="G66" i="62" s="1"/>
  <c r="H51" i="62"/>
  <c r="G51" i="62"/>
  <c r="G35" i="62" s="1"/>
  <c r="K50" i="62"/>
  <c r="F68" i="62" s="1"/>
  <c r="J50" i="62"/>
  <c r="F67" i="62" s="1"/>
  <c r="I50" i="62"/>
  <c r="F66" i="62" s="1"/>
  <c r="H50" i="62"/>
  <c r="G50" i="62"/>
  <c r="H37" i="62"/>
  <c r="D37" i="62" s="1"/>
  <c r="F34" i="62"/>
  <c r="H30" i="62"/>
  <c r="F77" i="62" s="1"/>
  <c r="I29" i="62"/>
  <c r="F76" i="62" s="1"/>
  <c r="H27" i="62"/>
  <c r="F75" i="62" s="1"/>
  <c r="Q25" i="62"/>
  <c r="H137" i="62" s="1"/>
  <c r="K137" i="62" s="1"/>
  <c r="H24" i="62"/>
  <c r="F74" i="62" s="1"/>
  <c r="H23" i="62"/>
  <c r="F73" i="62" s="1"/>
  <c r="F72" i="62"/>
  <c r="G72" i="62"/>
  <c r="G20" i="62"/>
  <c r="G71" i="62" s="1"/>
  <c r="G78" i="62" l="1"/>
  <c r="G90" i="62"/>
  <c r="G92" i="62" s="1"/>
  <c r="E19" i="63"/>
  <c r="D40" i="63"/>
  <c r="F39" i="63" s="1"/>
  <c r="G64" i="62"/>
  <c r="F78" i="62"/>
  <c r="H35" i="62"/>
  <c r="I35" i="62" s="1"/>
  <c r="H90" i="62"/>
  <c r="H95" i="62" s="1"/>
  <c r="H34" i="62"/>
  <c r="F36" i="62"/>
  <c r="H145" i="62"/>
  <c r="L50" i="62"/>
  <c r="F69" i="62" s="1"/>
  <c r="F70" i="62" s="1"/>
  <c r="N137" i="62"/>
  <c r="H69" i="62"/>
  <c r="H144" i="62"/>
  <c r="D138" i="62"/>
  <c r="G70" i="62"/>
  <c r="G34" i="62"/>
  <c r="D34" i="62" s="1"/>
  <c r="H64" i="62"/>
  <c r="I34" i="62"/>
  <c r="M11" i="60"/>
  <c r="E10" i="60"/>
  <c r="I4" i="61"/>
  <c r="J4" i="61" s="1"/>
  <c r="H5" i="61"/>
  <c r="I5" i="61" s="1"/>
  <c r="J5" i="61" s="1"/>
  <c r="D9" i="61"/>
  <c r="A8" i="61"/>
  <c r="A2" i="61"/>
  <c r="D10" i="60" s="1"/>
  <c r="B1" i="61"/>
  <c r="F38" i="63" l="1"/>
  <c r="F37" i="63"/>
  <c r="H113" i="62"/>
  <c r="H36" i="62"/>
  <c r="H94" i="62"/>
  <c r="H93" i="62"/>
  <c r="F79" i="62"/>
  <c r="D136" i="62" s="1"/>
  <c r="F138" i="62" s="1"/>
  <c r="H114" i="62"/>
  <c r="I36" i="62"/>
  <c r="F90" i="62"/>
  <c r="F114" i="62" s="1"/>
  <c r="G114" i="62"/>
  <c r="G94" i="62"/>
  <c r="G113" i="62"/>
  <c r="G96" i="62"/>
  <c r="G93" i="62"/>
  <c r="G95" i="62"/>
  <c r="H96" i="62"/>
  <c r="G36" i="62"/>
  <c r="H143" i="62"/>
  <c r="H146" i="62" s="1"/>
  <c r="H142" i="62"/>
  <c r="J142" i="62" s="1"/>
  <c r="H92" i="62"/>
  <c r="H70" i="62"/>
  <c r="K8" i="27"/>
  <c r="K7" i="27"/>
  <c r="K6" i="27"/>
  <c r="J114" i="62" l="1"/>
  <c r="D36" i="62"/>
  <c r="D38" i="62" s="1"/>
  <c r="D41" i="62"/>
  <c r="F93" i="62"/>
  <c r="J93" i="62" s="1"/>
  <c r="F95" i="62"/>
  <c r="J95" i="62" s="1"/>
  <c r="F113" i="62"/>
  <c r="J113" i="62" s="1"/>
  <c r="F94" i="62"/>
  <c r="J94" i="62" s="1"/>
  <c r="F96" i="62"/>
  <c r="J96" i="62" s="1"/>
  <c r="F92" i="62"/>
  <c r="J92" i="62" s="1"/>
  <c r="D110" i="62" s="1"/>
  <c r="J90" i="62"/>
  <c r="D109" i="62" s="1"/>
  <c r="J145" i="62"/>
  <c r="J144" i="62"/>
  <c r="J143" i="62"/>
  <c r="H148" i="62"/>
  <c r="K5" i="27"/>
  <c r="F5" i="27"/>
  <c r="R11" i="56" s="1"/>
  <c r="H9" i="61" s="1"/>
  <c r="I9" i="61" s="1"/>
  <c r="J9" i="61" s="1"/>
  <c r="D40" i="62" l="1"/>
  <c r="J146" i="62"/>
  <c r="F100" i="62"/>
  <c r="D143" i="62" s="1"/>
  <c r="J101" i="62"/>
  <c r="F101" i="62" s="1"/>
  <c r="F106" i="62" s="1"/>
  <c r="F99" i="62"/>
  <c r="D142" i="62" s="1"/>
  <c r="L90" i="62"/>
  <c r="D111" i="62"/>
  <c r="R9" i="56"/>
  <c r="R10" i="56"/>
  <c r="J148" i="62"/>
  <c r="E9" i="30"/>
  <c r="F105" i="62" l="1"/>
  <c r="D144" i="62"/>
  <c r="D146" i="62" s="1"/>
  <c r="F104" i="62"/>
  <c r="P12" i="56"/>
  <c r="K4" i="27"/>
  <c r="C13" i="56"/>
  <c r="C18" i="56"/>
  <c r="B18" i="56" l="1"/>
  <c r="M22" i="56"/>
  <c r="M17" i="56"/>
  <c r="E14" i="56"/>
  <c r="E19" i="56" s="1"/>
  <c r="E13" i="56"/>
  <c r="E18" i="56" s="1"/>
  <c r="E9" i="56"/>
  <c r="E10" i="56"/>
  <c r="E11" i="56"/>
  <c r="C12" i="31"/>
  <c r="B12" i="31"/>
  <c r="C9" i="30"/>
  <c r="B9" i="30"/>
  <c r="C11" i="29"/>
  <c r="B11" i="29"/>
  <c r="B6" i="27"/>
  <c r="A6" i="27"/>
  <c r="A7" i="27"/>
  <c r="B8" i="27"/>
  <c r="AD11" i="27" l="1"/>
  <c r="AD12" i="27" s="1"/>
  <c r="AD8" i="27"/>
  <c r="AD16" i="27"/>
  <c r="AD17" i="27" s="1"/>
  <c r="AD18" i="27" s="1"/>
  <c r="P7" i="56"/>
  <c r="B10" i="27"/>
  <c r="B9" i="27"/>
  <c r="AD9" i="27"/>
  <c r="AD10" i="27" l="1"/>
  <c r="E16" i="56"/>
  <c r="E15" i="56"/>
  <c r="E20" i="56" s="1"/>
  <c r="D13" i="56"/>
  <c r="D18" i="56" s="1"/>
  <c r="B13" i="56"/>
  <c r="E21" i="56" l="1"/>
  <c r="C11" i="31"/>
  <c r="B11" i="31"/>
  <c r="B7" i="27"/>
  <c r="I4" i="27"/>
  <c r="H4" i="27"/>
  <c r="AB5" i="27"/>
  <c r="C15" i="29" l="1"/>
  <c r="C14" i="29"/>
  <c r="C13" i="29"/>
  <c r="C12" i="29"/>
  <c r="B14" i="29"/>
  <c r="F8" i="56" s="1"/>
  <c r="B13" i="29"/>
  <c r="E8" i="60" l="1"/>
  <c r="E9" i="60"/>
  <c r="E11" i="60"/>
  <c r="D11" i="60"/>
  <c r="A2" i="31"/>
  <c r="D9" i="60" s="1"/>
  <c r="A2" i="30"/>
  <c r="D8" i="60" s="1"/>
  <c r="A2" i="29"/>
  <c r="E7" i="60"/>
  <c r="D7" i="60" l="1"/>
  <c r="A1" i="61" s="1"/>
  <c r="A1" i="29" l="1"/>
  <c r="A1" i="30"/>
  <c r="A1" i="31"/>
  <c r="F17" i="56" l="1"/>
  <c r="F22" i="56" s="1"/>
  <c r="F12" i="56"/>
  <c r="F9" i="61" s="1"/>
  <c r="D9" i="56"/>
  <c r="I7" i="27"/>
  <c r="H7" i="27"/>
  <c r="B4" i="27"/>
  <c r="A4" i="27"/>
  <c r="C4" i="27"/>
  <c r="C9" i="27" s="1"/>
  <c r="C10" i="27" s="1"/>
  <c r="B10" i="31" l="1"/>
  <c r="H6" i="27"/>
  <c r="H8" i="27" s="1"/>
  <c r="D4" i="27"/>
  <c r="D9" i="27" s="1"/>
  <c r="D10" i="27" s="1"/>
  <c r="B9" i="56" l="1"/>
  <c r="B9" i="61"/>
  <c r="C10" i="31"/>
  <c r="I6" i="27"/>
  <c r="I8" i="27" s="1"/>
  <c r="C9" i="56" l="1"/>
  <c r="C9" i="61"/>
  <c r="B1" i="3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8" authorId="0" shapeId="0" xr:uid="{66E9DA4F-6A8C-4E85-8CED-0FCEE4D6D57F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 xr:uid="{330ADEEA-26CD-4639-A280-010A937E35F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 xr:uid="{4383C39F-0595-4866-8DBC-A118DD01D69F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 xr:uid="{14AB6144-3DE7-4C94-A724-08F7DD0D18A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 xr:uid="{BF941D7F-24DB-480C-91D4-C9EAFACA4219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7" authorId="0" shapeId="0" xr:uid="{43719CE7-E11C-4DC3-8354-731BF494CD7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5395BA03-EDD4-4DB1-A950-16D9B4CBDA34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 xr:uid="{73E4676E-31BF-44EC-B5CC-4945B5C206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 xr:uid="{18621C9D-9576-458F-A867-301107AA37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DAB1004E-8755-4FCC-9D68-AC552E841706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<sst xmlns="http://schemas.openxmlformats.org/spreadsheetml/2006/main" count="1369" uniqueCount="632">
  <si>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</si>
  <si>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</si>
  <si>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</si>
  <si>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</si>
  <si>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</si>
  <si>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</si>
  <si>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</si>
  <si>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</si>
  <si>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</si>
  <si>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</si>
  <si>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</si>
  <si>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</si>
  <si>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</si>
  <si>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</si>
  <si>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</si>
  <si>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</si>
  <si>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</si>
  <si>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</si>
  <si>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</si>
  <si>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</si>
  <si>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</si>
  <si>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</si>
  <si>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</si>
  <si>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</si>
  <si>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</si>
  <si>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</si>
  <si>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</si>
  <si>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</si>
  <si>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</si>
  <si>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</si>
  <si>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</si>
  <si>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</si>
  <si>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</si>
  <si>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</si>
  <si>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</si>
  <si>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</si>
  <si>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</si>
  <si>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</si>
  <si>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</si>
  <si>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</si>
  <si>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</si>
  <si>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</si>
  <si>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</si>
  <si>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</si>
  <si>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</si>
  <si>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</si>
  <si>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</si>
  <si>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</si>
  <si>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</si>
  <si>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</si>
  <si>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</si>
  <si>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</si>
  <si>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</si>
  <si>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</si>
  <si>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</si>
  <si>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</si>
  <si>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</si>
  <si>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</si>
  <si>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</si>
  <si>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</si>
  <si>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</si>
  <si>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</si>
  <si>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</si>
  <si>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</si>
  <si>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</si>
  <si>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</si>
  <si>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</si>
  <si>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</si>
  <si>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</si>
  <si>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</si>
  <si>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</si>
  <si>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</si>
  <si>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</si>
  <si>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</si>
  <si>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</si>
  <si>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</si>
  <si>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</si>
  <si>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</si>
  <si>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</si>
  <si>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</si>
  <si>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</si>
  <si>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</si>
  <si>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</si>
  <si>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</si>
  <si>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</si>
  <si>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</si>
  <si>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</si>
  <si>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</si>
  <si>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</si>
  <si>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</si>
  <si>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</si>
  <si>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</si>
  <si>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</si>
  <si>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</si>
  <si>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</si>
  <si>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</si>
  <si>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</si>
  <si>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</si>
  <si>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</si>
  <si>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</si>
  <si>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</si>
  <si>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</si>
  <si>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</si>
  <si>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</si>
  <si>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</si>
  <si>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</si>
  <si>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</si>
  <si>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</si>
  <si>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</si>
  <si>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</si>
  <si>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</si>
  <si>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</si>
  <si>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</si>
  <si>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</si>
  <si>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</si>
  <si>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</si>
  <si>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</si>
  <si>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</si>
  <si>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</si>
  <si>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</si>
  <si>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</si>
  <si>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</si>
  <si>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</si>
  <si>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</si>
  <si>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</si>
  <si>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</si>
  <si>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</si>
  <si>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</si>
  <si>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</si>
  <si>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</si>
  <si>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</si>
  <si>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</si>
  <si>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</si>
  <si>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</si>
  <si>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</si>
  <si>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</si>
  <si>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</si>
  <si>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</si>
  <si>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</si>
  <si>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</si>
  <si>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</si>
  <si>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</si>
  <si>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</si>
  <si>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</si>
  <si>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</si>
  <si>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</si>
  <si>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</si>
  <si>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Relationship between main activity flow and other flows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</si>
  <si>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</si>
  <si>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</si>
  <si>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</si>
  <si>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</si>
  <si>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</si>
  <si>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</si>
  <si>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</si>
  <si>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</si>
  <si>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</si>
  <si>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</si>
  <si>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</si>
  <si>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CV (MJ/kg)</t>
  </si>
  <si>
    <t>LHV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</si>
  <si>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</si>
  <si>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</si>
  <si>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</si>
  <si>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</si>
  <si>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</si>
  <si>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</si>
  <si>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</si>
  <si>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</si>
  <si>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</si>
  <si>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</si>
  <si>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</si>
  <si>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</si>
  <si>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</si>
  <si>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</si>
  <si>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</si>
  <si>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</si>
  <si>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</si>
  <si>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</si>
  <si>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</si>
  <si>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</si>
  <si>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</si>
  <si>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</si>
  <si>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</si>
  <si>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</si>
  <si>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</si>
  <si>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CH4S</t>
  </si>
  <si>
    <t>CH4S South Africa</t>
  </si>
  <si>
    <t>Hydrogen per unit of ammonia</t>
  </si>
  <si>
    <t>ton H2/ton NH3</t>
  </si>
  <si>
    <t>GJ H2/ton NH3</t>
  </si>
  <si>
    <t>GJ H2/GJ NH3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</si>
  <si>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</si>
  <si>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</si>
  <si>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</si>
  <si>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</si>
  <si>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</si>
  <si>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</si>
  <si>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</si>
  <si>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</si>
  <si>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</si>
  <si>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</si>
  <si>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</si>
  <si>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</si>
  <si>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</si>
  <si>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</si>
  <si>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</si>
  <si>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</si>
  <si>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Industry Biochar</t>
  </si>
  <si>
    <t>(existing)</t>
  </si>
  <si>
    <t>Industry - Ferro Alloy Metals production</t>
  </si>
  <si>
    <t>XINDBIO</t>
  </si>
  <si>
    <t>BIO</t>
  </si>
  <si>
    <t>FerroChrome existing</t>
  </si>
  <si>
    <t>FerrChrome New</t>
  </si>
  <si>
    <t>IFCEAF-N</t>
  </si>
  <si>
    <t>IFCEAF-E</t>
  </si>
  <si>
    <t>IFCEAFB-N</t>
  </si>
  <si>
    <t>FerroChrome with biomass</t>
  </si>
  <si>
    <t>NCAP_START</t>
  </si>
  <si>
    <t>IFACR</t>
  </si>
  <si>
    <t>Electricity</t>
  </si>
  <si>
    <t>GWh</t>
  </si>
  <si>
    <t>Coal+Anthracite</t>
  </si>
  <si>
    <t>Coke+char</t>
  </si>
  <si>
    <t>EB:</t>
  </si>
  <si>
    <t>Capacity</t>
  </si>
  <si>
    <t>2017 produciton</t>
  </si>
  <si>
    <t>CO2SPIFC</t>
  </si>
  <si>
    <t>Process Emissions FerroChrome South Africa</t>
  </si>
  <si>
    <t>PAMS</t>
  </si>
  <si>
    <t>Active:</t>
  </si>
  <si>
    <t>Level</t>
  </si>
  <si>
    <t>High</t>
  </si>
  <si>
    <t>Low</t>
  </si>
  <si>
    <t>description like in TCH_IND</t>
  </si>
  <si>
    <t>by 2030</t>
  </si>
  <si>
    <t>to elec only</t>
  </si>
  <si>
    <t>Reubens thesis</t>
  </si>
  <si>
    <t>Furnace route</t>
  </si>
  <si>
    <t>Characteristics</t>
  </si>
  <si>
    <r>
      <t>Open or semi-</t>
    </r>
    <r>
      <rPr>
        <b/>
        <sz val="11"/>
        <color rgb="FF000000"/>
        <rFont val="Times New Roman"/>
        <family val="1"/>
      </rPr>
      <t xml:space="preserve"> open submerged AC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</si>
  <si>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&lt;30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</si>
  <si>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70-75%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</si>
  <si>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4300 kWh/t</t>
    </r>
  </si>
  <si>
    <t>Closed submerged arc AC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</si>
  <si>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&gt;135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</si>
  <si>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83-87%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</si>
  <si>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3200 kWh/t</t>
    </r>
  </si>
  <si>
    <t>Prereduction preceding closed submerged arc AC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</si>
  <si>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60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</si>
  <si>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88-92%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</si>
  <si>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2400 kWh/t (Electrical energy only)</t>
    </r>
  </si>
  <si>
    <t>Open DC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</si>
  <si>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4300 kWh/t</t>
    </r>
  </si>
  <si>
    <t>Reuben's thesis</t>
  </si>
  <si>
    <t>Lion project:</t>
  </si>
  <si>
    <t>Company</t>
  </si>
  <si>
    <t>Production capacity (kt/year)</t>
  </si>
  <si>
    <t>Premus (lion)</t>
  </si>
  <si>
    <t>Outukumpu</t>
  </si>
  <si>
    <t>Conv. Closed</t>
  </si>
  <si>
    <t>Semi-closed</t>
  </si>
  <si>
    <t>Cogen?</t>
  </si>
  <si>
    <t>Prereduce</t>
  </si>
  <si>
    <t>https://www.engineeringnews.co.za/print-version/lion-ferrochrome-smelter-eastern-chrome-mines-restart-merafe-2020-05-08</t>
  </si>
  <si>
    <r>
      <t xml:space="preserve">Glencore Merafe </t>
    </r>
    <r>
      <rPr>
        <sz val="11"/>
        <color rgb="FF000000"/>
        <rFont val="Times New Roman"/>
        <family val="1"/>
      </rPr>
      <t>(Xstrata)</t>
    </r>
  </si>
  <si>
    <t>assume rest os Outukumpu</t>
  </si>
  <si>
    <t>no</t>
  </si>
  <si>
    <t>Samancor Chrome Limited</t>
  </si>
  <si>
    <t>Assume all closed + outukumpu. Henric assumed to be conventional</t>
  </si>
  <si>
    <t>(Samancor)</t>
  </si>
  <si>
    <t>billion ZAR for lion II</t>
  </si>
  <si>
    <t>Tata KZN</t>
  </si>
  <si>
    <t>assume</t>
  </si>
  <si>
    <t>Appear to be offline</t>
  </si>
  <si>
    <t>Mt Capacity of lion II</t>
  </si>
  <si>
    <t>Mt of lion I</t>
  </si>
  <si>
    <t>Includes Mogale alloys processing plant</t>
  </si>
  <si>
    <t>bn ZAR/Mt</t>
  </si>
  <si>
    <t>Hernic Ferrochrome</t>
  </si>
  <si>
    <t>Now owned by Samancor</t>
  </si>
  <si>
    <t>International Ferro Metals</t>
  </si>
  <si>
    <t>MW</t>
  </si>
  <si>
    <t>http://www.ifml.com/operations/project-development.html</t>
  </si>
  <si>
    <t>.</t>
  </si>
  <si>
    <t>(IFML)</t>
  </si>
  <si>
    <t>ASA Metals (Newco)</t>
  </si>
  <si>
    <t>https://www.miningweekly.com/print-version/asa-metals-builds-on-quality-2005-03-25</t>
  </si>
  <si>
    <t>Assmang Chrome</t>
  </si>
  <si>
    <t>https://www.miningweekly.com/article/technology-slashes-power-use-at-glencores-huge-s-african-chrome-smelter-2014-11-05/rep_id:3650</t>
  </si>
  <si>
    <t>Total South African capacity</t>
  </si>
  <si>
    <t>total capacity</t>
  </si>
  <si>
    <t>Mt</t>
  </si>
  <si>
    <t>Lion is preheat, prereduce and CO recovery (for drying and preheating)</t>
  </si>
  <si>
    <t>technology intensity</t>
  </si>
  <si>
    <t xml:space="preserve">MWh/tonne </t>
  </si>
  <si>
    <t>total elec:</t>
  </si>
  <si>
    <t>total gen:</t>
  </si>
  <si>
    <t>furnces total for company Glencore</t>
  </si>
  <si>
    <t>total net</t>
  </si>
  <si>
    <t>a mix of Semi-open furnaces some with Otukumpu pelletiser tech</t>
  </si>
  <si>
    <t>kWh/t avg - SA</t>
  </si>
  <si>
    <t>Close furnaces at Boshoek, uses outukumpu</t>
  </si>
  <si>
    <t>kWh/t avg - Glencore</t>
  </si>
  <si>
    <t>Lion furnaces (not clear if Lion II included) - using premus</t>
  </si>
  <si>
    <t>https://docplayer.net/86507326-Production-technologies-of-crm-from-primary.html</t>
  </si>
  <si>
    <t xml:space="preserve">Chapter 7 </t>
  </si>
  <si>
    <t>Conventional (AF)</t>
  </si>
  <si>
    <t>Energy and reductants characterisitics</t>
  </si>
  <si>
    <t>Reductants (source: Gegiba and Russ) - tonnes</t>
  </si>
  <si>
    <t>DC</t>
  </si>
  <si>
    <t>total</t>
  </si>
  <si>
    <t>Coke</t>
  </si>
  <si>
    <t>Char</t>
  </si>
  <si>
    <t>Anthracite</t>
  </si>
  <si>
    <t>no coke</t>
  </si>
  <si>
    <t>Conventional</t>
  </si>
  <si>
    <t>Pelletise, sinter, preheat</t>
  </si>
  <si>
    <t>Premus</t>
  </si>
  <si>
    <t>Recover CO gas for preheating</t>
  </si>
  <si>
    <t>"Premus was to reduce use of coke (high cost)" - Naiker 2006 Xstrata alloys profile</t>
  </si>
  <si>
    <t>"overall cant reduce reductants, just the type" - reuben thesis</t>
  </si>
  <si>
    <t>Sinter, pre-reduce, smelt</t>
  </si>
  <si>
    <t>CO gas + Coal for pre-reduce</t>
  </si>
  <si>
    <t>Conventional closed</t>
  </si>
  <si>
    <t>Onsite Elec gen. (MW)</t>
  </si>
  <si>
    <t>Notes</t>
  </si>
  <si>
    <t>Energy</t>
  </si>
  <si>
    <t>Electricity kWh/t FeCr</t>
  </si>
  <si>
    <t>references:</t>
  </si>
  <si>
    <t xml:space="preserve">Gediga and Russ, and </t>
  </si>
  <si>
    <t>Others</t>
  </si>
  <si>
    <t>Reductants (tonnes per t FeCr)</t>
  </si>
  <si>
    <t>Premus tech: asume half coke, increased anthracite</t>
  </si>
  <si>
    <t>coke</t>
  </si>
  <si>
    <t>Gediga and russ</t>
  </si>
  <si>
    <t>Gediga and Russ: Life Cycle Inventory (LCI) update of primary Ferrochrome production, 2007</t>
  </si>
  <si>
    <t>char</t>
  </si>
  <si>
    <t>anthracite</t>
  </si>
  <si>
    <t>Closed furnace without preheating</t>
  </si>
  <si>
    <t>subtotal</t>
  </si>
  <si>
    <t>kWh/kg</t>
  </si>
  <si>
    <t>Company capacity (Mt)</t>
  </si>
  <si>
    <t>kg reductants</t>
  </si>
  <si>
    <t>Includes Henric smelter (now owned by Samancor)</t>
  </si>
  <si>
    <t>of which:</t>
  </si>
  <si>
    <t>coal</t>
  </si>
  <si>
    <t>assume converted to conventional</t>
  </si>
  <si>
    <t>Total capacity</t>
  </si>
  <si>
    <t>assumptions on production levels</t>
  </si>
  <si>
    <t>Calibration check</t>
  </si>
  <si>
    <t>total here</t>
  </si>
  <si>
    <t>Total production</t>
  </si>
  <si>
    <t>diff to SAMI2018</t>
  </si>
  <si>
    <t>Consumption:</t>
  </si>
  <si>
    <t>Closed with preheating</t>
  </si>
  <si>
    <t>CV MJ/kg</t>
  </si>
  <si>
    <t>eskom incl. Manganese + silicon</t>
  </si>
  <si>
    <t>kWh</t>
  </si>
  <si>
    <t>reductants</t>
  </si>
  <si>
    <t>of which</t>
  </si>
  <si>
    <t>Aggregate intensity:</t>
  </si>
  <si>
    <t>kWh/tonne</t>
  </si>
  <si>
    <t>PJ/Mt</t>
  </si>
  <si>
    <t>Calibration fix</t>
  </si>
  <si>
    <t>FIX</t>
  </si>
  <si>
    <t>Mt - XMP coal for 2017 "mettalurgical" which is metals without steel sector</t>
  </si>
  <si>
    <t>Aggregate consumption</t>
  </si>
  <si>
    <t xml:space="preserve">Mt for Manganese </t>
  </si>
  <si>
    <t>PJ for Mn</t>
  </si>
  <si>
    <t>For report:</t>
  </si>
  <si>
    <t>Production</t>
  </si>
  <si>
    <t>Electricity consumption</t>
  </si>
  <si>
    <t>Net intensity</t>
  </si>
  <si>
    <t>Coal + Anthracite</t>
  </si>
  <si>
    <t>Bio-reductants</t>
  </si>
  <si>
    <t>CHAR:</t>
  </si>
  <si>
    <r>
      <t xml:space="preserve">Surup, G. R., Trubetskaya, A. and Tangstad, M. (2020) ‘Charcoal as an alternative reductant in ferroalloy production: A review’, </t>
    </r>
    <r>
      <rPr>
        <i/>
        <sz val="12"/>
        <color theme="1"/>
        <rFont val="Calibri"/>
        <family val="2"/>
        <scheme val="minor"/>
      </rPr>
      <t>Processes</t>
    </r>
    <r>
      <rPr>
        <sz val="10"/>
        <rFont val="Arial"/>
        <family val="2"/>
      </rPr>
      <t>, 8(11), pp. 1–41. doi: 10.3390/pr8111432.</t>
    </r>
  </si>
  <si>
    <t>Exarro opens char plant (2009)</t>
  </si>
  <si>
    <t>Charcoal kilns</t>
  </si>
  <si>
    <t>https://www.miningreview.com/top-stories/exxaro-opens-char-plant/</t>
  </si>
  <si>
    <t>efficiency</t>
  </si>
  <si>
    <t>Classic charcol kiln</t>
  </si>
  <si>
    <t>"officially opened its char plant alongside the Grootegeluk coal mine"</t>
  </si>
  <si>
    <t>Industrial retorts (kiln)</t>
  </si>
  <si>
    <t>"Char is a product that contains more than 80% fixed carbon and less than 5% volatile content. It is produced from metallurgical coal that contains more than 20% volatiles."</t>
  </si>
  <si>
    <t>kt.pa</t>
  </si>
  <si>
    <t>Chrome existing</t>
  </si>
  <si>
    <t>assume mixture of current tech</t>
  </si>
  <si>
    <t xml:space="preserve">Chrome new </t>
  </si>
  <si>
    <t>assume all new furnace capacities would be most efficient but with biochar composition as today</t>
  </si>
  <si>
    <t>Chrome bio new</t>
  </si>
  <si>
    <t>assume new is most efficient route as above, but with biomass/char at 75% total reductant rest is coal+coke</t>
  </si>
  <si>
    <t>Chrome existing:</t>
  </si>
  <si>
    <t>Chrome new</t>
  </si>
  <si>
    <t>Chrome new biomass</t>
  </si>
  <si>
    <t>Biomass charring plant:</t>
  </si>
  <si>
    <t>Capacity Mt FeCr:</t>
  </si>
  <si>
    <t>Costs for biomass based plant:</t>
  </si>
  <si>
    <t>Capital cost</t>
  </si>
  <si>
    <t>assume extra for furnace operations, handling, other equipment</t>
  </si>
  <si>
    <t>Production in 2017</t>
  </si>
  <si>
    <t>Lifespan</t>
  </si>
  <si>
    <t>Costs for second stage pyrolysis:</t>
  </si>
  <si>
    <t>assume in addition</t>
  </si>
  <si>
    <t>Inputs:</t>
  </si>
  <si>
    <t>carbon content:</t>
  </si>
  <si>
    <t>assump</t>
  </si>
  <si>
    <t>MUST UPDATE THIS</t>
  </si>
  <si>
    <t>IndBiochar</t>
  </si>
  <si>
    <t xml:space="preserve">NOTE:This might actually be coal derived, not biomass. Char is 'activated carbon' basically. But the source of the carbon is not always clear in literature. </t>
  </si>
  <si>
    <t>It's coal char not bio</t>
  </si>
  <si>
    <t>http://www.fao.org/3/s4550e/s4550e09.htm#:~:text=Dried%20wood%20can%20give%204500,little%20around%207500%20Kcal%2Fkg.</t>
  </si>
  <si>
    <t>kcal/kg</t>
  </si>
  <si>
    <t>CO2SP</t>
  </si>
  <si>
    <t>KJ/kg</t>
  </si>
  <si>
    <t>charcoal</t>
  </si>
  <si>
    <t>twin retort kiln:</t>
  </si>
  <si>
    <t>FAO - BIOENERGY AND FOOD SECURITY RAPID APPRAISAL (BEFS RA) charcoal</t>
  </si>
  <si>
    <t>life"</t>
  </si>
  <si>
    <t>years</t>
  </si>
  <si>
    <t>http://www.fao.org/3/bp846e/bp846e.pdf</t>
  </si>
  <si>
    <t>USD $ /t</t>
  </si>
  <si>
    <t>In 2008</t>
  </si>
  <si>
    <t>in 2019</t>
  </si>
  <si>
    <t>2015 ZAR</t>
  </si>
  <si>
    <t>2019USD to 2015ZAR</t>
  </si>
  <si>
    <t>2008 to 2019</t>
  </si>
  <si>
    <t>Emissions factor</t>
  </si>
  <si>
    <t>from GHGinv</t>
  </si>
  <si>
    <t>need to update this factor</t>
  </si>
  <si>
    <t>SAMI 2018 report</t>
  </si>
  <si>
    <t>From NIR 2017 (presumably SAMI is the source)</t>
  </si>
  <si>
    <t>Activity tonnes per year</t>
  </si>
  <si>
    <t>Unit</t>
  </si>
  <si>
    <t>Ferrochromium</t>
  </si>
  <si>
    <t>tonnes</t>
  </si>
  <si>
    <t>Ferromanganeses (7% C)</t>
  </si>
  <si>
    <t>Ferromanganeses (1% C)</t>
  </si>
  <si>
    <t>Ferrosilicon 65% Si</t>
  </si>
  <si>
    <t>Silicon metal</t>
  </si>
  <si>
    <t>Summarised tonnes per year</t>
  </si>
  <si>
    <t>FerroChrome</t>
  </si>
  <si>
    <t>FerroManganese</t>
  </si>
  <si>
    <t>FerroSilicon</t>
  </si>
  <si>
    <t>Total</t>
  </si>
  <si>
    <t>Max value 2005 - 2017 from NIR 2017</t>
  </si>
  <si>
    <t xml:space="preserve">Summarised tonnes  per year </t>
  </si>
  <si>
    <t>total:</t>
  </si>
  <si>
    <t>From SAMI report 2018:</t>
  </si>
  <si>
    <t>YEAR</t>
  </si>
  <si>
    <t>PRODUCTION</t>
  </si>
  <si>
    <t>LOCAL SALES</t>
  </si>
  <si>
    <t>EXPORT SALES</t>
  </si>
  <si>
    <t>Mass</t>
  </si>
  <si>
    <t>Unit Value</t>
  </si>
  <si>
    <t>Mass       Value</t>
  </si>
  <si>
    <t>kt</t>
  </si>
  <si>
    <t>R' 000</t>
  </si>
  <si>
    <t>R/t</t>
  </si>
  <si>
    <t>FerroMn existing</t>
  </si>
  <si>
    <t>IFMEAF-E</t>
  </si>
  <si>
    <t>FerroMn New</t>
  </si>
  <si>
    <t>IFMEAF-N</t>
  </si>
  <si>
    <t>FerroMn with biomass</t>
  </si>
  <si>
    <t>IFMEAFB-N</t>
  </si>
  <si>
    <t>IFAMN</t>
  </si>
  <si>
    <t>Roughly, may be slightly less or slightly more</t>
  </si>
  <si>
    <t>Fixed carbon (% weight)</t>
  </si>
  <si>
    <t>Biochar</t>
  </si>
  <si>
    <t>what is the SA number?</t>
  </si>
  <si>
    <t>roughly, these were measurements specific to a batch</t>
  </si>
  <si>
    <t>This seems achievable with current technology</t>
  </si>
  <si>
    <t>New</t>
  </si>
  <si>
    <t>Coke or Coal</t>
  </si>
  <si>
    <t>SiMn</t>
  </si>
  <si>
    <t xml:space="preserve">Electicity </t>
  </si>
  <si>
    <t>MWh/tonne</t>
  </si>
  <si>
    <t>FEMn</t>
  </si>
  <si>
    <t>Share that is coal</t>
  </si>
  <si>
    <t>PJ total</t>
  </si>
  <si>
    <t>GWh total</t>
  </si>
  <si>
    <t>PJ/ktonne</t>
  </si>
  <si>
    <t>MWh/tonne assumed</t>
  </si>
  <si>
    <t>MWh/tonne Max</t>
  </si>
  <si>
    <t>MWh/tonne Min</t>
  </si>
  <si>
    <t>Says curerntly converted to FECR production</t>
  </si>
  <si>
    <t>Mogale</t>
  </si>
  <si>
    <t>Still in operation</t>
  </si>
  <si>
    <t>TransAlloys</t>
  </si>
  <si>
    <t>HCFEMn</t>
  </si>
  <si>
    <t>Assmang Machadodorp</t>
  </si>
  <si>
    <t>Assmang Cato Ridge</t>
  </si>
  <si>
    <t>Exept one of these sold to South32 and I think that smelter is closed, Steenkamp confirmed smelter closed</t>
  </si>
  <si>
    <t>Metalloys</t>
  </si>
  <si>
    <t>Capacity (Steenkamp, 2018)</t>
  </si>
  <si>
    <t>Installed capacity (MVA)</t>
  </si>
  <si>
    <t>Production rate</t>
  </si>
  <si>
    <t>FEMN</t>
  </si>
  <si>
    <t>Si</t>
  </si>
  <si>
    <t>seems too low, Steenkamp 2018 says that this is the MVA capacity for FeMn and SiMn, but that they are running at 50%, doesn't tie with production</t>
  </si>
  <si>
    <t>Mn</t>
  </si>
  <si>
    <t>thousand kt</t>
  </si>
  <si>
    <t>Cr</t>
  </si>
  <si>
    <t>Cap</t>
  </si>
  <si>
    <t>QUICK FIX: adding manganese to this book until it's complete in another workbook</t>
  </si>
  <si>
    <t xml:space="preserve">looks about right, </t>
  </si>
  <si>
    <t>Process Emissions FerroManganese South Africa</t>
  </si>
  <si>
    <t>CO2SPIFM</t>
  </si>
  <si>
    <t>GPS (Longtitude)</t>
  </si>
  <si>
    <t>?</t>
  </si>
  <si>
    <r>
      <t>Afarak (Probably now</t>
    </r>
    <r>
      <rPr>
        <b/>
        <sz val="11"/>
        <color rgb="FFFF0000"/>
        <rFont val="Times New Roman"/>
        <family val="1"/>
      </rPr>
      <t xml:space="preserve"> Zeetrust</t>
    </r>
    <r>
      <rPr>
        <b/>
        <sz val="11"/>
        <color theme="1"/>
        <rFont val="Times New Roman"/>
        <family val="1"/>
      </rPr>
      <t>)</t>
    </r>
  </si>
  <si>
    <t>linked to FC</t>
  </si>
  <si>
    <t>Biomass Other</t>
  </si>
  <si>
    <t xml:space="preserve">This is the Ferro Alloys (FA) workbook. </t>
  </si>
  <si>
    <t>About</t>
  </si>
  <si>
    <t>Changelog</t>
  </si>
  <si>
    <t>B Mccall</t>
  </si>
  <si>
    <t xml:space="preserve">Joseph had put together the ferrochrome and ferromanganese workbooks. Am getting this set up to become the main workbook for ferroalloys. </t>
  </si>
  <si>
    <t>Idea for ferrochrome endogenous efficiency technology modelling</t>
  </si>
  <si>
    <t>RES diagram of how the chrome industry produces ferrochrome and the potential avenues for efficiency routes</t>
  </si>
  <si>
    <t xml:space="preserve">Parts of the methodology (NetZero work) are not connected to the model inputs. Need to align this better. </t>
  </si>
  <si>
    <t>Have removed all links to old ferromanganese workbook</t>
  </si>
  <si>
    <t>This includes ferrochrome and ferromanganese</t>
  </si>
  <si>
    <t>Fixed layout table</t>
  </si>
  <si>
    <t>* Define the commodities used in this workbook</t>
  </si>
  <si>
    <t>Commodities</t>
  </si>
  <si>
    <t>~FI_Comm</t>
  </si>
  <si>
    <t>Csets</t>
  </si>
  <si>
    <t>LimType</t>
  </si>
  <si>
    <t>CTSLvl</t>
  </si>
  <si>
    <t>PeakTS</t>
  </si>
  <si>
    <t>Ctype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</si>
  <si>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</si>
  <si>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</si>
  <si>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</si>
  <si>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</si>
  <si>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</si>
  <si>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</si>
  <si>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</si>
  <si>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</si>
  <si>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* Define the Processes used in this workbook</t>
  </si>
  <si>
    <t>Processes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</si>
  <si>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</si>
  <si>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</si>
  <si>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</si>
  <si>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</si>
  <si>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</si>
  <si>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</si>
  <si>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</si>
  <si>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</si>
  <si>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</si>
  <si>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</si>
  <si>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</si>
  <si>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</si>
  <si>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</si>
  <si>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</si>
  <si>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</si>
  <si>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</si>
  <si>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</si>
  <si>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Comm-IN</t>
  </si>
  <si>
    <t>Comm-OUT</t>
  </si>
  <si>
    <t>Industry - FA - Electricity</t>
  </si>
  <si>
    <t>DAYNITE</t>
  </si>
  <si>
    <t>ELC</t>
  </si>
  <si>
    <t>Industry - FA - FerroChrome</t>
  </si>
  <si>
    <t>Industry - FA - FerroManganese</t>
  </si>
  <si>
    <t>Industry - Biochar</t>
  </si>
  <si>
    <t>Industry - FerroChrome existing</t>
  </si>
  <si>
    <t>Industry - FerrChrome New</t>
  </si>
  <si>
    <t>Industry - FerroChrome with biomass</t>
  </si>
  <si>
    <t>Industry - FerroMn existing</t>
  </si>
  <si>
    <t>Industry - FerroMn New</t>
  </si>
  <si>
    <t>Industry - FerroMn with biomass</t>
  </si>
  <si>
    <t>PRE</t>
  </si>
  <si>
    <t>Pja</t>
  </si>
  <si>
    <t>*ProcUnits</t>
  </si>
  <si>
    <t>PRC_RESID~2017</t>
  </si>
  <si>
    <t>PRC_RESID~2035</t>
  </si>
  <si>
    <t>PRC_RESID~2036</t>
  </si>
  <si>
    <t>PRC_RESID~2040</t>
  </si>
  <si>
    <t>PRC_RESID~2045</t>
  </si>
  <si>
    <t>IFACHA</t>
  </si>
  <si>
    <t>INDBIW</t>
  </si>
  <si>
    <t>~FI_T</t>
  </si>
  <si>
    <t>*TechDesc</t>
  </si>
  <si>
    <t>Attribute</t>
  </si>
  <si>
    <t>*Unit</t>
  </si>
  <si>
    <t>Demand Commodity Name</t>
  </si>
  <si>
    <t>Demand Unit</t>
  </si>
  <si>
    <t>Demand Value</t>
  </si>
  <si>
    <t>Demand</t>
  </si>
  <si>
    <t>PRC_CAPACT</t>
  </si>
  <si>
    <t>*=RES_Cr!E2</t>
  </si>
  <si>
    <t>Mccall</t>
  </si>
  <si>
    <t xml:space="preserve">Adjusting the existing capacity again so it declines a bit more gradually. </t>
  </si>
  <si>
    <t>Assumptions for biomass in chrome production</t>
  </si>
  <si>
    <t>reference</t>
  </si>
  <si>
    <t>A</t>
  </si>
  <si>
    <t>C</t>
  </si>
  <si>
    <t>Energy, reductants</t>
  </si>
  <si>
    <t>Economics</t>
  </si>
  <si>
    <t>Other inputs</t>
  </si>
  <si>
    <t>Other outputs</t>
  </si>
  <si>
    <t xml:space="preserve">Conventional </t>
  </si>
  <si>
    <t>Technology</t>
  </si>
  <si>
    <t>elec</t>
  </si>
  <si>
    <t>capital cost</t>
  </si>
  <si>
    <t>fom</t>
  </si>
  <si>
    <t>life</t>
  </si>
  <si>
    <t>lime</t>
  </si>
  <si>
    <t>Co2 emissions</t>
  </si>
  <si>
    <t>slag?</t>
  </si>
  <si>
    <t>x</t>
  </si>
  <si>
    <t>Energy and material use</t>
  </si>
  <si>
    <t>LITERATURE</t>
  </si>
  <si>
    <t>On CHAR</t>
  </si>
  <si>
    <t>Summarised twin-retort plant</t>
  </si>
  <si>
    <t>Reference</t>
  </si>
  <si>
    <t>Gediga and Russ</t>
  </si>
  <si>
    <t>Assumptions on production levels</t>
  </si>
  <si>
    <t xml:space="preserve">Energy Calibration </t>
  </si>
  <si>
    <t>Aggregate intensity numbers</t>
  </si>
  <si>
    <t>Mt Calibration fix</t>
  </si>
  <si>
    <t>Capacity and production</t>
  </si>
  <si>
    <t>attribute</t>
  </si>
  <si>
    <t>assumption</t>
  </si>
  <si>
    <t>INDCMU</t>
  </si>
  <si>
    <t>Feedstock coal (no emissions associated)</t>
  </si>
  <si>
    <t>Coal feedstock</t>
  </si>
  <si>
    <t>NCAP_TLIFE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</si>
</sst>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  <numFmt numFmtId="169" formatCode="_ * #,##0.00_ ;_ * \-#,##0.00_ ;_ * &quot;-&quot;??_ ;_ @_ "/>
    <numFmt numFmtId="170" formatCode="_ * #,##0_ ;_ * \-#,##0_ ;_ * &quot;-&quot;??_ ;_ @_ "/>
    <numFmt numFmtId="171" formatCode="_-* #,##0_-;\-* #,##0_-;_-* &quot;-&quot;??_-;_-@_-"/>
    <numFmt numFmtId="172" formatCode="0.0"/>
    <numFmt numFmtId="173" formatCode="[$£-809]#,##0.000;[Red]&quot;-&quot;[$£-809]#,##0.000"/>
  </numFmts>
  <fonts count="9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FFFFFF"/>
      <name val="Times New Roman"/>
      <family val="1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name val="Times New Roman"/>
      <family val="1"/>
      <charset val="204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8"/>
      <color rgb="FFFFFFFF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2" tint="-9.9978637043366805E-2"/>
      <name val="Arial"/>
      <family val="2"/>
    </font>
    <font>
      <sz val="12"/>
      <color theme="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2"/>
      <color indexed="53"/>
      <name val="Arial"/>
      <family val="2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  <charset val="23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6FAC46"/>
        <bgColor indexed="64"/>
      </patternFill>
    </fill>
    <fill>
      <patternFill patternType="solid">
        <fgColor rgb="FFE1EE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9CC2E4"/>
      </right>
      <top/>
      <bottom/>
      <diagonal/>
    </border>
    <border>
      <left/>
      <right style="medium">
        <color rgb="FF9CC2E4"/>
      </right>
      <top/>
      <bottom style="medium">
        <color rgb="FF9CC2E4"/>
      </bottom>
      <diagonal/>
    </border>
    <border>
      <left/>
      <right/>
      <top/>
      <bottom style="medium">
        <color rgb="FFA8D08D"/>
      </bottom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9CC2E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9CC2E4"/>
      </right>
      <top/>
      <bottom style="medium">
        <color rgb="FF9CC2E4"/>
      </bottom>
      <diagonal/>
    </border>
    <border>
      <left style="medium">
        <color indexed="64"/>
      </left>
      <right style="medium">
        <color rgb="FF9CC2E4"/>
      </right>
      <top style="medium">
        <color rgb="FF9CC2E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indexed="64"/>
      </right>
      <top/>
      <bottom style="medium">
        <color rgb="FFA8D08D"/>
      </bottom>
      <diagonal/>
    </border>
    <border>
      <left style="medium">
        <color indexed="64"/>
      </left>
      <right style="medium">
        <color rgb="FFA8D08D"/>
      </right>
      <top/>
      <bottom/>
      <diagonal/>
    </border>
    <border>
      <left style="medium">
        <color rgb="FFA8D08D"/>
      </left>
      <right style="medium">
        <color indexed="64"/>
      </right>
      <top/>
      <bottom style="medium">
        <color rgb="FFA8D08D"/>
      </bottom>
      <diagonal/>
    </border>
    <border>
      <left style="medium">
        <color rgb="FFA8D08D"/>
      </left>
      <right style="medium">
        <color indexed="64"/>
      </right>
      <top style="medium">
        <color rgb="FFA8D08D"/>
      </top>
      <bottom/>
      <diagonal/>
    </border>
    <border>
      <left style="medium">
        <color indexed="64"/>
      </left>
      <right style="medium">
        <color rgb="FFA8D08D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8">
    <xf numFmtId="0" fontId="0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16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16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5" fillId="0" borderId="0"/>
    <xf numFmtId="9" fontId="15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164" fontId="1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7" fillId="4" borderId="0" applyNumberFormat="0" applyBorder="0" applyAlignment="0" applyProtection="0"/>
    <xf numFmtId="0" fontId="48" fillId="5" borderId="16" applyNumberFormat="0" applyAlignment="0" applyProtection="0"/>
    <xf numFmtId="0" fontId="53" fillId="0" borderId="0"/>
    <xf numFmtId="0" fontId="62" fillId="0" borderId="0" applyNumberFormat="0" applyFill="0" applyBorder="0" applyAlignment="0" applyProtection="0"/>
    <xf numFmtId="16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4" fillId="0" borderId="0"/>
    <xf numFmtId="0" fontId="23" fillId="0" borderId="0"/>
    <xf numFmtId="0" fontId="23" fillId="0" borderId="0"/>
    <xf numFmtId="0" fontId="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23" fillId="0" borderId="0"/>
    <xf numFmtId="0" fontId="53" fillId="0" borderId="0"/>
    <xf numFmtId="0" fontId="85" fillId="0" borderId="0"/>
    <xf numFmtId="0" fontId="3" fillId="0" borderId="0"/>
    <xf numFmtId="0" fontId="86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87" fillId="0" borderId="0" applyFont="0" applyFill="0" applyBorder="0" applyAlignment="0" applyProtection="0"/>
    <xf numFmtId="0" fontId="88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76" fillId="16" borderId="16" applyNumberFormat="0" applyAlignment="0" applyProtection="0"/>
    <xf numFmtId="0" fontId="48" fillId="5" borderId="16" applyNumberFormat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18" borderId="0" applyNumberFormat="0" applyBorder="0" applyAlignment="0" applyProtection="0"/>
    <xf numFmtId="0" fontId="77" fillId="17" borderId="0" applyNumberFormat="0" applyBorder="0" applyAlignment="0" applyProtection="0"/>
    <xf numFmtId="43" fontId="3" fillId="0" borderId="0" applyFont="0" applyFill="0" applyBorder="0" applyAlignment="0" applyProtection="0"/>
    <xf numFmtId="0" fontId="90" fillId="15" borderId="0" applyNumberFormat="0" applyBorder="0" applyAlignment="0" applyProtection="0"/>
    <xf numFmtId="0" fontId="23" fillId="0" borderId="0"/>
    <xf numFmtId="0" fontId="23" fillId="0" borderId="0"/>
    <xf numFmtId="0" fontId="3" fillId="0" borderId="0"/>
    <xf numFmtId="0" fontId="23" fillId="0" borderId="0"/>
    <xf numFmtId="0" fontId="89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</cellStyleXfs>
  <cellXfs count="360">
    <xf numFmtId="0" fontId="0" fillId="0" borderId="0" xfId="0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 applyAlignment="1">
      <alignment horizontal="center" wrapText="1"/>
    </xf>
    <xf numFmtId="0" fontId="17" fillId="0" borderId="0" xfId="1" applyFont="1"/>
    <xf numFmtId="0" fontId="23" fillId="0" borderId="0" xfId="1"/>
    <xf numFmtId="0" fontId="20" fillId="0" borderId="0" xfId="1" applyFont="1"/>
    <xf numFmtId="0" fontId="26" fillId="0" borderId="0" xfId="1" applyFont="1"/>
    <xf numFmtId="0" fontId="19" fillId="0" borderId="0" xfId="1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1" fillId="0" borderId="0" xfId="1" applyFont="1"/>
    <xf numFmtId="0" fontId="28" fillId="0" borderId="0" xfId="1" applyFont="1"/>
    <xf numFmtId="0" fontId="29" fillId="0" borderId="0" xfId="1" applyFont="1"/>
    <xf numFmtId="49" fontId="28" fillId="0" borderId="0" xfId="0" applyNumberFormat="1" applyFont="1" applyAlignment="1">
      <alignment horizontal="left"/>
    </xf>
    <xf numFmtId="0" fontId="30" fillId="0" borderId="0" xfId="1" applyFont="1"/>
    <xf numFmtId="0" fontId="24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wrapText="1"/>
    </xf>
    <xf numFmtId="0" fontId="26" fillId="0" borderId="0" xfId="0" applyFont="1"/>
    <xf numFmtId="0" fontId="29" fillId="3" borderId="0" xfId="0" applyFont="1" applyFill="1"/>
    <xf numFmtId="0" fontId="29" fillId="3" borderId="0" xfId="1" applyFont="1" applyFill="1"/>
    <xf numFmtId="0" fontId="2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3" fillId="0" borderId="0" xfId="3" applyFont="1"/>
    <xf numFmtId="0" fontId="20" fillId="0" borderId="0" xfId="3" applyFont="1"/>
    <xf numFmtId="0" fontId="20" fillId="0" borderId="0" xfId="2" applyFont="1" applyAlignment="1">
      <alignment horizontal="center"/>
    </xf>
    <xf numFmtId="0" fontId="20" fillId="0" borderId="0" xfId="2" applyFont="1"/>
    <xf numFmtId="0" fontId="23" fillId="0" borderId="0" xfId="3"/>
    <xf numFmtId="0" fontId="35" fillId="0" borderId="0" xfId="1" applyFont="1"/>
    <xf numFmtId="0" fontId="36" fillId="0" borderId="0" xfId="2" applyFont="1"/>
    <xf numFmtId="0" fontId="36" fillId="0" borderId="0" xfId="3" applyFont="1"/>
    <xf numFmtId="0" fontId="36" fillId="0" borderId="0" xfId="1" applyFont="1"/>
    <xf numFmtId="0" fontId="34" fillId="0" borderId="0" xfId="1" applyFont="1"/>
    <xf numFmtId="0" fontId="20" fillId="0" borderId="0" xfId="2" applyFont="1" applyAlignment="1">
      <alignment horizontal="right"/>
    </xf>
    <xf numFmtId="0" fontId="29" fillId="0" borderId="0" xfId="2" applyFont="1"/>
    <xf numFmtId="0" fontId="15" fillId="0" borderId="0" xfId="12"/>
    <xf numFmtId="0" fontId="32" fillId="0" borderId="0" xfId="12" applyFont="1"/>
    <xf numFmtId="0" fontId="15" fillId="0" borderId="5" xfId="12" applyBorder="1" applyAlignment="1">
      <alignment horizontal="center"/>
    </xf>
    <xf numFmtId="0" fontId="15" fillId="0" borderId="0" xfId="12" applyAlignment="1">
      <alignment horizontal="center"/>
    </xf>
    <xf numFmtId="0" fontId="15" fillId="0" borderId="14" xfId="12" applyBorder="1" applyAlignment="1">
      <alignment horizontal="center"/>
    </xf>
    <xf numFmtId="0" fontId="15" fillId="0" borderId="4" xfId="12" applyBorder="1" applyAlignment="1">
      <alignment horizontal="center"/>
    </xf>
    <xf numFmtId="0" fontId="15" fillId="0" borderId="9" xfId="12" applyBorder="1" applyAlignment="1">
      <alignment horizontal="center"/>
    </xf>
    <xf numFmtId="0" fontId="15" fillId="0" borderId="4" xfId="12" applyBorder="1"/>
    <xf numFmtId="0" fontId="15" fillId="0" borderId="14" xfId="12" applyBorder="1"/>
    <xf numFmtId="0" fontId="15" fillId="0" borderId="8" xfId="12" applyBorder="1" applyAlignment="1">
      <alignment horizontal="center"/>
    </xf>
    <xf numFmtId="0" fontId="15" fillId="0" borderId="10" xfId="12" applyBorder="1" applyAlignment="1">
      <alignment horizontal="center"/>
    </xf>
    <xf numFmtId="0" fontId="15" fillId="0" borderId="3" xfId="12" applyBorder="1" applyAlignment="1">
      <alignment horizontal="center"/>
    </xf>
    <xf numFmtId="0" fontId="15" fillId="0" borderId="1" xfId="12" applyBorder="1" applyAlignment="1">
      <alignment horizontal="center"/>
    </xf>
    <xf numFmtId="0" fontId="15" fillId="0" borderId="6" xfId="12" applyBorder="1" applyAlignment="1">
      <alignment horizontal="center"/>
    </xf>
    <xf numFmtId="0" fontId="41" fillId="0" borderId="15" xfId="12" applyFont="1" applyBorder="1" applyAlignment="1">
      <alignment horizontal="center"/>
    </xf>
    <xf numFmtId="0" fontId="15" fillId="0" borderId="5" xfId="12" applyBorder="1"/>
    <xf numFmtId="0" fontId="15" fillId="0" borderId="15" xfId="12" applyBorder="1" applyAlignment="1">
      <alignment horizontal="center"/>
    </xf>
    <xf numFmtId="0" fontId="15" fillId="0" borderId="12" xfId="12" applyBorder="1" applyAlignment="1">
      <alignment horizontal="center"/>
    </xf>
    <xf numFmtId="0" fontId="39" fillId="0" borderId="0" xfId="12" applyFont="1"/>
    <xf numFmtId="0" fontId="41" fillId="0" borderId="0" xfId="12" applyFont="1"/>
    <xf numFmtId="0" fontId="38" fillId="0" borderId="0" xfId="12" applyFont="1"/>
    <xf numFmtId="0" fontId="40" fillId="0" borderId="0" xfId="12" applyFont="1"/>
    <xf numFmtId="0" fontId="38" fillId="0" borderId="14" xfId="12" applyFont="1" applyBorder="1" applyAlignment="1">
      <alignment horizontal="center"/>
    </xf>
    <xf numFmtId="0" fontId="42" fillId="0" borderId="0" xfId="12" applyFont="1"/>
    <xf numFmtId="0" fontId="15" fillId="0" borderId="5" xfId="12" applyBorder="1" applyAlignment="1">
      <alignment horizontal="center" textRotation="90"/>
    </xf>
    <xf numFmtId="0" fontId="15" fillId="0" borderId="4" xfId="12" applyBorder="1" applyAlignment="1">
      <alignment horizontal="center" textRotation="90"/>
    </xf>
    <xf numFmtId="0" fontId="15" fillId="0" borderId="0" xfId="12" applyAlignment="1">
      <alignment horizontal="center" textRotation="90"/>
    </xf>
    <xf numFmtId="0" fontId="23" fillId="0" borderId="0" xfId="0" applyFont="1"/>
    <xf numFmtId="0" fontId="14" fillId="0" borderId="5" xfId="12" applyFont="1" applyBorder="1" applyAlignment="1">
      <alignment horizontal="center" textRotation="90"/>
    </xf>
    <xf numFmtId="167" fontId="20" fillId="0" borderId="0" xfId="2" applyNumberFormat="1" applyFont="1"/>
    <xf numFmtId="0" fontId="45" fillId="0" borderId="17" xfId="19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5" fillId="0" borderId="0" xfId="19" applyBorder="1"/>
    <xf numFmtId="0" fontId="0" fillId="0" borderId="1" xfId="0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23" fillId="0" borderId="7" xfId="0" applyFont="1" applyBorder="1"/>
    <xf numFmtId="2" fontId="0" fillId="0" borderId="2" xfId="0" applyNumberFormat="1" applyBorder="1"/>
    <xf numFmtId="0" fontId="23" fillId="0" borderId="2" xfId="0" applyFont="1" applyBorder="1"/>
    <xf numFmtId="0" fontId="0" fillId="0" borderId="13" xfId="0" applyBorder="1"/>
    <xf numFmtId="0" fontId="0" fillId="0" borderId="11" xfId="0" applyBorder="1"/>
    <xf numFmtId="0" fontId="23" fillId="0" borderId="11" xfId="0" applyFont="1" applyBorder="1"/>
    <xf numFmtId="0" fontId="0" fillId="0" borderId="12" xfId="0" applyBorder="1"/>
    <xf numFmtId="2" fontId="20" fillId="0" borderId="0" xfId="0" applyNumberFormat="1" applyFont="1"/>
    <xf numFmtId="0" fontId="29" fillId="0" borderId="0" xfId="2" applyFont="1" applyAlignment="1">
      <alignment wrapText="1"/>
    </xf>
    <xf numFmtId="168" fontId="0" fillId="0" borderId="3" xfId="18" applyNumberFormat="1" applyFont="1" applyBorder="1"/>
    <xf numFmtId="0" fontId="20" fillId="0" borderId="0" xfId="2" applyFont="1" applyAlignment="1">
      <alignment wrapText="1"/>
    </xf>
    <xf numFmtId="165" fontId="20" fillId="0" borderId="0" xfId="0" applyNumberFormat="1" applyFont="1"/>
    <xf numFmtId="165" fontId="20" fillId="0" borderId="0" xfId="0" applyNumberFormat="1" applyFont="1" applyAlignment="1">
      <alignment horizontal="center"/>
    </xf>
    <xf numFmtId="0" fontId="48" fillId="5" borderId="16" xfId="22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 applyAlignment="1">
      <alignment horizontal="left"/>
    </xf>
    <xf numFmtId="0" fontId="20" fillId="0" borderId="0" xfId="0" applyFont="1" applyAlignment="1">
      <alignment horizontal="left"/>
    </xf>
    <xf numFmtId="166" fontId="20" fillId="0" borderId="0" xfId="0" applyNumberFormat="1" applyFont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46" fillId="0" borderId="19" xfId="20" applyBorder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5" fillId="0" borderId="13" xfId="12" applyBorder="1" applyAlignment="1">
      <alignment horizontal="center"/>
    </xf>
    <xf numFmtId="165" fontId="23" fillId="0" borderId="5" xfId="0" applyNumberFormat="1" applyFont="1" applyBorder="1"/>
    <xf numFmtId="165" fontId="23" fillId="0" borderId="2" xfId="0" applyNumberFormat="1" applyFont="1" applyBorder="1"/>
    <xf numFmtId="2" fontId="23" fillId="0" borderId="11" xfId="0" applyNumberFormat="1" applyFont="1" applyBorder="1"/>
    <xf numFmtId="0" fontId="23" fillId="0" borderId="3" xfId="0" applyFont="1" applyBorder="1"/>
    <xf numFmtId="0" fontId="11" fillId="0" borderId="5" xfId="12" applyFont="1" applyBorder="1" applyAlignment="1">
      <alignment horizontal="center" textRotation="90"/>
    </xf>
    <xf numFmtId="2" fontId="23" fillId="0" borderId="2" xfId="0" applyNumberFormat="1" applyFont="1" applyBorder="1"/>
    <xf numFmtId="0" fontId="10" fillId="0" borderId="0" xfId="12" applyFont="1"/>
    <xf numFmtId="0" fontId="10" fillId="0" borderId="5" xfId="12" applyFont="1" applyBorder="1" applyAlignment="1">
      <alignment horizontal="center" textRotation="90"/>
    </xf>
    <xf numFmtId="0" fontId="50" fillId="6" borderId="20" xfId="0" applyFont="1" applyFill="1" applyBorder="1" applyAlignment="1">
      <alignment horizontal="center" vertical="center"/>
    </xf>
    <xf numFmtId="0" fontId="50" fillId="6" borderId="21" xfId="0" applyFont="1" applyFill="1" applyBorder="1" applyAlignment="1">
      <alignment horizontal="center" vertical="center"/>
    </xf>
    <xf numFmtId="0" fontId="49" fillId="0" borderId="22" xfId="0" applyFont="1" applyBorder="1" applyAlignment="1">
      <alignment vertical="center"/>
    </xf>
    <xf numFmtId="0" fontId="49" fillId="0" borderId="23" xfId="0" applyFont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4" xfId="0" applyFont="1" applyBorder="1" applyAlignment="1">
      <alignment vertical="center"/>
    </xf>
    <xf numFmtId="0" fontId="23" fillId="0" borderId="13" xfId="0" applyFont="1" applyBorder="1"/>
    <xf numFmtId="2" fontId="47" fillId="4" borderId="11" xfId="21" applyNumberFormat="1" applyBorder="1"/>
    <xf numFmtId="0" fontId="9" fillId="0" borderId="5" xfId="12" applyFont="1" applyBorder="1" applyAlignment="1">
      <alignment horizontal="center" textRotation="90"/>
    </xf>
    <xf numFmtId="0" fontId="8" fillId="0" borderId="5" xfId="12" applyFont="1" applyBorder="1" applyAlignment="1">
      <alignment horizontal="center" textRotation="90"/>
    </xf>
    <xf numFmtId="0" fontId="8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20" fillId="0" borderId="0" xfId="0" applyFont="1" applyAlignment="1">
      <alignment horizontal="left" wrapText="1"/>
    </xf>
    <xf numFmtId="0" fontId="47" fillId="4" borderId="0" xfId="21" applyAlignment="1">
      <alignment horizontal="center"/>
    </xf>
    <xf numFmtId="0" fontId="47" fillId="4" borderId="0" xfId="21"/>
    <xf numFmtId="0" fontId="7" fillId="0" borderId="9" xfId="12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0" fontId="7" fillId="0" borderId="5" xfId="12" applyFont="1" applyBorder="1" applyAlignment="1">
      <alignment horizontal="center" textRotation="90"/>
    </xf>
    <xf numFmtId="9" fontId="0" fillId="0" borderId="0" xfId="0" applyNumberFormat="1"/>
    <xf numFmtId="10" fontId="0" fillId="0" borderId="0" xfId="0" applyNumberFormat="1"/>
    <xf numFmtId="0" fontId="54" fillId="0" borderId="0" xfId="23" applyFont="1"/>
    <xf numFmtId="0" fontId="53" fillId="0" borderId="0" xfId="23"/>
    <xf numFmtId="0" fontId="53" fillId="0" borderId="1" xfId="23" applyBorder="1"/>
    <xf numFmtId="0" fontId="53" fillId="0" borderId="2" xfId="23" applyBorder="1"/>
    <xf numFmtId="0" fontId="53" fillId="0" borderId="3" xfId="23" applyBorder="1"/>
    <xf numFmtId="0" fontId="57" fillId="7" borderId="25" xfId="23" applyFont="1" applyFill="1" applyBorder="1" applyAlignment="1">
      <alignment horizontal="left" vertical="center" wrapText="1" indent="2"/>
    </xf>
    <xf numFmtId="0" fontId="53" fillId="0" borderId="5" xfId="23" applyBorder="1"/>
    <xf numFmtId="0" fontId="57" fillId="7" borderId="26" xfId="23" applyFont="1" applyFill="1" applyBorder="1" applyAlignment="1">
      <alignment horizontal="left" vertical="center" wrapText="1" indent="2"/>
    </xf>
    <xf numFmtId="0" fontId="57" fillId="0" borderId="25" xfId="23" applyFont="1" applyBorder="1" applyAlignment="1">
      <alignment horizontal="left" vertical="center" wrapText="1" indent="2"/>
    </xf>
    <xf numFmtId="0" fontId="57" fillId="0" borderId="26" xfId="23" applyFont="1" applyBorder="1" applyAlignment="1">
      <alignment horizontal="left" vertical="center" wrapText="1" indent="2"/>
    </xf>
    <xf numFmtId="0" fontId="53" fillId="0" borderId="4" xfId="23" applyBorder="1"/>
    <xf numFmtId="0" fontId="62" fillId="0" borderId="1" xfId="24" applyBorder="1"/>
    <xf numFmtId="0" fontId="59" fillId="9" borderId="27" xfId="23" applyFont="1" applyFill="1" applyBorder="1" applyAlignment="1">
      <alignment horizontal="center" vertical="center" wrapText="1"/>
    </xf>
    <xf numFmtId="0" fontId="53" fillId="3" borderId="0" xfId="23" applyFill="1"/>
    <xf numFmtId="9" fontId="53" fillId="0" borderId="0" xfId="23" applyNumberFormat="1"/>
    <xf numFmtId="0" fontId="62" fillId="0" borderId="0" xfId="24"/>
    <xf numFmtId="0" fontId="53" fillId="0" borderId="6" xfId="23" applyBorder="1"/>
    <xf numFmtId="0" fontId="53" fillId="0" borderId="7" xfId="23" applyBorder="1"/>
    <xf numFmtId="0" fontId="53" fillId="0" borderId="8" xfId="23" applyBorder="1"/>
    <xf numFmtId="0" fontId="60" fillId="0" borderId="27" xfId="23" applyFont="1" applyBorder="1" applyAlignment="1">
      <alignment horizontal="center" vertical="center" wrapText="1"/>
    </xf>
    <xf numFmtId="0" fontId="62" fillId="0" borderId="4" xfId="24" applyBorder="1"/>
    <xf numFmtId="0" fontId="59" fillId="9" borderId="7" xfId="23" applyFont="1" applyFill="1" applyBorder="1" applyAlignment="1">
      <alignment horizontal="center" vertical="center" wrapText="1"/>
    </xf>
    <xf numFmtId="169" fontId="63" fillId="0" borderId="0" xfId="25" applyFont="1"/>
    <xf numFmtId="170" fontId="63" fillId="0" borderId="0" xfId="25" applyNumberFormat="1" applyFont="1"/>
    <xf numFmtId="0" fontId="63" fillId="0" borderId="0" xfId="23" applyFont="1"/>
    <xf numFmtId="170" fontId="53" fillId="0" borderId="0" xfId="23" applyNumberFormat="1"/>
    <xf numFmtId="171" fontId="53" fillId="0" borderId="0" xfId="23" applyNumberFormat="1"/>
    <xf numFmtId="1" fontId="53" fillId="0" borderId="0" xfId="23" applyNumberFormat="1"/>
    <xf numFmtId="0" fontId="63" fillId="0" borderId="4" xfId="23" applyFont="1" applyBorder="1"/>
    <xf numFmtId="0" fontId="53" fillId="0" borderId="10" xfId="23" applyBorder="1"/>
    <xf numFmtId="0" fontId="63" fillId="0" borderId="10" xfId="23" applyFont="1" applyBorder="1"/>
    <xf numFmtId="0" fontId="64" fillId="0" borderId="10" xfId="23" applyFont="1" applyBorder="1"/>
    <xf numFmtId="2" fontId="64" fillId="0" borderId="10" xfId="23" applyNumberFormat="1" applyFont="1" applyBorder="1"/>
    <xf numFmtId="2" fontId="63" fillId="0" borderId="10" xfId="23" applyNumberFormat="1" applyFont="1" applyBorder="1"/>
    <xf numFmtId="2" fontId="53" fillId="0" borderId="10" xfId="23" applyNumberFormat="1" applyBorder="1"/>
    <xf numFmtId="9" fontId="53" fillId="0" borderId="10" xfId="23" applyNumberFormat="1" applyBorder="1"/>
    <xf numFmtId="9" fontId="53" fillId="3" borderId="10" xfId="23" applyNumberFormat="1" applyFill="1" applyBorder="1"/>
    <xf numFmtId="9" fontId="53" fillId="3" borderId="0" xfId="23" applyNumberFormat="1" applyFill="1"/>
    <xf numFmtId="0" fontId="63" fillId="0" borderId="0" xfId="23" applyFont="1" applyAlignment="1">
      <alignment horizontal="right"/>
    </xf>
    <xf numFmtId="0" fontId="53" fillId="0" borderId="0" xfId="23" applyAlignment="1">
      <alignment horizontal="right"/>
    </xf>
    <xf numFmtId="171" fontId="53" fillId="0" borderId="4" xfId="23" applyNumberFormat="1" applyBorder="1"/>
    <xf numFmtId="2" fontId="53" fillId="0" borderId="0" xfId="23" applyNumberFormat="1"/>
    <xf numFmtId="2" fontId="53" fillId="0" borderId="4" xfId="23" applyNumberFormat="1" applyBorder="1"/>
    <xf numFmtId="2" fontId="53" fillId="0" borderId="6" xfId="23" applyNumberFormat="1" applyBorder="1"/>
    <xf numFmtId="0" fontId="63" fillId="0" borderId="0" xfId="23" applyFont="1" applyAlignment="1">
      <alignment horizontal="left"/>
    </xf>
    <xf numFmtId="43" fontId="53" fillId="0" borderId="0" xfId="23" applyNumberFormat="1"/>
    <xf numFmtId="2" fontId="65" fillId="0" borderId="0" xfId="23" applyNumberFormat="1" applyFont="1"/>
    <xf numFmtId="0" fontId="65" fillId="0" borderId="0" xfId="23" applyFont="1"/>
    <xf numFmtId="0" fontId="53" fillId="10" borderId="0" xfId="23" applyFill="1"/>
    <xf numFmtId="165" fontId="53" fillId="0" borderId="10" xfId="23" applyNumberFormat="1" applyBorder="1"/>
    <xf numFmtId="171" fontId="53" fillId="0" borderId="10" xfId="23" applyNumberFormat="1" applyBorder="1"/>
    <xf numFmtId="0" fontId="65" fillId="0" borderId="4" xfId="23" applyFont="1" applyBorder="1"/>
    <xf numFmtId="0" fontId="66" fillId="0" borderId="0" xfId="23" applyFont="1"/>
    <xf numFmtId="9" fontId="0" fillId="0" borderId="0" xfId="26" applyFont="1"/>
    <xf numFmtId="172" fontId="53" fillId="0" borderId="0" xfId="23" applyNumberFormat="1"/>
    <xf numFmtId="9" fontId="53" fillId="0" borderId="1" xfId="23" applyNumberFormat="1" applyBorder="1"/>
    <xf numFmtId="9" fontId="53" fillId="0" borderId="4" xfId="23" applyNumberFormat="1" applyBorder="1"/>
    <xf numFmtId="9" fontId="53" fillId="0" borderId="6" xfId="23" applyNumberFormat="1" applyBorder="1"/>
    <xf numFmtId="2" fontId="63" fillId="0" borderId="0" xfId="23" applyNumberFormat="1" applyFont="1"/>
    <xf numFmtId="172" fontId="63" fillId="0" borderId="0" xfId="23" applyNumberFormat="1" applyFont="1"/>
    <xf numFmtId="165" fontId="53" fillId="0" borderId="0" xfId="23" applyNumberFormat="1"/>
    <xf numFmtId="170" fontId="0" fillId="0" borderId="0" xfId="25" applyNumberFormat="1" applyFont="1"/>
    <xf numFmtId="0" fontId="67" fillId="0" borderId="0" xfId="23" applyFont="1"/>
    <xf numFmtId="0" fontId="63" fillId="0" borderId="1" xfId="23" applyFont="1" applyBorder="1"/>
    <xf numFmtId="0" fontId="63" fillId="0" borderId="2" xfId="23" applyFont="1" applyBorder="1"/>
    <xf numFmtId="170" fontId="0" fillId="0" borderId="0" xfId="25" applyNumberFormat="1" applyFont="1" applyBorder="1"/>
    <xf numFmtId="0" fontId="53" fillId="0" borderId="2" xfId="23" applyBorder="1" applyAlignment="1">
      <alignment wrapText="1"/>
    </xf>
    <xf numFmtId="0" fontId="68" fillId="11" borderId="30" xfId="23" applyFont="1" applyFill="1" applyBorder="1" applyAlignment="1">
      <alignment horizontal="left" vertical="top" wrapText="1" indent="1"/>
    </xf>
    <xf numFmtId="0" fontId="68" fillId="11" borderId="31" xfId="23" applyFont="1" applyFill="1" applyBorder="1" applyAlignment="1">
      <alignment horizontal="center" vertical="top" wrapText="1"/>
    </xf>
    <xf numFmtId="0" fontId="69" fillId="11" borderId="1" xfId="23" applyFont="1" applyFill="1" applyBorder="1" applyAlignment="1">
      <alignment horizontal="left" wrapText="1"/>
    </xf>
    <xf numFmtId="0" fontId="69" fillId="12" borderId="4" xfId="23" applyFont="1" applyFill="1" applyBorder="1" applyAlignment="1">
      <alignment horizontal="left" vertical="center" wrapText="1"/>
    </xf>
    <xf numFmtId="0" fontId="69" fillId="12" borderId="0" xfId="23" applyFont="1" applyFill="1" applyAlignment="1">
      <alignment horizontal="left" vertical="center" wrapText="1"/>
    </xf>
    <xf numFmtId="0" fontId="68" fillId="12" borderId="4" xfId="23" applyFont="1" applyFill="1" applyBorder="1" applyAlignment="1">
      <alignment horizontal="center" vertical="top" wrapText="1"/>
    </xf>
    <xf numFmtId="0" fontId="68" fillId="12" borderId="0" xfId="23" applyFont="1" applyFill="1" applyAlignment="1">
      <alignment horizontal="center" vertical="top" wrapText="1"/>
    </xf>
    <xf numFmtId="0" fontId="68" fillId="12" borderId="5" xfId="23" applyFont="1" applyFill="1" applyBorder="1" applyAlignment="1">
      <alignment horizontal="center" vertical="top" wrapText="1"/>
    </xf>
    <xf numFmtId="0" fontId="68" fillId="12" borderId="0" xfId="23" applyFont="1" applyFill="1" applyAlignment="1">
      <alignment horizontal="left" vertical="top" wrapText="1" indent="1"/>
    </xf>
    <xf numFmtId="0" fontId="69" fillId="12" borderId="32" xfId="23" applyFont="1" applyFill="1" applyBorder="1" applyAlignment="1">
      <alignment horizontal="left" wrapText="1"/>
    </xf>
    <xf numFmtId="0" fontId="68" fillId="12" borderId="33" xfId="23" applyFont="1" applyFill="1" applyBorder="1" applyAlignment="1">
      <alignment horizontal="center" vertical="top" wrapText="1"/>
    </xf>
    <xf numFmtId="0" fontId="68" fillId="12" borderId="32" xfId="23" applyFont="1" applyFill="1" applyBorder="1" applyAlignment="1">
      <alignment horizontal="center" vertical="top" wrapText="1"/>
    </xf>
    <xf numFmtId="0" fontId="68" fillId="12" borderId="34" xfId="23" applyFont="1" applyFill="1" applyBorder="1" applyAlignment="1">
      <alignment horizontal="center" vertical="top" wrapText="1"/>
    </xf>
    <xf numFmtId="0" fontId="68" fillId="12" borderId="33" xfId="23" applyFont="1" applyFill="1" applyBorder="1" applyAlignment="1">
      <alignment horizontal="left" vertical="top" wrapText="1" indent="2"/>
    </xf>
    <xf numFmtId="1" fontId="68" fillId="0" borderId="30" xfId="23" applyNumberFormat="1" applyFont="1" applyBorder="1" applyAlignment="1">
      <alignment horizontal="left" vertical="top" indent="1" shrinkToFit="1"/>
    </xf>
    <xf numFmtId="0" fontId="68" fillId="0" borderId="31" xfId="23" applyFont="1" applyBorder="1" applyAlignment="1">
      <alignment horizontal="center" vertical="top" wrapText="1"/>
    </xf>
    <xf numFmtId="1" fontId="68" fillId="0" borderId="30" xfId="23" applyNumberFormat="1" applyFont="1" applyBorder="1" applyAlignment="1">
      <alignment horizontal="center" vertical="top" shrinkToFit="1"/>
    </xf>
    <xf numFmtId="0" fontId="68" fillId="0" borderId="35" xfId="23" applyFont="1" applyBorder="1" applyAlignment="1">
      <alignment horizontal="center" vertical="top" wrapText="1"/>
    </xf>
    <xf numFmtId="0" fontId="68" fillId="0" borderId="31" xfId="23" applyFont="1" applyBorder="1" applyAlignment="1">
      <alignment horizontal="left" vertical="top" wrapText="1" indent="1"/>
    </xf>
    <xf numFmtId="0" fontId="68" fillId="0" borderId="31" xfId="23" applyFont="1" applyBorder="1" applyAlignment="1">
      <alignment horizontal="right" vertical="top" wrapText="1" indent="1"/>
    </xf>
    <xf numFmtId="0" fontId="68" fillId="0" borderId="31" xfId="23" applyFont="1" applyBorder="1" applyAlignment="1">
      <alignment horizontal="left" vertical="top" wrapText="1" indent="2"/>
    </xf>
    <xf numFmtId="1" fontId="68" fillId="0" borderId="4" xfId="23" applyNumberFormat="1" applyFont="1" applyBorder="1" applyAlignment="1">
      <alignment horizontal="left" vertical="top" indent="1" shrinkToFit="1"/>
    </xf>
    <xf numFmtId="0" fontId="68" fillId="0" borderId="0" xfId="23" applyFont="1" applyAlignment="1">
      <alignment horizontal="center" vertical="top" wrapText="1"/>
    </xf>
    <xf numFmtId="1" fontId="68" fillId="0" borderId="4" xfId="23" applyNumberFormat="1" applyFont="1" applyBorder="1" applyAlignment="1">
      <alignment horizontal="center" vertical="top" shrinkToFit="1"/>
    </xf>
    <xf numFmtId="0" fontId="68" fillId="0" borderId="5" xfId="23" applyFont="1" applyBorder="1" applyAlignment="1">
      <alignment horizontal="center" vertical="top" wrapText="1"/>
    </xf>
    <xf numFmtId="0" fontId="68" fillId="0" borderId="0" xfId="23" applyFont="1" applyAlignment="1">
      <alignment horizontal="left" vertical="top" wrapText="1" indent="1"/>
    </xf>
    <xf numFmtId="0" fontId="68" fillId="0" borderId="0" xfId="23" applyFont="1" applyAlignment="1">
      <alignment horizontal="right" vertical="top" wrapText="1" indent="1"/>
    </xf>
    <xf numFmtId="0" fontId="68" fillId="0" borderId="0" xfId="23" applyFont="1" applyAlignment="1">
      <alignment horizontal="left" vertical="top" wrapText="1" indent="2"/>
    </xf>
    <xf numFmtId="1" fontId="68" fillId="0" borderId="32" xfId="23" applyNumberFormat="1" applyFont="1" applyBorder="1" applyAlignment="1">
      <alignment horizontal="left" vertical="top" indent="1" shrinkToFit="1"/>
    </xf>
    <xf numFmtId="0" fontId="68" fillId="0" borderId="33" xfId="23" applyFont="1" applyBorder="1" applyAlignment="1">
      <alignment horizontal="center" vertical="top" wrapText="1"/>
    </xf>
    <xf numFmtId="1" fontId="68" fillId="0" borderId="6" xfId="23" applyNumberFormat="1" applyFont="1" applyBorder="1" applyAlignment="1">
      <alignment horizontal="center" vertical="top" shrinkToFit="1"/>
    </xf>
    <xf numFmtId="0" fontId="68" fillId="0" borderId="7" xfId="23" applyFont="1" applyBorder="1" applyAlignment="1">
      <alignment horizontal="center" vertical="top" wrapText="1"/>
    </xf>
    <xf numFmtId="0" fontId="68" fillId="0" borderId="8" xfId="23" applyFont="1" applyBorder="1" applyAlignment="1">
      <alignment horizontal="center" vertical="top" wrapText="1"/>
    </xf>
    <xf numFmtId="0" fontId="68" fillId="0" borderId="33" xfId="23" applyFont="1" applyBorder="1" applyAlignment="1">
      <alignment horizontal="left" vertical="top" wrapText="1" indent="1"/>
    </xf>
    <xf numFmtId="0" fontId="68" fillId="0" borderId="33" xfId="23" applyFont="1" applyBorder="1" applyAlignment="1">
      <alignment horizontal="right" vertical="top" wrapText="1" indent="1"/>
    </xf>
    <xf numFmtId="0" fontId="6" fillId="0" borderId="5" xfId="12" applyFont="1" applyBorder="1" applyAlignment="1">
      <alignment horizontal="center" textRotation="90"/>
    </xf>
    <xf numFmtId="0" fontId="0" fillId="13" borderId="0" xfId="0" applyFill="1"/>
    <xf numFmtId="0" fontId="23" fillId="13" borderId="0" xfId="0" applyFont="1" applyFill="1"/>
    <xf numFmtId="0" fontId="0" fillId="14" borderId="0" xfId="0" applyFill="1"/>
    <xf numFmtId="0" fontId="23" fillId="14" borderId="0" xfId="0" applyFont="1" applyFill="1"/>
    <xf numFmtId="0" fontId="70" fillId="14" borderId="0" xfId="0" applyFont="1" applyFill="1"/>
    <xf numFmtId="0" fontId="71" fillId="14" borderId="0" xfId="0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7" fillId="14" borderId="0" xfId="0" applyFont="1" applyFill="1"/>
    <xf numFmtId="0" fontId="0" fillId="0" borderId="5" xfId="0" applyBorder="1"/>
    <xf numFmtId="168" fontId="0" fillId="0" borderId="3" xfId="8" applyNumberFormat="1" applyFont="1" applyBorder="1"/>
    <xf numFmtId="2" fontId="0" fillId="0" borderId="0" xfId="0" applyNumberFormat="1"/>
    <xf numFmtId="0" fontId="70" fillId="0" borderId="0" xfId="0" applyFont="1"/>
    <xf numFmtId="2" fontId="47" fillId="4" borderId="0" xfId="21" applyNumberFormat="1" applyAlignment="1">
      <alignment horizontal="center"/>
    </xf>
    <xf numFmtId="166" fontId="59" fillId="9" borderId="27" xfId="23" applyNumberFormat="1" applyFont="1" applyFill="1" applyBorder="1" applyAlignment="1">
      <alignment horizontal="center" vertical="center" wrapText="1"/>
    </xf>
    <xf numFmtId="0" fontId="5" fillId="0" borderId="5" xfId="12" applyFont="1" applyBorder="1" applyAlignment="1">
      <alignment horizontal="center" textRotation="90"/>
    </xf>
    <xf numFmtId="15" fontId="0" fillId="0" borderId="0" xfId="0" applyNumberFormat="1"/>
    <xf numFmtId="0" fontId="4" fillId="0" borderId="0" xfId="27"/>
    <xf numFmtId="0" fontId="4" fillId="0" borderId="5" xfId="27" applyBorder="1" applyAlignment="1">
      <alignment horizontal="center"/>
    </xf>
    <xf numFmtId="0" fontId="4" fillId="0" borderId="14" xfId="27" applyBorder="1" applyAlignment="1">
      <alignment horizontal="center"/>
    </xf>
    <xf numFmtId="0" fontId="4" fillId="0" borderId="0" xfId="27" applyAlignment="1">
      <alignment horizontal="center"/>
    </xf>
    <xf numFmtId="0" fontId="4" fillId="0" borderId="4" xfId="27" applyBorder="1" applyAlignment="1">
      <alignment horizontal="center"/>
    </xf>
    <xf numFmtId="0" fontId="39" fillId="0" borderId="0" xfId="27" applyFont="1"/>
    <xf numFmtId="0" fontId="4" fillId="0" borderId="9" xfId="27" applyBorder="1" applyAlignment="1">
      <alignment horizontal="center"/>
    </xf>
    <xf numFmtId="0" fontId="4" fillId="0" borderId="14" xfId="27" applyBorder="1"/>
    <xf numFmtId="0" fontId="4" fillId="0" borderId="12" xfId="27" applyBorder="1" applyAlignment="1">
      <alignment horizontal="center"/>
    </xf>
    <xf numFmtId="0" fontId="4" fillId="0" borderId="13" xfId="27" applyBorder="1" applyAlignment="1">
      <alignment horizontal="center"/>
    </xf>
    <xf numFmtId="0" fontId="4" fillId="0" borderId="10" xfId="27" applyBorder="1" applyAlignment="1">
      <alignment horizontal="center"/>
    </xf>
    <xf numFmtId="0" fontId="41" fillId="0" borderId="0" xfId="27" applyFont="1"/>
    <xf numFmtId="0" fontId="4" fillId="0" borderId="3" xfId="27" applyBorder="1" applyAlignment="1">
      <alignment horizontal="center"/>
    </xf>
    <xf numFmtId="0" fontId="4" fillId="0" borderId="1" xfId="27" applyBorder="1" applyAlignment="1">
      <alignment horizontal="center"/>
    </xf>
    <xf numFmtId="0" fontId="38" fillId="0" borderId="14" xfId="27" applyFont="1" applyBorder="1" applyAlignment="1">
      <alignment horizontal="center"/>
    </xf>
    <xf numFmtId="0" fontId="4" fillId="0" borderId="8" xfId="27" applyBorder="1" applyAlignment="1">
      <alignment horizontal="center"/>
    </xf>
    <xf numFmtId="0" fontId="4" fillId="0" borderId="6" xfId="27" applyBorder="1" applyAlignment="1">
      <alignment horizontal="center"/>
    </xf>
    <xf numFmtId="0" fontId="41" fillId="0" borderId="15" xfId="27" applyFont="1" applyBorder="1" applyAlignment="1">
      <alignment horizontal="center"/>
    </xf>
    <xf numFmtId="0" fontId="32" fillId="0" borderId="0" xfId="27" applyFont="1"/>
    <xf numFmtId="0" fontId="38" fillId="0" borderId="0" xfId="27" applyFont="1"/>
    <xf numFmtId="0" fontId="4" fillId="0" borderId="4" xfId="27" applyBorder="1"/>
    <xf numFmtId="0" fontId="4" fillId="0" borderId="15" xfId="27" applyBorder="1" applyAlignment="1">
      <alignment horizontal="center"/>
    </xf>
    <xf numFmtId="0" fontId="40" fillId="0" borderId="0" xfId="27" applyFont="1"/>
    <xf numFmtId="0" fontId="42" fillId="0" borderId="0" xfId="27" applyFont="1"/>
    <xf numFmtId="0" fontId="4" fillId="0" borderId="5" xfId="27" applyBorder="1"/>
    <xf numFmtId="0" fontId="4" fillId="0" borderId="5" xfId="27" applyBorder="1" applyAlignment="1">
      <alignment horizontal="center" textRotation="90"/>
    </xf>
    <xf numFmtId="0" fontId="4" fillId="0" borderId="0" xfId="27" applyAlignment="1">
      <alignment horizontal="center" textRotation="90"/>
    </xf>
    <xf numFmtId="0" fontId="4" fillId="0" borderId="4" xfId="27" applyBorder="1" applyAlignment="1">
      <alignment horizontal="center" textRotation="90"/>
    </xf>
    <xf numFmtId="0" fontId="78" fillId="0" borderId="0" xfId="5" applyFont="1"/>
    <xf numFmtId="0" fontId="23" fillId="0" borderId="0" xfId="2"/>
    <xf numFmtId="0" fontId="79" fillId="0" borderId="0" xfId="5" applyFont="1"/>
    <xf numFmtId="0" fontId="80" fillId="19" borderId="0" xfId="2" applyFont="1" applyFill="1"/>
    <xf numFmtId="0" fontId="81" fillId="19" borderId="0" xfId="2" applyFont="1" applyFill="1"/>
    <xf numFmtId="0" fontId="82" fillId="0" borderId="0" xfId="2" applyFont="1"/>
    <xf numFmtId="0" fontId="17" fillId="20" borderId="2" xfId="2" applyFont="1" applyFill="1" applyBorder="1"/>
    <xf numFmtId="0" fontId="17" fillId="20" borderId="11" xfId="2" applyFont="1" applyFill="1" applyBorder="1"/>
    <xf numFmtId="0" fontId="17" fillId="20" borderId="2" xfId="2" applyFont="1" applyFill="1" applyBorder="1" applyAlignment="1">
      <alignment horizontal="left"/>
    </xf>
    <xf numFmtId="0" fontId="23" fillId="21" borderId="36" xfId="28" applyFill="1" applyBorder="1" applyAlignment="1">
      <alignment horizontal="left" wrapText="1"/>
    </xf>
    <xf numFmtId="0" fontId="23" fillId="21" borderId="37" xfId="28" applyFill="1" applyBorder="1" applyAlignment="1">
      <alignment horizontal="left" wrapText="1"/>
    </xf>
    <xf numFmtId="0" fontId="23" fillId="2" borderId="0" xfId="2" applyFill="1"/>
    <xf numFmtId="0" fontId="23" fillId="0" borderId="0" xfId="28"/>
    <xf numFmtId="0" fontId="83" fillId="0" borderId="0" xfId="28" applyFont="1"/>
    <xf numFmtId="0" fontId="84" fillId="0" borderId="0" xfId="28" applyFont="1"/>
    <xf numFmtId="0" fontId="80" fillId="19" borderId="0" xfId="28" applyFont="1" applyFill="1"/>
    <xf numFmtId="0" fontId="82" fillId="0" borderId="0" xfId="28" applyFont="1"/>
    <xf numFmtId="0" fontId="17" fillId="20" borderId="11" xfId="28" applyFont="1" applyFill="1" applyBorder="1"/>
    <xf numFmtId="0" fontId="23" fillId="2" borderId="0" xfId="28" applyFill="1"/>
    <xf numFmtId="0" fontId="20" fillId="0" borderId="0" xfId="2" applyFont="1" applyAlignment="1">
      <alignment horizontal="center" wrapText="1"/>
    </xf>
    <xf numFmtId="0" fontId="19" fillId="0" borderId="0" xfId="2" applyFont="1"/>
    <xf numFmtId="0" fontId="91" fillId="0" borderId="0" xfId="1" applyFont="1"/>
    <xf numFmtId="167" fontId="20" fillId="0" borderId="0" xfId="0" applyNumberFormat="1" applyFont="1"/>
    <xf numFmtId="0" fontId="2" fillId="0" borderId="5" xfId="12" applyFont="1" applyBorder="1" applyAlignment="1">
      <alignment horizontal="center" textRotation="90"/>
    </xf>
    <xf numFmtId="0" fontId="72" fillId="0" borderId="38" xfId="23" applyFont="1" applyBorder="1"/>
    <xf numFmtId="0" fontId="72" fillId="0" borderId="39" xfId="23" applyFont="1" applyBorder="1"/>
    <xf numFmtId="0" fontId="53" fillId="0" borderId="39" xfId="23" applyBorder="1"/>
    <xf numFmtId="0" fontId="53" fillId="0" borderId="40" xfId="23" applyBorder="1"/>
    <xf numFmtId="0" fontId="53" fillId="0" borderId="42" xfId="23" applyBorder="1"/>
    <xf numFmtId="0" fontId="53" fillId="0" borderId="45" xfId="23" applyBorder="1"/>
    <xf numFmtId="0" fontId="61" fillId="8" borderId="45" xfId="23" applyFont="1" applyFill="1" applyBorder="1" applyAlignment="1">
      <alignment horizontal="center" vertical="center" wrapText="1"/>
    </xf>
    <xf numFmtId="0" fontId="61" fillId="8" borderId="0" xfId="23" applyFont="1" applyFill="1" applyAlignment="1">
      <alignment horizontal="left" vertical="center" wrapText="1" indent="4"/>
    </xf>
    <xf numFmtId="0" fontId="73" fillId="8" borderId="0" xfId="23" applyFont="1" applyFill="1" applyAlignment="1">
      <alignment horizontal="center" vertical="center" wrapText="1"/>
    </xf>
    <xf numFmtId="0" fontId="73" fillId="8" borderId="42" xfId="23" applyFont="1" applyFill="1" applyBorder="1" applyAlignment="1">
      <alignment horizontal="center" vertical="center" wrapText="1"/>
    </xf>
    <xf numFmtId="0" fontId="56" fillId="9" borderId="46" xfId="23" applyFont="1" applyFill="1" applyBorder="1" applyAlignment="1">
      <alignment horizontal="center" vertical="center" wrapText="1"/>
    </xf>
    <xf numFmtId="166" fontId="59" fillId="9" borderId="47" xfId="23" applyNumberFormat="1" applyFont="1" applyFill="1" applyBorder="1" applyAlignment="1">
      <alignment horizontal="center" vertical="center" wrapText="1"/>
    </xf>
    <xf numFmtId="0" fontId="55" fillId="0" borderId="48" xfId="23" applyFont="1" applyBorder="1" applyAlignment="1">
      <alignment horizontal="center" vertical="center" wrapText="1"/>
    </xf>
    <xf numFmtId="0" fontId="65" fillId="0" borderId="42" xfId="23" applyFont="1" applyBorder="1"/>
    <xf numFmtId="0" fontId="60" fillId="0" borderId="46" xfId="23" applyFont="1" applyBorder="1" applyAlignment="1">
      <alignment horizontal="center" vertical="center" wrapText="1"/>
    </xf>
    <xf numFmtId="0" fontId="75" fillId="0" borderId="49" xfId="23" applyFont="1" applyBorder="1" applyAlignment="1">
      <alignment horizontal="center" vertical="center" wrapText="1"/>
    </xf>
    <xf numFmtId="0" fontId="59" fillId="9" borderId="47" xfId="23" applyFont="1" applyFill="1" applyBorder="1" applyAlignment="1">
      <alignment horizontal="center" vertical="center" wrapText="1"/>
    </xf>
    <xf numFmtId="0" fontId="55" fillId="0" borderId="46" xfId="23" applyFont="1" applyBorder="1" applyAlignment="1">
      <alignment horizontal="center" vertical="center" wrapText="1"/>
    </xf>
    <xf numFmtId="0" fontId="60" fillId="0" borderId="47" xfId="23" applyFont="1" applyBorder="1" applyAlignment="1">
      <alignment horizontal="center" vertical="center" wrapText="1"/>
    </xf>
    <xf numFmtId="0" fontId="56" fillId="9" borderId="51" xfId="23" applyFont="1" applyFill="1" applyBorder="1" applyAlignment="1">
      <alignment horizontal="center" vertical="center" wrapText="1"/>
    </xf>
    <xf numFmtId="0" fontId="59" fillId="9" borderId="52" xfId="23" applyFont="1" applyFill="1" applyBorder="1" applyAlignment="1">
      <alignment horizontal="center" vertical="center" wrapText="1"/>
    </xf>
    <xf numFmtId="0" fontId="53" fillId="0" borderId="53" xfId="23" applyBorder="1"/>
    <xf numFmtId="0" fontId="53" fillId="0" borderId="37" xfId="23" applyBorder="1"/>
    <xf numFmtId="0" fontId="53" fillId="0" borderId="54" xfId="23" applyBorder="1"/>
    <xf numFmtId="0" fontId="64" fillId="0" borderId="0" xfId="23" applyFont="1"/>
    <xf numFmtId="0" fontId="92" fillId="0" borderId="0" xfId="23" applyFont="1"/>
    <xf numFmtId="0" fontId="93" fillId="0" borderId="0" xfId="23" applyFont="1"/>
    <xf numFmtId="0" fontId="94" fillId="0" borderId="0" xfId="23" applyFont="1"/>
    <xf numFmtId="171" fontId="63" fillId="0" borderId="0" xfId="23" applyNumberFormat="1" applyFont="1"/>
    <xf numFmtId="171" fontId="65" fillId="0" borderId="0" xfId="23" applyNumberFormat="1" applyFont="1"/>
    <xf numFmtId="0" fontId="63" fillId="22" borderId="0" xfId="23" applyFont="1" applyFill="1"/>
    <xf numFmtId="169" fontId="53" fillId="0" borderId="0" xfId="23" applyNumberFormat="1"/>
    <xf numFmtId="0" fontId="53" fillId="23" borderId="0" xfId="23" applyFill="1"/>
    <xf numFmtId="0" fontId="1" fillId="0" borderId="5" xfId="12" applyFont="1" applyBorder="1" applyAlignment="1">
      <alignment horizontal="center" textRotation="90"/>
    </xf>
    <xf numFmtId="0" fontId="1" fillId="0" borderId="5" xfId="27" applyFont="1" applyBorder="1" applyAlignment="1">
      <alignment horizontal="center" textRotation="90"/>
    </xf>
    <xf numFmtId="0" fontId="60" fillId="0" borderId="28" xfId="23" applyFont="1" applyBorder="1" applyAlignment="1">
      <alignment horizontal="center" vertical="center" wrapText="1"/>
    </xf>
    <xf numFmtId="0" fontId="60" fillId="0" borderId="29" xfId="23" applyFont="1" applyBorder="1" applyAlignment="1">
      <alignment horizontal="center" vertical="center" wrapText="1"/>
    </xf>
    <xf numFmtId="0" fontId="55" fillId="7" borderId="41" xfId="23" applyFont="1" applyFill="1" applyBorder="1" applyAlignment="1">
      <alignment horizontal="center" vertical="center" wrapText="1"/>
    </xf>
    <xf numFmtId="0" fontId="55" fillId="7" borderId="43" xfId="23" applyFont="1" applyFill="1" applyBorder="1" applyAlignment="1">
      <alignment horizontal="center" vertical="center" wrapText="1"/>
    </xf>
    <xf numFmtId="0" fontId="55" fillId="0" borderId="44" xfId="23" applyFont="1" applyBorder="1" applyAlignment="1">
      <alignment horizontal="center" vertical="center" wrapText="1"/>
    </xf>
    <xf numFmtId="0" fontId="55" fillId="0" borderId="41" xfId="23" applyFont="1" applyBorder="1" applyAlignment="1">
      <alignment horizontal="center" vertical="center" wrapText="1"/>
    </xf>
    <xf numFmtId="0" fontId="55" fillId="0" borderId="43" xfId="23" applyFont="1" applyBorder="1" applyAlignment="1">
      <alignment horizontal="center" vertical="center" wrapText="1"/>
    </xf>
    <xf numFmtId="0" fontId="75" fillId="0" borderId="28" xfId="23" applyFont="1" applyBorder="1" applyAlignment="1">
      <alignment horizontal="center" vertical="center" wrapText="1"/>
    </xf>
    <xf numFmtId="0" fontId="75" fillId="0" borderId="29" xfId="23" applyFont="1" applyBorder="1" applyAlignment="1">
      <alignment horizontal="center" vertical="center" wrapText="1"/>
    </xf>
    <xf numFmtId="166" fontId="60" fillId="0" borderId="28" xfId="23" applyNumberFormat="1" applyFont="1" applyBorder="1" applyAlignment="1">
      <alignment horizontal="center" vertical="center" wrapText="1"/>
    </xf>
    <xf numFmtId="166" fontId="60" fillId="0" borderId="29" xfId="23" applyNumberFormat="1" applyFont="1" applyBorder="1" applyAlignment="1">
      <alignment horizontal="center" vertical="center" wrapText="1"/>
    </xf>
    <xf numFmtId="166" fontId="60" fillId="0" borderId="50" xfId="23" applyNumberFormat="1" applyFont="1" applyBorder="1" applyAlignment="1">
      <alignment horizontal="center" vertical="center" wrapText="1"/>
    </xf>
    <xf numFmtId="166" fontId="60" fillId="0" borderId="49" xfId="23" applyNumberFormat="1" applyFont="1" applyBorder="1" applyAlignment="1">
      <alignment horizontal="center" vertical="center" wrapText="1"/>
    </xf>
    <xf numFmtId="0" fontId="60" fillId="0" borderId="50" xfId="23" applyFont="1" applyBorder="1" applyAlignment="1">
      <alignment horizontal="center" vertical="center" wrapText="1"/>
    </xf>
    <xf numFmtId="0" fontId="60" fillId="0" borderId="49" xfId="23" applyFont="1" applyBorder="1" applyAlignment="1">
      <alignment horizontal="center" vertical="center" wrapText="1"/>
    </xf>
    <xf numFmtId="0" fontId="68" fillId="11" borderId="2" xfId="23" applyFont="1" applyFill="1" applyBorder="1" applyAlignment="1">
      <alignment horizontal="left" vertical="top" wrapText="1"/>
    </xf>
    <xf numFmtId="0" fontId="68" fillId="11" borderId="3" xfId="23" applyFont="1" applyFill="1" applyBorder="1" applyAlignment="1">
      <alignment horizontal="left" vertical="top" wrapText="1"/>
    </xf>
    <xf numFmtId="0" fontId="68" fillId="11" borderId="31" xfId="23" applyFont="1" applyFill="1" applyBorder="1" applyAlignment="1">
      <alignment horizontal="left" vertical="top" wrapText="1" indent="5"/>
    </xf>
    <xf numFmtId="0" fontId="68" fillId="12" borderId="0" xfId="23" applyFont="1" applyFill="1" applyAlignment="1">
      <alignment horizontal="left" vertical="top" wrapText="1"/>
    </xf>
  </cellXfs>
  <cellStyles count="78">
    <cellStyle name="20% - Accent5 2" xfId="60" xr:uid="{5E09AC11-EE5C-47C6-AC38-01F75E51F2D0}"/>
    <cellStyle name="60% - Accent2 2" xfId="61" xr:uid="{FE58BDC0-25A6-4848-8201-E7BB26715D1B}"/>
    <cellStyle name="Bad" xfId="21" builtinId="27"/>
    <cellStyle name="Calculation 2" xfId="51" xr:uid="{DF1D445C-49D7-46C4-A295-44C707A94294}"/>
    <cellStyle name="Comma 2" xfId="7" xr:uid="{00000000-0005-0000-0000-000000000000}"/>
    <cellStyle name="Comma 2 2" xfId="15" xr:uid="{2D29F2AE-A72A-4F35-A2CA-2C4A01C4F113}"/>
    <cellStyle name="Comma 2 2 2" xfId="49" xr:uid="{A34E4498-602E-4C2D-A0C6-28E96ED7A8D3}"/>
    <cellStyle name="Comma 2 2 3" xfId="36" xr:uid="{888B5626-B45A-4186-8498-47FDAD21BDAF}"/>
    <cellStyle name="Comma 2 3" xfId="6" xr:uid="{00000000-0005-0000-0000-000001000000}"/>
    <cellStyle name="Comma 2 3 2" xfId="31" xr:uid="{AA24BE92-96AC-4E4A-AE3B-D6C0C40F98F4}"/>
    <cellStyle name="Comma 2 4" xfId="48" xr:uid="{E270BFF4-407E-476B-AB21-58D2FD0BDF9B}"/>
    <cellStyle name="Comma 2 5" xfId="62" xr:uid="{7BCA5F1A-FA3D-4E83-8BDC-598DB31CB61D}"/>
    <cellStyle name="Comma 2 6" xfId="32" xr:uid="{D835B7A5-2FC6-4A21-AA92-8A250F47F7CB}"/>
    <cellStyle name="Comma 3" xfId="16" xr:uid="{C170A3C1-B68E-4AAE-92F6-CE979AB71698}"/>
    <cellStyle name="Comma 3 2" xfId="46" xr:uid="{BFAEF587-E245-422B-8663-87B2007EF306}"/>
    <cellStyle name="Comma 3 3" xfId="37" xr:uid="{2389C955-9D73-4444-882C-7D9D61DFC2F7}"/>
    <cellStyle name="Comma 4" xfId="25" xr:uid="{D1FA687A-5F8A-4679-9E4B-2C7C071EDA03}"/>
    <cellStyle name="Comma 4 2" xfId="59" xr:uid="{FBC7307C-D67A-4A1D-AD17-3EFB6E9D1474}"/>
    <cellStyle name="Comma 5" xfId="54" xr:uid="{432C402E-0D2E-4730-93AD-DC8D806FC586}"/>
    <cellStyle name="Heading 2" xfId="19" builtinId="17"/>
    <cellStyle name="Heading 3" xfId="20" builtinId="18"/>
    <cellStyle name="Hyperlink 2" xfId="11" xr:uid="{00000000-0005-0000-0000-000003000000}"/>
    <cellStyle name="Hyperlink 2 2" xfId="47" xr:uid="{BD6E85D7-D167-4D25-B815-CAC057C986E9}"/>
    <cellStyle name="Hyperlink 2 2 2" xfId="53" xr:uid="{52C98FC7-C905-4735-A68A-AFA00F1B5479}"/>
    <cellStyle name="Hyperlink 3" xfId="24" xr:uid="{9B1B0654-5311-4CDE-8D43-C62E5399FAF2}"/>
    <cellStyle name="Input" xfId="22" builtinId="20"/>
    <cellStyle name="Input 2" xfId="52" xr:uid="{4CC81B05-ABC3-40BE-B0AD-1DF7BF80F606}"/>
    <cellStyle name="Neutral 2" xfId="63" xr:uid="{D7C4774E-31D5-4013-845A-6B31AE5B37A2}"/>
    <cellStyle name="Normal" xfId="0" builtinId="0"/>
    <cellStyle name="Normal 10" xfId="28" xr:uid="{B74125DF-4299-416F-82F8-E26254227A36}"/>
    <cellStyle name="Normal 10 4" xfId="10" xr:uid="{00000000-0005-0000-0000-000005000000}"/>
    <cellStyle name="Normal 10 4 2" xfId="33" xr:uid="{80D9551D-CA87-46DC-B295-C61D763654B9}"/>
    <cellStyle name="Normal 12" xfId="40" xr:uid="{AF4231FE-7F67-48EC-B9F3-C3D1291C87ED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2 3" xfId="38" xr:uid="{B450799A-C01C-4916-A9E5-98A92616C968}"/>
    <cellStyle name="Normal 2 2 4" xfId="30" xr:uid="{CFC2FAF6-3EAB-43F6-8A45-DE52C53AAC1C}"/>
    <cellStyle name="Normal 2 3" xfId="14" xr:uid="{4AB230A0-E2D6-4984-83A4-4F34927A69CA}"/>
    <cellStyle name="Normal 2 3 2" xfId="50" xr:uid="{14AC1902-C30C-4CCE-B9EB-A2BA8AB830FC}"/>
    <cellStyle name="Normal 3" xfId="5" xr:uid="{00000000-0005-0000-0000-00000B000000}"/>
    <cellStyle name="Normal 3 2" xfId="39" xr:uid="{880715CD-F35C-4D5C-8953-037587400521}"/>
    <cellStyle name="Normal 4" xfId="12" xr:uid="{0BAD2C5B-36F5-4320-A9B9-F030A7823A07}"/>
    <cellStyle name="Normal 4 2" xfId="27" xr:uid="{9D395F08-F32A-4542-9182-03C1E3847973}"/>
    <cellStyle name="Normal 4 2 2" xfId="65" xr:uid="{DD2EC371-8E9F-40A2-8DC2-F9078DFECD98}"/>
    <cellStyle name="Normal 4 3" xfId="29" xr:uid="{4DD45C9D-445A-45F0-87E4-618656B045DC}"/>
    <cellStyle name="Normal 4 3 2" xfId="45" xr:uid="{5462DB82-F997-470E-A02D-B9650C4D902A}"/>
    <cellStyle name="Normal 4 4" xfId="64" xr:uid="{C1ECE29E-394D-4C4B-A0B9-40652E7D864E}"/>
    <cellStyle name="Normal 4 5" xfId="34" xr:uid="{0EAA9C07-3917-4C47-94FE-50E86606405E}"/>
    <cellStyle name="Normal 5" xfId="23" xr:uid="{4E7D1ADD-8FD9-49C2-88AA-2E3776C577CC}"/>
    <cellStyle name="Normal 5 2" xfId="42" xr:uid="{0EE34AFE-3D22-4330-88C6-46BD256A16D0}"/>
    <cellStyle name="Normal 6" xfId="41" xr:uid="{4FD9816D-8348-40C8-A669-8612EBA59A53}"/>
    <cellStyle name="Normal 7" xfId="43" xr:uid="{0ED0897A-D3C5-4EB6-B948-FAC682D0E4F4}"/>
    <cellStyle name="Normal 8" xfId="55" xr:uid="{48D0C8BB-970A-4DB8-97C4-BE34D4C66181}"/>
    <cellStyle name="Normal 8 2" xfId="66" xr:uid="{CC571C80-1E3B-4A73-9A4F-99589AAFADA3}"/>
    <cellStyle name="Normal 9" xfId="57" xr:uid="{E4DFF265-7E3A-4425-A804-16CA357492E5}"/>
    <cellStyle name="Normal 9 2" xfId="67" xr:uid="{97506B56-F1DD-4CF6-9F60-E730746DCF87}"/>
    <cellStyle name="Normale_B2020" xfId="68" xr:uid="{5CC06BF5-D1DF-4323-B112-121A26919E0E}"/>
    <cellStyle name="Percent" xfId="18" builtinId="5"/>
    <cellStyle name="Percent 2" xfId="13" xr:uid="{6FC4F8D8-ECD7-4A9E-B183-CAC9CE80278F}"/>
    <cellStyle name="Percent 2 2" xfId="17" xr:uid="{FFCF24A5-FA7A-4E91-8E3F-2BDE50B65C19}"/>
    <cellStyle name="Percent 2 3" xfId="44" xr:uid="{063D3976-0679-4FF7-88E6-171C8546CA9D}"/>
    <cellStyle name="Percent 2 4" xfId="69" xr:uid="{72E47F92-B2F2-4B3A-A59F-4BA9C0EA4D3C}"/>
    <cellStyle name="Percent 2 5" xfId="35" xr:uid="{0315B09A-2807-40A2-96EA-5AC900BB1DC0}"/>
    <cellStyle name="Percent 3" xfId="8" xr:uid="{00000000-0005-0000-0000-000010000000}"/>
    <cellStyle name="Percent 3 2" xfId="70" xr:uid="{32A0756E-D064-46A6-BC2A-CC03F65FEC0C}"/>
    <cellStyle name="Percent 3 3" xfId="71" xr:uid="{482A094C-AABF-4AC1-9885-18E5FE049259}"/>
    <cellStyle name="Percent 4" xfId="26" xr:uid="{5D598AA8-28F2-44B6-AA1E-F52C90C682F2}"/>
    <cellStyle name="Percent 4 2" xfId="73" xr:uid="{94260920-81B0-4F12-A73D-2B97D6F8E51B}"/>
    <cellStyle name="Percent 4 3" xfId="74" xr:uid="{39FEB2E0-6EBB-4816-9756-449FC78CBF78}"/>
    <cellStyle name="Percent 4 4" xfId="72" xr:uid="{5A0D1D1F-60C2-404E-992B-8D7F6B9B484F}"/>
    <cellStyle name="Percent 4 5" xfId="56" xr:uid="{DE28563D-E23D-4C36-BCDE-FCA2DCB76858}"/>
    <cellStyle name="Percent 5" xfId="58" xr:uid="{6E204304-458F-4588-816D-C85906389B62}"/>
    <cellStyle name="Percent 5 2" xfId="75" xr:uid="{F1E703E6-90C1-40A2-9E6E-A1927CCA79F8}"/>
    <cellStyle name="Percent 6" xfId="76" xr:uid="{487F0A5F-CAD2-4C00-AC9C-A1DD744A113B}"/>
    <cellStyle name="Standard_Sce_D_Extraction" xfId="77" xr:uid="{027E5D5B-E069-498A-B3B4-95B1EFAB6366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7" Type="http://schemas.openxmlformats.org/officeDocument/2006/relationships/image" Target="../media/image23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jpeg"/><Relationship Id="rId4" Type="http://schemas.openxmlformats.org/officeDocument/2006/relationships/image" Target="../media/image27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jpeg"/><Relationship Id="rId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31.emf"/><Relationship Id="rId7" Type="http://schemas.openxmlformats.org/officeDocument/2006/relationships/image" Target="../media/image35.emf"/><Relationship Id="rId2" Type="http://schemas.openxmlformats.org/officeDocument/2006/relationships/image" Target="../media/image30.emf"/><Relationship Id="rId1" Type="http://schemas.openxmlformats.org/officeDocument/2006/relationships/image" Target="../media/image29.emf"/><Relationship Id="rId6" Type="http://schemas.openxmlformats.org/officeDocument/2006/relationships/image" Target="../media/image34.emf"/><Relationship Id="rId5" Type="http://schemas.openxmlformats.org/officeDocument/2006/relationships/image" Target="../media/image33.emf"/><Relationship Id="rId4" Type="http://schemas.openxmlformats.org/officeDocument/2006/relationships/image" Target="../media/image32.emf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Relationship Id="rId4" Type="http://schemas.openxmlformats.org/officeDocument/2006/relationships/image" Target="../media/image40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emf"/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10" Type="http://schemas.openxmlformats.org/officeDocument/2006/relationships/image" Target="../media/image50.emf"/><Relationship Id="rId4" Type="http://schemas.openxmlformats.org/officeDocument/2006/relationships/image" Target="../media/image44.emf"/><Relationship Id="rId9" Type="http://schemas.openxmlformats.org/officeDocument/2006/relationships/image" Target="../media/image49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Relationship Id="rId5" Type="http://schemas.openxmlformats.org/officeDocument/2006/relationships/image" Target="../media/image55.emf"/><Relationship Id="rId4" Type="http://schemas.openxmlformats.org/officeDocument/2006/relationships/image" Target="../media/image5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3" Type="http://schemas.openxmlformats.org/officeDocument/2006/relationships/image" Target="../media/image61.emf"/><Relationship Id="rId7" Type="http://schemas.openxmlformats.org/officeDocument/2006/relationships/image" Target="../media/image65.emf"/><Relationship Id="rId2" Type="http://schemas.openxmlformats.org/officeDocument/2006/relationships/image" Target="../media/image60.emf"/><Relationship Id="rId1" Type="http://schemas.openxmlformats.org/officeDocument/2006/relationships/image" Target="../media/image59.emf"/><Relationship Id="rId6" Type="http://schemas.openxmlformats.org/officeDocument/2006/relationships/image" Target="../media/image64.emf"/><Relationship Id="rId5" Type="http://schemas.openxmlformats.org/officeDocument/2006/relationships/image" Target="../media/image63.emf"/><Relationship Id="rId10" Type="http://schemas.openxmlformats.org/officeDocument/2006/relationships/image" Target="../media/image68.emf"/><Relationship Id="rId4" Type="http://schemas.openxmlformats.org/officeDocument/2006/relationships/image" Target="../media/image62.emf"/><Relationship Id="rId9" Type="http://schemas.openxmlformats.org/officeDocument/2006/relationships/image" Target="../media/image67.emf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3" Type="http://schemas.openxmlformats.org/officeDocument/2006/relationships/image" Target="../media/image71.emf"/><Relationship Id="rId7" Type="http://schemas.openxmlformats.org/officeDocument/2006/relationships/image" Target="../media/image75.emf"/><Relationship Id="rId2" Type="http://schemas.openxmlformats.org/officeDocument/2006/relationships/image" Target="../media/image70.emf"/><Relationship Id="rId1" Type="http://schemas.openxmlformats.org/officeDocument/2006/relationships/image" Target="../media/image69.emf"/><Relationship Id="rId6" Type="http://schemas.openxmlformats.org/officeDocument/2006/relationships/image" Target="../media/image74.emf"/><Relationship Id="rId5" Type="http://schemas.openxmlformats.org/officeDocument/2006/relationships/image" Target="../media/image73.emf"/><Relationship Id="rId10" Type="http://schemas.openxmlformats.org/officeDocument/2006/relationships/image" Target="../media/image78.emf"/><Relationship Id="rId4" Type="http://schemas.openxmlformats.org/officeDocument/2006/relationships/image" Target="../media/image72.emf"/><Relationship Id="rId9" Type="http://schemas.openxmlformats.org/officeDocument/2006/relationships/image" Target="../media/image77.emf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emf"/><Relationship Id="rId3" Type="http://schemas.openxmlformats.org/officeDocument/2006/relationships/image" Target="../media/image89.emf"/><Relationship Id="rId7" Type="http://schemas.openxmlformats.org/officeDocument/2006/relationships/image" Target="../media/image93.emf"/><Relationship Id="rId2" Type="http://schemas.openxmlformats.org/officeDocument/2006/relationships/image" Target="../media/image88.emf"/><Relationship Id="rId1" Type="http://schemas.openxmlformats.org/officeDocument/2006/relationships/image" Target="../media/image87.emf"/><Relationship Id="rId6" Type="http://schemas.openxmlformats.org/officeDocument/2006/relationships/image" Target="../media/image92.emf"/><Relationship Id="rId5" Type="http://schemas.openxmlformats.org/officeDocument/2006/relationships/image" Target="../media/image91.emf"/><Relationship Id="rId10" Type="http://schemas.openxmlformats.org/officeDocument/2006/relationships/image" Target="../media/image96.emf"/><Relationship Id="rId4" Type="http://schemas.openxmlformats.org/officeDocument/2006/relationships/image" Target="../media/image90.emf"/><Relationship Id="rId9" Type="http://schemas.openxmlformats.org/officeDocument/2006/relationships/image" Target="../media/image9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857250</xdr:colOff>
      <xdr:row>2</xdr:row>
      <xdr:rowOff>205740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628650</xdr:colOff>
      <xdr:row>2</xdr:row>
      <xdr:rowOff>205740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628650</xdr:colOff>
      <xdr:row>2</xdr:row>
      <xdr:rowOff>205740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438150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129540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205740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B6FC7E93-8EB1-4FCF-B0E1-EE1F2945D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D2D6B279-C1A4-4992-BF9F-C964F13AF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3B2272E4-F6E5-49B8-A864-1C7FC5161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8C1EEE3-9180-4B59-B9BD-458216141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452E08D8-BDA7-4D06-9159-A3939FFB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334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3BD29D85-C882-418D-AD15-AFF4D71B8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7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65AB9CC-7456-40B9-87CA-6B023263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96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853440</xdr:colOff>
      <xdr:row>2</xdr:row>
      <xdr:rowOff>224790</xdr:rowOff>
    </xdr:to>
    <xdr:sp macro="" textlink="">
      <xdr:nvSpPr>
        <xdr:cNvPr id="2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63F7A94A-9AEC-448F-982D-9CB5891BB2A5}"/>
            </a:ext>
          </a:extLst>
        </xdr:cNvPr>
        <xdr:cNvSpPr/>
      </xdr:nvSpPr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624840</xdr:colOff>
      <xdr:row>2</xdr:row>
      <xdr:rowOff>224790</xdr:rowOff>
    </xdr:to>
    <xdr:sp macro="" textlink="">
      <xdr:nvSpPr>
        <xdr:cNvPr id="3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8EDC961A-0128-483B-B393-1BABFD949F67}"/>
            </a:ext>
          </a:extLst>
        </xdr:cNvPr>
        <xdr:cNvSpPr/>
      </xdr:nvSpPr>
      <xdr:spPr bwMode="auto">
        <a:xfrm>
          <a:off x="481965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624840</xdr:colOff>
      <xdr:row>2</xdr:row>
      <xdr:rowOff>224790</xdr:rowOff>
    </xdr:to>
    <xdr:sp macro="" textlink="">
      <xdr:nvSpPr>
        <xdr:cNvPr id="4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F0B6867D-D71D-4F57-B898-D885B7491444}"/>
            </a:ext>
          </a:extLst>
        </xdr:cNvPr>
        <xdr:cNvSpPr/>
      </xdr:nvSpPr>
      <xdr:spPr bwMode="auto">
        <a:xfrm>
          <a:off x="563880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434340</xdr:rowOff>
    </xdr:to>
    <xdr:sp macro="" textlink="">
      <xdr:nvSpPr>
        <xdr:cNvPr id="5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EC9E382F-0E15-4FF6-AE79-7EB8C429BCF9}"/>
            </a:ext>
          </a:extLst>
        </xdr:cNvPr>
        <xdr:cNvSpPr/>
      </xdr:nvSpPr>
      <xdr:spPr bwMode="auto">
        <a:xfrm>
          <a:off x="9525" y="4762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148590</xdr:rowOff>
    </xdr:to>
    <xdr:sp macro="" textlink="">
      <xdr:nvSpPr>
        <xdr:cNvPr id="6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19F9CCFF-2D0F-4E60-9AE5-57002B15C421}"/>
            </a:ext>
          </a:extLst>
        </xdr:cNvPr>
        <xdr:cNvSpPr/>
      </xdr:nvSpPr>
      <xdr:spPr bwMode="auto">
        <a:xfrm>
          <a:off x="9525" y="8953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224790</xdr:rowOff>
    </xdr:to>
    <xdr:sp macro="" textlink="">
      <xdr:nvSpPr>
        <xdr:cNvPr id="7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760A3283-7B86-4095-8093-F03733B473BB}"/>
            </a:ext>
          </a:extLst>
        </xdr:cNvPr>
        <xdr:cNvSpPr/>
      </xdr:nvSpPr>
      <xdr:spPr bwMode="auto">
        <a:xfrm>
          <a:off x="9525" y="25717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8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AFE3EA4C-ADA6-4574-9C35-EC0DE880CA3F}"/>
            </a:ext>
          </a:extLst>
        </xdr:cNvPr>
        <xdr:cNvSpPr/>
      </xdr:nvSpPr>
      <xdr:spPr bwMode="auto">
        <a:xfrm>
          <a:off x="9525" y="122872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429389</xdr:colOff>
      <xdr:row>43</xdr:row>
      <xdr:rowOff>154490</xdr:rowOff>
    </xdr:from>
    <xdr:to>
      <xdr:col>28</xdr:col>
      <xdr:colOff>149452</xdr:colOff>
      <xdr:row>63</xdr:row>
      <xdr:rowOff>722</xdr:rowOff>
    </xdr:to>
    <xdr:pic>
      <xdr:nvPicPr>
        <xdr:cNvPr id="2" name="Picture 1" descr="Production technologies of CRM from primary - PDF Free Download">
          <a:extLst>
            <a:ext uri="{FF2B5EF4-FFF2-40B4-BE49-F238E27FC236}">
              <a16:creationId xmlns:a16="http://schemas.microsoft.com/office/drawing/2014/main" id="{97BA5668-70CC-4D37-AC27-184E9F02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7089" y="9431840"/>
          <a:ext cx="5206464" cy="3846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560070</xdr:colOff>
      <xdr:row>67</xdr:row>
      <xdr:rowOff>100965</xdr:rowOff>
    </xdr:from>
    <xdr:ext cx="4939240" cy="4248150"/>
    <xdr:pic>
      <xdr:nvPicPr>
        <xdr:cNvPr id="3" name="Picture 2">
          <a:extLst>
            <a:ext uri="{FF2B5EF4-FFF2-40B4-BE49-F238E27FC236}">
              <a16:creationId xmlns:a16="http://schemas.microsoft.com/office/drawing/2014/main" id="{0684C986-A028-4493-B917-8CC6C0319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7770" y="14178915"/>
          <a:ext cx="4939240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340995</xdr:colOff>
      <xdr:row>90</xdr:row>
      <xdr:rowOff>79215</xdr:rowOff>
    </xdr:from>
    <xdr:ext cx="5335905" cy="4483929"/>
    <xdr:pic>
      <xdr:nvPicPr>
        <xdr:cNvPr id="4" name="Picture 3">
          <a:extLst>
            <a:ext uri="{FF2B5EF4-FFF2-40B4-BE49-F238E27FC236}">
              <a16:creationId xmlns:a16="http://schemas.microsoft.com/office/drawing/2014/main" id="{00C9A414-2951-4A5C-BB52-D7F78646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28695" y="18757740"/>
          <a:ext cx="5335905" cy="448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631248</xdr:colOff>
      <xdr:row>58</xdr:row>
      <xdr:rowOff>115957</xdr:rowOff>
    </xdr:from>
    <xdr:to>
      <xdr:col>5</xdr:col>
      <xdr:colOff>447261</xdr:colOff>
      <xdr:row>61</xdr:row>
      <xdr:rowOff>142875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C34B7653-35F4-4D8F-94D1-BE59ED9E9FF9}"/>
            </a:ext>
          </a:extLst>
        </xdr:cNvPr>
        <xdr:cNvSpPr/>
      </xdr:nvSpPr>
      <xdr:spPr>
        <a:xfrm>
          <a:off x="5302639" y="12490174"/>
          <a:ext cx="1621622" cy="623266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ZA" sz="1100"/>
            <a:t>summarise</a:t>
          </a:r>
        </a:p>
      </xdr:txBody>
    </xdr:sp>
    <xdr:clientData/>
  </xdr:twoCellAnchor>
  <xdr:twoCellAnchor editAs="oneCell">
    <xdr:from>
      <xdr:col>20</xdr:col>
      <xdr:colOff>449036</xdr:colOff>
      <xdr:row>153</xdr:row>
      <xdr:rowOff>176020</xdr:rowOff>
    </xdr:from>
    <xdr:to>
      <xdr:col>35</xdr:col>
      <xdr:colOff>573963</xdr:colOff>
      <xdr:row>169</xdr:row>
      <xdr:rowOff>109319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4EDD36-FE5A-482F-AEF1-3D2A23242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2679" y="32275270"/>
          <a:ext cx="9309749" cy="3199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429389</xdr:colOff>
      <xdr:row>184</xdr:row>
      <xdr:rowOff>154490</xdr:rowOff>
    </xdr:from>
    <xdr:to>
      <xdr:col>11</xdr:col>
      <xdr:colOff>330428</xdr:colOff>
      <xdr:row>204</xdr:row>
      <xdr:rowOff>723</xdr:rowOff>
    </xdr:to>
    <xdr:pic>
      <xdr:nvPicPr>
        <xdr:cNvPr id="2" name="Picture 1" descr="Production technologies of CRM from primary - PDF Free Download">
          <a:extLst>
            <a:ext uri="{FF2B5EF4-FFF2-40B4-BE49-F238E27FC236}">
              <a16:creationId xmlns:a16="http://schemas.microsoft.com/office/drawing/2014/main" id="{94814706-F942-417A-ADDE-CDE3B34ED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9564" y="9612815"/>
          <a:ext cx="4596863" cy="3846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560070</xdr:colOff>
      <xdr:row>208</xdr:row>
      <xdr:rowOff>100965</xdr:rowOff>
    </xdr:from>
    <xdr:ext cx="4939240" cy="4248150"/>
    <xdr:pic>
      <xdr:nvPicPr>
        <xdr:cNvPr id="3" name="Picture 2">
          <a:extLst>
            <a:ext uri="{FF2B5EF4-FFF2-40B4-BE49-F238E27FC236}">
              <a16:creationId xmlns:a16="http://schemas.microsoft.com/office/drawing/2014/main" id="{D14A9CF7-F6FD-4090-B1D9-711C3B316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0245" y="14359890"/>
          <a:ext cx="4939240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340995</xdr:colOff>
      <xdr:row>231</xdr:row>
      <xdr:rowOff>79215</xdr:rowOff>
    </xdr:from>
    <xdr:ext cx="5335905" cy="4483929"/>
    <xdr:pic>
      <xdr:nvPicPr>
        <xdr:cNvPr id="4" name="Picture 3">
          <a:extLst>
            <a:ext uri="{FF2B5EF4-FFF2-40B4-BE49-F238E27FC236}">
              <a16:creationId xmlns:a16="http://schemas.microsoft.com/office/drawing/2014/main" id="{F0FABD81-2F44-43C4-A658-B4EAAE83E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1170" y="18938715"/>
          <a:ext cx="5335905" cy="448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631248</xdr:colOff>
      <xdr:row>76</xdr:row>
      <xdr:rowOff>1</xdr:rowOff>
    </xdr:from>
    <xdr:to>
      <xdr:col>6</xdr:col>
      <xdr:colOff>495300</xdr:colOff>
      <xdr:row>79</xdr:row>
      <xdr:rowOff>142876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FC9E0F02-04C5-4A5E-B67D-87090D9DE417}"/>
            </a:ext>
          </a:extLst>
        </xdr:cNvPr>
        <xdr:cNvSpPr/>
      </xdr:nvSpPr>
      <xdr:spPr>
        <a:xfrm>
          <a:off x="6574848" y="14554201"/>
          <a:ext cx="2483427" cy="742950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ZA" sz="1100"/>
            <a:t>summarise</a:t>
          </a:r>
        </a:p>
      </xdr:txBody>
    </xdr:sp>
    <xdr:clientData/>
  </xdr:twoCellAnchor>
  <xdr:twoCellAnchor editAs="oneCell">
    <xdr:from>
      <xdr:col>1</xdr:col>
      <xdr:colOff>287111</xdr:colOff>
      <xdr:row>300</xdr:row>
      <xdr:rowOff>18858</xdr:rowOff>
    </xdr:from>
    <xdr:to>
      <xdr:col>9</xdr:col>
      <xdr:colOff>616827</xdr:colOff>
      <xdr:row>315</xdr:row>
      <xdr:rowOff>123607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0890EC-EEB1-447A-8E7E-3971209B8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08486" y="32927733"/>
          <a:ext cx="9449903" cy="2962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123825</xdr:rowOff>
    </xdr:from>
    <xdr:to>
      <xdr:col>5</xdr:col>
      <xdr:colOff>657225</xdr:colOff>
      <xdr:row>12</xdr:row>
      <xdr:rowOff>114300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B2FB3A-050A-4D7F-B734-EAD5D8AB1233}"/>
            </a:ext>
          </a:extLst>
        </xdr:cNvPr>
        <xdr:cNvSpPr/>
      </xdr:nvSpPr>
      <xdr:spPr>
        <a:xfrm>
          <a:off x="4905375" y="2219325"/>
          <a:ext cx="371475" cy="390525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ZA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5</xdr:row>
      <xdr:rowOff>47625</xdr:rowOff>
    </xdr:from>
    <xdr:to>
      <xdr:col>24</xdr:col>
      <xdr:colOff>412604</xdr:colOff>
      <xdr:row>48</xdr:row>
      <xdr:rowOff>137980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AEDAB-BE3B-4B9B-94D9-BD4EF809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857250"/>
          <a:ext cx="13738079" cy="705313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553358E6-FDAB-41E3-B880-D005DF631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85750"/>
          <a:ext cx="18954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11E6D97F-B557-4EAB-AE20-E9B4FAFF0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45706E44-25A7-4401-9ACF-0AFC09EAD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D036529-0568-4D63-BA0B-86256B696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CFE9C0A0-7504-45D3-B307-71F03D45B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ABAE4EE7-E3F7-4635-BD31-4BC763F3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DE5EBDA8-D579-4F33-A528-4C6CFCA00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1D5C044-D0B0-47E5-9934-6933AC5F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248168B4-37A5-4F79-AA0B-C49A1409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C2F7FB0D-DDD4-445C-9659-2210932D4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23875"/>
          <a:ext cx="7524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66D3393D-AFEA-4AAD-8A27-6269D7483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238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DBCC71F4-04EE-40D0-8368-D3DD85C7C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5238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7390696B-C0DE-400A-AAE3-C61C0B96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B5A6FCD9-9102-428D-8367-B8F296784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0482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C5F0D1E8-CB94-419A-8683-04D08AB3B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E56E9487-CDF9-4E03-87C9-1E49B0D0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014CC773-D2AA-4940-A593-BD9180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1F72968-1CFA-4DA6-B067-63DE1224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84A0A01-62D6-4008-B963-EEB28C42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3A7C019-6CF7-4129-8033-65BBFCA12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86404911-9763-4877-9C0A-C9CC122D8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50482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7495F7C8-24DD-48C1-9D04-033D50BC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14886234-BF56-4A56-8CD2-CF7B45F62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26ECF110-A8BA-4527-A36C-716D8449C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219BE62-3395-479E-915E-4B42BED2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5A8E5F6-DE01-43D5-B4A4-F2FE3C1E1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B89A8873-7C0D-4022-A30C-0C7E8E9C3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F0DB0B44-3C11-4FDA-9A5E-15E982F0A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DE3F5667-0868-452F-A107-C565FAB2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37B223C4-E97B-4FF8-9669-B45AA275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12AAD983-3B58-40A0-BF2C-329075411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715866C-22D3-45A9-9B3F-FA008CDF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533400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4444E6B9-D0B7-4D64-82FA-8BFCE6F3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52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C925A9CF-30B0-4E85-AEFC-E2ABBEDE5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625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52711C9-22E8-4E41-8D20-99F6E40FB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9C58161F-F32D-4867-B164-7991C8F1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8784FD4-D4B8-4B47-83E0-BDB7422BB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61BE7D7-039E-40BC-B87B-54E03D04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4C430FBA-FA8B-401E-A764-A3F68B3A7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6C9F98FA-1412-4F91-ABC4-59CA2DF36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B6E9D678-663E-42E6-B75D-C2EFFCFA8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476250"/>
          <a:ext cx="457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C63B0C7-52CD-4984-B20C-9F0BE5A2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381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07F46A86-3CC6-4EF9-9EF6-8171A954C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2387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24DF6F39-ED49-4630-A615-14BA3AFF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BD003E3-5E0B-4FB2-A111-51468915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A5471F94-693E-4A91-BC30-8F4D2849B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2620FEEA-3F45-448D-B87C-F6ECA9EF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E1A1E748-87F1-4B00-90D9-125898F4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5E6B5440-75A4-4B09-9F87-51E1E2B64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7C6DB1FF-2747-4A3F-8638-1721EE403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2387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29B1057A-07EC-4527-9002-14C3167FD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D7F5FFFC-4FB0-4190-A956-DBD34D577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4292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E67A060-C88F-4951-BD9F-BF8486653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3E85F9BC-6A63-4102-922B-5F718AB72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BAF8459-9485-4533-AC41-674A41E17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70078D9D-8226-47C9-A210-B2107EF2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0AEA346-E5D7-4CED-A527-CDF07EE38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216FB0F-236E-4EC7-8C81-2430BF52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20EFD9B-E365-4EF1-A5FC-29BA8B4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CAC6C77-992F-42FD-A0C5-587D0DF7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6A7EF5CA-871B-4297-A7B8-1EDD2DE0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619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1494FA95-1F87-44A8-BBAE-2FF1AA9F6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096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2CD48D58-6E8F-40FF-9BA2-8E83138C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0248C8A-8E83-4FDF-B675-5D5F290A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F841022-C575-4BC5-81F8-6402F91E9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B3D35A47-AAB3-4CC4-8D27-F7BF394C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6E7FBF3-CCB8-4F1F-84E0-2B632238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04714141-59DE-4128-93A4-C79BF6C8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1BCA9DB-282E-4001-9BA9-E3CD25517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609600"/>
          <a:ext cx="4762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E7177FB-89AC-4A50-829A-56DFA70DD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90575"/>
          <a:ext cx="6572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9AC9FC-B4BF-45FC-BD27-C0C2DB96E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B4CE7D5-3708-4A49-9DA2-F49EE6DBA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5F24067E-28C9-46BB-B0F7-9BD1C2A4D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19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817245</xdr:colOff>
      <xdr:row>3</xdr:row>
      <xdr:rowOff>95250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664845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D601F3-840B-49B2-BF97-6FC0314C7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5E78133-16E3-4030-9A44-52FD6537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45DBD899-9CD5-4ECF-9D6F-0C37EA6A3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561975"/>
          <a:ext cx="638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4E04CD31-2EE9-4700-8E2E-E3BEFE8B9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685800"/>
          <a:ext cx="1895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630A31D3-2473-4510-955E-CC46B69D9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28625"/>
          <a:ext cx="7810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A2D01CC5-B632-413B-A3F4-9D1C7E0B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676275"/>
          <a:ext cx="552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8A1A3672-CBB1-4A43-BE76-CEA656C44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143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4E4ADA93-C22C-4D2F-B6FA-5D3BADBF0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85750"/>
          <a:ext cx="2171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C7C328C3-3E86-4794-B490-96A1BA86E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524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3673D06D-095D-45D0-B6EB-49BB10784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667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A36BAF4-9404-43B3-AC30-868DAEA6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01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817245</xdr:colOff>
      <xdr:row>4</xdr:row>
      <xdr:rowOff>19050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53340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817245</xdr:colOff>
      <xdr:row>5</xdr:row>
      <xdr:rowOff>15240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817245</xdr:colOff>
      <xdr:row>3</xdr:row>
      <xdr:rowOff>15240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817245</xdr:colOff>
      <xdr:row>6</xdr:row>
      <xdr:rowOff>15240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817245</xdr:colOff>
      <xdr:row>3</xdr:row>
      <xdr:rowOff>95250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fml.com/operations/project-development.html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s://www.miningweekly.com/article/technology-slashes-power-use-at-glencores-huge-s-african-chrome-smelter-2014-11-05/rep_id:3650" TargetMode="External"/><Relationship Id="rId1" Type="http://schemas.openxmlformats.org/officeDocument/2006/relationships/hyperlink" Target="https://www.engineeringnews.co.za/print-version/lion-ferrochrome-smelter-eastern-chrome-mines-restart-merafe-2020-05-08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https://docplayer.net/86507326-Production-technologies-of-crm-from-primary.html" TargetMode="External"/><Relationship Id="rId4" Type="http://schemas.openxmlformats.org/officeDocument/2006/relationships/hyperlink" Target="https://www.miningweekly.com/print-version/asa-metals-builds-on-quality-2005-03-2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fml.com/operations/project-development.html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s://www.miningweekly.com/article/technology-slashes-power-use-at-glencores-huge-s-african-chrome-smelter-2014-11-05/rep_id:3650" TargetMode="External"/><Relationship Id="rId1" Type="http://schemas.openxmlformats.org/officeDocument/2006/relationships/hyperlink" Target="https://www.engineeringnews.co.za/print-version/lion-ferrochrome-smelter-eastern-chrome-mines-restart-merafe-2020-05-08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https://docplayer.net/86507326-Production-technologies-of-crm-from-primary.html" TargetMode="External"/><Relationship Id="rId4" Type="http://schemas.openxmlformats.org/officeDocument/2006/relationships/hyperlink" Target="https://www.miningweekly.com/print-version/asa-metals-builds-on-quality-2005-03-25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C0F2-E1BE-4A66-A740-966C97E2DF5D}">
  <dimension ref="A1:D12"/>
  <sheetViews>
    <sheetView workbookViewId="0">
      <selection activeCell="D13" sqref="D13"/>
    </sheetView>
  </sheetViews>
  <sheetFormatPr defaultRowHeight="12.75" x14ac:dyDescent="0.2"/>
  <cols>
    <col min="1" max="1" width="9.42578125" bestFit="1" customWidth="1"/>
  </cols>
  <sheetData>
    <row r="1" spans="1:4" x14ac:dyDescent="0.2">
      <c r="A1" s="1" t="s">
        <v>516</v>
      </c>
    </row>
    <row r="2" spans="1:4" x14ac:dyDescent="0.2">
      <c r="A2" s="67" t="s">
        <v>515</v>
      </c>
    </row>
    <row r="3" spans="1:4" x14ac:dyDescent="0.2">
      <c r="A3" t="s">
        <v>524</v>
      </c>
    </row>
    <row r="7" spans="1:4" x14ac:dyDescent="0.2">
      <c r="A7" s="1" t="s">
        <v>517</v>
      </c>
    </row>
    <row r="9" spans="1:4" x14ac:dyDescent="0.2">
      <c r="A9" s="253">
        <v>45132</v>
      </c>
      <c r="B9" s="67" t="s">
        <v>518</v>
      </c>
      <c r="D9" s="67" t="s">
        <v>519</v>
      </c>
    </row>
    <row r="10" spans="1:4" x14ac:dyDescent="0.2">
      <c r="D10" s="67" t="s">
        <v>522</v>
      </c>
    </row>
    <row r="11" spans="1:4" x14ac:dyDescent="0.2">
      <c r="D11" t="s">
        <v>523</v>
      </c>
    </row>
    <row r="12" spans="1:4" x14ac:dyDescent="0.2">
      <c r="A12" s="253">
        <v>45197</v>
      </c>
      <c r="B12" t="s">
        <v>595</v>
      </c>
      <c r="D12" t="s">
        <v>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9" customWidth="1"/>
    <col min="2" max="2" width="12.28515625" style="9" customWidth="1"/>
    <col min="3" max="3" width="21" style="9" customWidth="1"/>
    <col min="4" max="4" width="10.28515625" style="9" customWidth="1"/>
    <col min="5" max="5" width="29.7109375" style="9" customWidth="1"/>
    <col min="6" max="6" width="10.28515625" style="9" customWidth="1"/>
    <col min="7" max="16384" width="9.140625" style="9"/>
  </cols>
  <sheetData>
    <row r="1" spans="1:6" x14ac:dyDescent="0.2">
      <c r="A1" s="11" t="s">
        <v>99</v>
      </c>
    </row>
    <row r="4" spans="1:6" ht="17.25" customHeight="1" x14ac:dyDescent="0.2"/>
    <row r="5" spans="1:6" ht="17.25" customHeight="1" x14ac:dyDescent="0.2">
      <c r="C5" s="10"/>
    </row>
    <row r="6" spans="1:6" ht="15.75" customHeight="1" x14ac:dyDescent="0.2"/>
    <row r="7" spans="1:6" x14ac:dyDescent="0.2">
      <c r="B7" s="15" t="s">
        <v>40</v>
      </c>
      <c r="C7" s="11" t="s">
        <v>41</v>
      </c>
      <c r="D7" s="11" t="s">
        <v>42</v>
      </c>
      <c r="E7" s="11" t="s">
        <v>1</v>
      </c>
      <c r="F7" s="1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1"/>
  <sheetViews>
    <sheetView zoomScaleNormal="100" workbookViewId="0">
      <pane ySplit="7" topLeftCell="A8" activePane="bottomLeft" state="frozen"/>
      <selection pane="bottomLeft" activeCell="B11" sqref="B11"/>
    </sheetView>
  </sheetViews>
  <sheetFormatPr defaultColWidth="9.140625" defaultRowHeight="11.25" x14ac:dyDescent="0.2"/>
  <cols>
    <col min="1" max="1" width="12.85546875" style="9" customWidth="1"/>
    <col min="2" max="2" width="18.7109375" style="9" customWidth="1"/>
    <col min="3" max="3" width="39.42578125" style="9" customWidth="1"/>
    <col min="4" max="4" width="10.28515625" style="9" customWidth="1"/>
    <col min="5" max="5" width="29.7109375" style="9" customWidth="1"/>
    <col min="6" max="6" width="10.28515625" style="9" customWidth="1"/>
    <col min="7" max="16384" width="9.140625" style="9"/>
  </cols>
  <sheetData>
    <row r="1" spans="1:6" x14ac:dyDescent="0.2">
      <c r="A1" s="2" t="str">
        <f ca="1">IF(INDEX(Index!$E$6:$E$37,MATCH(A2,Index!$D$6:$D$37,0))=1,LEFT(A2,SEARCH("_",A2)-1),"")</f>
        <v>Commodities</v>
      </c>
      <c r="B1" s="9" t="s">
        <v>128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10"/>
    </row>
    <row r="6" spans="1:6" ht="15.75" customHeight="1" x14ac:dyDescent="0.2"/>
    <row r="7" spans="1:6" x14ac:dyDescent="0.2">
      <c r="B7" s="15" t="s">
        <v>40</v>
      </c>
      <c r="C7" s="11" t="s">
        <v>41</v>
      </c>
      <c r="D7" s="11" t="s">
        <v>42</v>
      </c>
      <c r="E7" s="11" t="s">
        <v>1</v>
      </c>
      <c r="F7" s="11" t="s">
        <v>0</v>
      </c>
    </row>
    <row r="8" spans="1:6" s="8" customFormat="1" ht="12.75" x14ac:dyDescent="0.2">
      <c r="A8" s="28" t="s">
        <v>114</v>
      </c>
      <c r="B8" s="31"/>
      <c r="C8" s="31"/>
      <c r="D8" s="31"/>
    </row>
    <row r="9" spans="1:6" s="8" customFormat="1" ht="12.75" x14ac:dyDescent="0.2">
      <c r="A9" s="28"/>
      <c r="B9" s="31" t="s">
        <v>212</v>
      </c>
      <c r="C9" s="31" t="s">
        <v>514</v>
      </c>
      <c r="D9" s="33" t="s">
        <v>116</v>
      </c>
      <c r="E9" s="17" t="s">
        <v>119</v>
      </c>
    </row>
    <row r="10" spans="1:6" s="8" customFormat="1" ht="12.75" x14ac:dyDescent="0.2">
      <c r="A10" s="28"/>
      <c r="B10" s="31" t="str">
        <f>RES_Cr!L2</f>
        <v>IFACHA</v>
      </c>
      <c r="C10" s="31" t="str">
        <f>RES_Cr!L3</f>
        <v>Industry Biochar</v>
      </c>
      <c r="D10" s="33" t="s">
        <v>116</v>
      </c>
      <c r="E10" s="17" t="s">
        <v>119</v>
      </c>
    </row>
    <row r="11" spans="1:6" s="8" customFormat="1" ht="12.75" x14ac:dyDescent="0.2">
      <c r="A11" s="29"/>
      <c r="B11" s="29" t="str">
        <f>RES_Cr!D2</f>
        <v>IISCKE</v>
      </c>
      <c r="C11" s="29" t="str">
        <f>RES_Cr!D3</f>
        <v>Industry - Iron and Steel - Coke</v>
      </c>
      <c r="D11" s="33" t="s">
        <v>116</v>
      </c>
      <c r="E11" s="17" t="s">
        <v>119</v>
      </c>
    </row>
    <row r="12" spans="1:6" s="8" customFormat="1" ht="12.75" x14ac:dyDescent="0.2">
      <c r="A12" s="29"/>
      <c r="B12" s="29" t="s">
        <v>594</v>
      </c>
      <c r="C12" s="29" t="str">
        <f>RES_Cr!E3</f>
        <v>Feedstock coal (no emissions associated)</v>
      </c>
      <c r="D12" s="33" t="s">
        <v>116</v>
      </c>
      <c r="E12" s="17" t="s">
        <v>119</v>
      </c>
    </row>
    <row r="13" spans="1:6" s="8" customFormat="1" ht="12.75" x14ac:dyDescent="0.2">
      <c r="A13" s="29"/>
      <c r="B13" s="29" t="str">
        <f>RES_Cr!F2</f>
        <v>IFAELC</v>
      </c>
      <c r="C13" s="29" t="str">
        <f>RES_Cr!F3</f>
        <v>Industry-FA-Electricity</v>
      </c>
      <c r="D13" s="33" t="s">
        <v>116</v>
      </c>
      <c r="E13" s="17" t="s">
        <v>118</v>
      </c>
    </row>
    <row r="14" spans="1:6" s="8" customFormat="1" ht="12.75" x14ac:dyDescent="0.2">
      <c r="A14" s="29"/>
      <c r="B14" s="29" t="str">
        <f>RES_Cr!G2</f>
        <v>IFACHA</v>
      </c>
      <c r="C14" s="29" t="str">
        <f>RES_Cr!G3</f>
        <v>Industry Biochar</v>
      </c>
      <c r="D14" s="33" t="s">
        <v>116</v>
      </c>
      <c r="E14" s="17" t="s">
        <v>119</v>
      </c>
    </row>
    <row r="15" spans="1:6" s="8" customFormat="1" ht="12.75" x14ac:dyDescent="0.2">
      <c r="A15" s="29"/>
      <c r="B15" s="29" t="str">
        <f>RES_Cr!T2</f>
        <v>IFACR</v>
      </c>
      <c r="C15" s="29" t="str">
        <f>RES_Cr!T3</f>
        <v>Industry - Ferro Alloy Metals production</v>
      </c>
      <c r="D15" s="33" t="s">
        <v>116</v>
      </c>
      <c r="E15" s="17" t="s">
        <v>196</v>
      </c>
    </row>
    <row r="16" spans="1:6" s="8" customFormat="1" ht="12.75" x14ac:dyDescent="0.2">
      <c r="A16" s="29"/>
      <c r="B16" s="29" t="str">
        <f>RES_Cr!V2</f>
        <v>IFAMN</v>
      </c>
      <c r="C16" s="29" t="str">
        <f>RES_Cr!V3</f>
        <v>Industry - Ferro Alloy Metals production</v>
      </c>
      <c r="D16" s="33" t="s">
        <v>116</v>
      </c>
      <c r="E16" s="17" t="s">
        <v>196</v>
      </c>
    </row>
    <row r="17" spans="1:5" ht="12.75" x14ac:dyDescent="0.2">
      <c r="A17" s="34" t="s">
        <v>115</v>
      </c>
      <c r="B17" s="29"/>
      <c r="C17" s="29"/>
      <c r="D17" s="33"/>
    </row>
    <row r="18" spans="1:5" ht="12.75" x14ac:dyDescent="0.2">
      <c r="A18" s="29"/>
      <c r="B18" s="29" t="s">
        <v>228</v>
      </c>
      <c r="C18" s="29" t="s">
        <v>229</v>
      </c>
      <c r="D18" s="33" t="s">
        <v>120</v>
      </c>
      <c r="E18" s="17" t="s">
        <v>121</v>
      </c>
    </row>
    <row r="19" spans="1:5" ht="12.75" x14ac:dyDescent="0.2">
      <c r="A19" s="29"/>
      <c r="B19" s="29" t="s">
        <v>509</v>
      </c>
      <c r="C19" s="29" t="s">
        <v>508</v>
      </c>
      <c r="D19" s="33" t="s">
        <v>120</v>
      </c>
      <c r="E19" s="17" t="s">
        <v>121</v>
      </c>
    </row>
    <row r="20" spans="1:5" ht="12.75" x14ac:dyDescent="0.2">
      <c r="A20" s="29"/>
      <c r="B20" s="29" t="s">
        <v>186</v>
      </c>
      <c r="C20" s="29" t="s">
        <v>187</v>
      </c>
      <c r="D20" s="33" t="s">
        <v>120</v>
      </c>
      <c r="E20" s="17" t="s">
        <v>121</v>
      </c>
    </row>
    <row r="21" spans="1:5" ht="12.75" x14ac:dyDescent="0.2">
      <c r="A21" s="29"/>
      <c r="B21" s="29"/>
      <c r="C21" s="29"/>
      <c r="D21" s="33"/>
      <c r="E21" s="17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5703125" style="3" customWidth="1"/>
    <col min="2" max="2" width="11.140625" style="3" customWidth="1"/>
    <col min="3" max="3" width="27.285156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2" t="s">
        <v>105</v>
      </c>
    </row>
    <row r="4" spans="1:6" ht="18" customHeight="1" x14ac:dyDescent="0.2"/>
    <row r="7" spans="1:6" x14ac:dyDescent="0.2">
      <c r="B7" s="2" t="s">
        <v>56</v>
      </c>
      <c r="C7" s="2" t="s">
        <v>57</v>
      </c>
      <c r="D7" s="2" t="s">
        <v>93</v>
      </c>
      <c r="E7" s="2" t="s">
        <v>1</v>
      </c>
      <c r="F7" s="2" t="s">
        <v>0</v>
      </c>
    </row>
    <row r="8" spans="1:6" x14ac:dyDescent="0.2">
      <c r="B8" s="2"/>
      <c r="C8" s="2"/>
      <c r="D8" s="2"/>
      <c r="E8" s="2"/>
      <c r="F8" s="2"/>
    </row>
    <row r="9" spans="1:6" x14ac:dyDescent="0.2">
      <c r="B9" s="23"/>
      <c r="C9" s="23"/>
      <c r="E9" s="23"/>
    </row>
    <row r="10" spans="1:6" x14ac:dyDescent="0.2">
      <c r="B10" s="4"/>
      <c r="C10" s="23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8" customWidth="1"/>
    <col min="2" max="2" width="12.140625" style="8" customWidth="1"/>
    <col min="3" max="3" width="28.42578125" style="8" customWidth="1"/>
    <col min="4" max="4" width="10" style="8" customWidth="1"/>
    <col min="5" max="5" width="28.42578125" style="8" customWidth="1"/>
    <col min="6" max="6" width="10.28515625" style="8" customWidth="1"/>
    <col min="7" max="16384" width="9.140625" style="8"/>
  </cols>
  <sheetData>
    <row r="1" spans="1:6" s="9" customFormat="1" ht="11.25" x14ac:dyDescent="0.2">
      <c r="A1" s="11" t="s">
        <v>103</v>
      </c>
    </row>
    <row r="2" spans="1:6" s="9" customFormat="1" ht="11.25" x14ac:dyDescent="0.2"/>
    <row r="3" spans="1:6" s="9" customFormat="1" ht="11.25" x14ac:dyDescent="0.2"/>
    <row r="4" spans="1:6" s="9" customFormat="1" ht="18.75" customHeight="1" x14ac:dyDescent="0.2"/>
    <row r="5" spans="1:6" s="9" customFormat="1" ht="17.25" customHeight="1" x14ac:dyDescent="0.2">
      <c r="C5" s="10"/>
    </row>
    <row r="6" spans="1:6" s="9" customFormat="1" ht="15.75" customHeight="1" x14ac:dyDescent="0.2"/>
    <row r="7" spans="1:6" s="9" customFormat="1" ht="11.25" x14ac:dyDescent="0.2">
      <c r="B7" s="15" t="s">
        <v>46</v>
      </c>
      <c r="C7" s="11" t="s">
        <v>47</v>
      </c>
      <c r="D7" s="11" t="s">
        <v>43</v>
      </c>
      <c r="E7" s="11" t="s">
        <v>1</v>
      </c>
      <c r="F7" s="11" t="s">
        <v>0</v>
      </c>
    </row>
    <row r="8" spans="1:6" s="9" customFormat="1" ht="11.25" x14ac:dyDescent="0.2">
      <c r="B8" s="10"/>
      <c r="C8" s="10"/>
    </row>
    <row r="9" spans="1:6" s="9" customFormat="1" ht="11.25" x14ac:dyDescent="0.2">
      <c r="B9" s="10"/>
      <c r="C9" s="10"/>
      <c r="E9" s="10"/>
    </row>
    <row r="10" spans="1:6" s="9" customFormat="1" ht="11.25" x14ac:dyDescent="0.2">
      <c r="D10" s="10"/>
      <c r="E10" s="1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3" customWidth="1"/>
    <col min="2" max="2" width="11.7109375" style="3" customWidth="1"/>
    <col min="3" max="3" width="21.140625" style="3" customWidth="1"/>
    <col min="4" max="4" width="8.7109375" style="3" customWidth="1"/>
    <col min="5" max="16384" width="8.85546875" style="3"/>
  </cols>
  <sheetData>
    <row r="1" spans="1:4" x14ac:dyDescent="0.2">
      <c r="A1" s="2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2" t="s">
        <v>40</v>
      </c>
      <c r="C7" s="2" t="s">
        <v>41</v>
      </c>
      <c r="D7" s="2" t="s">
        <v>43</v>
      </c>
    </row>
    <row r="9" spans="1:4" x14ac:dyDescent="0.2">
      <c r="B9" s="12"/>
      <c r="C9" s="12"/>
      <c r="D9" s="12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F20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O36" sqref="O36"/>
    </sheetView>
  </sheetViews>
  <sheetFormatPr defaultColWidth="8.85546875" defaultRowHeight="11.25" x14ac:dyDescent="0.2"/>
  <cols>
    <col min="1" max="1" width="14.85546875" style="3" customWidth="1"/>
    <col min="2" max="2" width="11.7109375" style="3" customWidth="1"/>
    <col min="3" max="3" width="21.140625" style="3" customWidth="1"/>
    <col min="4" max="4" width="8.7109375" style="3" customWidth="1"/>
    <col min="5" max="16384" width="8.85546875" style="3"/>
  </cols>
  <sheetData>
    <row r="1" spans="1:6" x14ac:dyDescent="0.2">
      <c r="A1" s="2" t="str">
        <f ca="1">IF(INDEX(Index!$E$6:$E$37,MATCH(A2,Index!$D$6:$D$37,0))=1,LEFT(A2,SEARCH("_",A2)-1),"")</f>
        <v>CommData</v>
      </c>
      <c r="B1" s="9" t="str">
        <f>Commodities_BASE!B1</f>
        <v>REGION1</v>
      </c>
    </row>
    <row r="2" spans="1:6" ht="12.75" x14ac:dyDescent="0.2">
      <c r="A2" t="str">
        <f ca="1">MID(CELL("filename",A2),FIND("]",CELL("filename",A2))+1,255)</f>
        <v>CommData_BASE</v>
      </c>
    </row>
    <row r="3" spans="1:6" ht="15" customHeight="1" x14ac:dyDescent="0.2"/>
    <row r="4" spans="1:6" ht="20.25" customHeight="1" x14ac:dyDescent="0.2">
      <c r="E4" s="14" t="s">
        <v>132</v>
      </c>
      <c r="F4" s="14"/>
    </row>
    <row r="5" spans="1:6" ht="19.5" customHeight="1" x14ac:dyDescent="0.2"/>
    <row r="6" spans="1:6" ht="19.5" customHeight="1" x14ac:dyDescent="0.2"/>
    <row r="7" spans="1:6" x14ac:dyDescent="0.2">
      <c r="B7" s="2" t="s">
        <v>40</v>
      </c>
      <c r="C7" s="2" t="s">
        <v>41</v>
      </c>
      <c r="D7" s="2" t="s">
        <v>43</v>
      </c>
      <c r="E7" s="3">
        <v>2017</v>
      </c>
    </row>
    <row r="8" spans="1:6" x14ac:dyDescent="0.2">
      <c r="B8" s="31" t="str">
        <f>RES_Mn!O2</f>
        <v>IFAMN</v>
      </c>
      <c r="C8" s="31" t="str">
        <f>RES_Mn!O3</f>
        <v>Industry - Ferro Alloy Metals production</v>
      </c>
      <c r="D8" s="31" t="s">
        <v>116</v>
      </c>
      <c r="E8" s="69">
        <f>EB_Exist!O34</f>
        <v>0.4587</v>
      </c>
    </row>
    <row r="9" spans="1:6" s="31" customFormat="1" x14ac:dyDescent="0.2">
      <c r="B9" s="31" t="str">
        <f>RES_Cr!T2</f>
        <v>IFACR</v>
      </c>
      <c r="C9" s="31" t="str">
        <f>RES_Cr!T3</f>
        <v>Industry - Ferro Alloy Metals production</v>
      </c>
      <c r="D9" s="31" t="s">
        <v>116</v>
      </c>
      <c r="E9" s="69">
        <f>EB_Exist!F5</f>
        <v>3.484</v>
      </c>
    </row>
    <row r="10" spans="1:6" s="31" customFormat="1" x14ac:dyDescent="0.2"/>
    <row r="11" spans="1:6" s="31" customFormat="1" x14ac:dyDescent="0.2"/>
    <row r="12" spans="1:6" s="31" customFormat="1" x14ac:dyDescent="0.2"/>
    <row r="16" spans="1:6" x14ac:dyDescent="0.2">
      <c r="B16" s="3" t="s">
        <v>585</v>
      </c>
    </row>
    <row r="17" spans="2:5" x14ac:dyDescent="0.2">
      <c r="B17" s="3" t="s">
        <v>587</v>
      </c>
      <c r="C17" s="3" t="s">
        <v>40</v>
      </c>
      <c r="D17" s="3" t="s">
        <v>588</v>
      </c>
      <c r="E17" s="3">
        <v>2017</v>
      </c>
    </row>
    <row r="18" spans="2:5" x14ac:dyDescent="0.2">
      <c r="B18" s="3" t="s">
        <v>92</v>
      </c>
      <c r="C18" s="3" t="s">
        <v>589</v>
      </c>
      <c r="D18" s="3" t="s">
        <v>590</v>
      </c>
      <c r="E18" s="3" t="s">
        <v>591</v>
      </c>
    </row>
    <row r="19" spans="2:5" x14ac:dyDescent="0.2">
      <c r="B19" s="3" t="s">
        <v>592</v>
      </c>
      <c r="C19" s="3" t="str">
        <f>B8</f>
        <v>IFAMN</v>
      </c>
      <c r="D19" s="3" t="s">
        <v>116</v>
      </c>
      <c r="E19" s="304">
        <f>E8</f>
        <v>0.4587</v>
      </c>
    </row>
    <row r="20" spans="2:5" x14ac:dyDescent="0.2">
      <c r="B20" s="3" t="s">
        <v>592</v>
      </c>
      <c r="C20" s="3" t="str">
        <f>B9</f>
        <v>IFACR</v>
      </c>
      <c r="D20" s="3" t="s">
        <v>116</v>
      </c>
      <c r="E20" s="304">
        <f>E9</f>
        <v>3.484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H16" sqref="H16"/>
    </sheetView>
  </sheetViews>
  <sheetFormatPr defaultColWidth="9.140625" defaultRowHeight="11.25" x14ac:dyDescent="0.2"/>
  <cols>
    <col min="1" max="1" width="13.5703125" style="3" customWidth="1"/>
    <col min="2" max="2" width="16.140625" style="3" customWidth="1"/>
    <col min="3" max="3" width="45.425781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2" t="str">
        <f ca="1">IF(INDEX(Index!$E$6:$E$37,MATCH(A2,Index!$D$6:$D$37,0))=1,LEFT(A2,SEARCH("_",A2)-1),"")</f>
        <v>Processes</v>
      </c>
      <c r="B1" s="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2" t="s">
        <v>56</v>
      </c>
      <c r="C7" s="2" t="s">
        <v>57</v>
      </c>
      <c r="D7" s="2" t="s">
        <v>93</v>
      </c>
      <c r="E7" s="2" t="s">
        <v>1</v>
      </c>
      <c r="F7" s="2"/>
    </row>
    <row r="8" spans="1:6" s="31" customFormat="1" ht="12" x14ac:dyDescent="0.2">
      <c r="A8" s="35" t="s">
        <v>144</v>
      </c>
      <c r="D8" s="16"/>
      <c r="E8" s="16"/>
    </row>
    <row r="9" spans="1:6" s="31" customFormat="1" x14ac:dyDescent="0.2">
      <c r="B9" s="31" t="s">
        <v>211</v>
      </c>
      <c r="C9" s="31" t="s">
        <v>208</v>
      </c>
      <c r="D9" s="16" t="s">
        <v>122</v>
      </c>
      <c r="E9" s="17" t="s">
        <v>130</v>
      </c>
    </row>
    <row r="10" spans="1:6" s="31" customFormat="1" x14ac:dyDescent="0.2">
      <c r="B10" s="31" t="str">
        <f>EB_Exist!C4</f>
        <v>IFCEAF-E</v>
      </c>
      <c r="C10" s="31" t="str">
        <f>EB_Exist!D4</f>
        <v>FerroChrome existing</v>
      </c>
      <c r="D10" s="16" t="s">
        <v>122</v>
      </c>
      <c r="E10" s="17" t="s">
        <v>133</v>
      </c>
    </row>
    <row r="11" spans="1:6" s="31" customFormat="1" x14ac:dyDescent="0.2">
      <c r="B11" s="31" t="str">
        <f>RES_Cr!R15</f>
        <v>IFCEAF-N</v>
      </c>
      <c r="C11" s="31" t="str">
        <f>RES_Cr!R12</f>
        <v>FerrChrome New</v>
      </c>
      <c r="D11" s="16" t="s">
        <v>122</v>
      </c>
      <c r="E11" s="17" t="s">
        <v>133</v>
      </c>
    </row>
    <row r="12" spans="1:6" s="31" customFormat="1" ht="12" x14ac:dyDescent="0.2">
      <c r="A12" s="36"/>
      <c r="B12" s="31" t="str">
        <f>RES_Cr!R22</f>
        <v>IFCEAFB-N</v>
      </c>
      <c r="C12" s="31" t="str">
        <f>RES_Cr!R18</f>
        <v>FerroChrome with biomass</v>
      </c>
      <c r="D12" s="16" t="s">
        <v>122</v>
      </c>
      <c r="E12" s="17" t="s">
        <v>133</v>
      </c>
    </row>
    <row r="13" spans="1:6" s="31" customFormat="1" ht="12" x14ac:dyDescent="0.2">
      <c r="A13" s="36"/>
      <c r="B13" s="31" t="str">
        <f>RES_Mn!M9</f>
        <v>IFMEAF-E</v>
      </c>
      <c r="C13" s="31" t="str">
        <f>RES_Mn!M5</f>
        <v>FerroMn existing</v>
      </c>
      <c r="D13" s="16" t="s">
        <v>122</v>
      </c>
      <c r="E13" s="17" t="s">
        <v>133</v>
      </c>
    </row>
    <row r="14" spans="1:6" s="31" customFormat="1" ht="12" x14ac:dyDescent="0.2">
      <c r="A14" s="36"/>
      <c r="B14" s="31" t="str">
        <f>RES_Mn!M15</f>
        <v>IFMEAF-N</v>
      </c>
      <c r="C14" s="31" t="str">
        <f>RES_Mn!M12</f>
        <v>FerroMn New</v>
      </c>
      <c r="D14" s="16" t="s">
        <v>122</v>
      </c>
      <c r="E14" s="17" t="s">
        <v>133</v>
      </c>
    </row>
    <row r="15" spans="1:6" s="31" customFormat="1" ht="12" x14ac:dyDescent="0.2">
      <c r="A15" s="36"/>
      <c r="B15" s="31" t="str">
        <f>RES_Mn!M22</f>
        <v>IFMEAFB-N</v>
      </c>
      <c r="C15" s="31" t="str">
        <f>RES_Mn!M18</f>
        <v>FerroMn with biomass</v>
      </c>
      <c r="D15" s="16" t="s">
        <v>122</v>
      </c>
      <c r="E15" s="17" t="s">
        <v>133</v>
      </c>
    </row>
    <row r="16" spans="1:6" s="31" customFormat="1" ht="12" x14ac:dyDescent="0.2">
      <c r="A16" s="36"/>
      <c r="D16" s="16"/>
      <c r="E16" s="16"/>
    </row>
    <row r="17" spans="1:10" s="31" customFormat="1" ht="12" x14ac:dyDescent="0.2">
      <c r="A17" s="36"/>
      <c r="D17" s="16"/>
      <c r="E17" s="16"/>
    </row>
    <row r="18" spans="1:10" s="31" customFormat="1" ht="12" x14ac:dyDescent="0.2">
      <c r="A18" s="36"/>
      <c r="D18" s="16"/>
      <c r="E18" s="16"/>
    </row>
    <row r="19" spans="1:10" s="31" customFormat="1" ht="12" x14ac:dyDescent="0.2">
      <c r="A19" s="36"/>
      <c r="B19" s="36"/>
      <c r="C19" s="36"/>
      <c r="D19" s="3"/>
      <c r="E19" s="3"/>
    </row>
    <row r="20" spans="1:10" s="31" customFormat="1" ht="12" x14ac:dyDescent="0.2">
      <c r="A20" s="36"/>
      <c r="D20" s="16"/>
      <c r="E20" s="16"/>
    </row>
    <row r="21" spans="1:10" s="31" customFormat="1" ht="12" x14ac:dyDescent="0.2">
      <c r="A21" s="36"/>
      <c r="D21" s="16"/>
      <c r="E21" s="16"/>
    </row>
    <row r="22" spans="1:10" s="31" customFormat="1" ht="12" x14ac:dyDescent="0.2">
      <c r="A22" s="36"/>
      <c r="D22" s="16"/>
      <c r="E22" s="16"/>
    </row>
    <row r="23" spans="1:10" s="31" customFormat="1" ht="12" x14ac:dyDescent="0.2">
      <c r="A23" s="36"/>
      <c r="D23" s="16"/>
      <c r="E23" s="16"/>
    </row>
    <row r="24" spans="1:10" s="31" customFormat="1" ht="12.75" x14ac:dyDescent="0.2">
      <c r="A24" s="36"/>
      <c r="B24" s="8"/>
      <c r="C24" s="8"/>
      <c r="D24" s="8"/>
      <c r="E24" s="8"/>
      <c r="G24" s="32"/>
      <c r="H24" s="32"/>
      <c r="I24" s="9"/>
      <c r="J24" s="9"/>
    </row>
    <row r="25" spans="1:10" s="31" customFormat="1" x14ac:dyDescent="0.2">
      <c r="A25" s="37"/>
      <c r="B25" s="3"/>
      <c r="C25" s="3"/>
      <c r="D25" s="16"/>
      <c r="E25" s="16"/>
      <c r="F25" s="9"/>
      <c r="G25" s="29"/>
      <c r="H25" s="29"/>
      <c r="I25" s="16"/>
      <c r="J25" s="16"/>
    </row>
    <row r="26" spans="1:10" s="31" customFormat="1" x14ac:dyDescent="0.2">
      <c r="A26" s="37"/>
      <c r="B26" s="3"/>
      <c r="C26" s="3"/>
      <c r="D26" s="16"/>
      <c r="E26" s="16"/>
      <c r="F26" s="9"/>
      <c r="G26" s="29"/>
      <c r="H26" s="29"/>
      <c r="I26" s="16"/>
      <c r="J26" s="16"/>
    </row>
    <row r="27" spans="1:10" s="31" customFormat="1" x14ac:dyDescent="0.2">
      <c r="A27" s="37"/>
      <c r="B27" s="3"/>
      <c r="C27" s="3"/>
      <c r="D27" s="16"/>
      <c r="E27" s="16"/>
      <c r="F27" s="9"/>
      <c r="G27" s="29"/>
      <c r="H27" s="29"/>
      <c r="I27" s="16"/>
      <c r="J27" s="16"/>
    </row>
    <row r="28" spans="1:10" s="31" customFormat="1" x14ac:dyDescent="0.2">
      <c r="A28" s="37"/>
      <c r="B28" s="3"/>
      <c r="C28" s="3"/>
      <c r="D28" s="16"/>
      <c r="E28" s="16"/>
      <c r="F28" s="9"/>
      <c r="G28" s="29"/>
      <c r="H28" s="29"/>
      <c r="I28" s="16"/>
      <c r="J28" s="16"/>
    </row>
    <row r="29" spans="1:10" s="31" customFormat="1" x14ac:dyDescent="0.2">
      <c r="A29" s="9"/>
      <c r="B29" s="3"/>
      <c r="C29" s="3"/>
      <c r="D29" s="16"/>
      <c r="E29" s="16"/>
      <c r="F29" s="9"/>
      <c r="G29" s="29"/>
      <c r="H29" s="29"/>
      <c r="I29" s="16"/>
      <c r="J29" s="16"/>
    </row>
    <row r="30" spans="1:10" s="31" customFormat="1" ht="12" customHeight="1" x14ac:dyDescent="0.2">
      <c r="A30" s="37"/>
      <c r="B30" s="3"/>
      <c r="C30" s="3"/>
      <c r="D30" s="16"/>
      <c r="E30" s="16"/>
      <c r="G30" s="32"/>
      <c r="H30" s="32"/>
      <c r="I30" s="9"/>
      <c r="J30" s="9"/>
    </row>
    <row r="31" spans="1:10" s="31" customFormat="1" x14ac:dyDescent="0.2">
      <c r="A31" s="37"/>
      <c r="B31" s="3"/>
      <c r="C31" s="3"/>
      <c r="D31" s="16"/>
      <c r="E31" s="16"/>
    </row>
    <row r="32" spans="1:10" s="31" customFormat="1" x14ac:dyDescent="0.2">
      <c r="A32" s="37"/>
      <c r="B32" s="3"/>
      <c r="C32" s="3"/>
      <c r="D32" s="16"/>
      <c r="E32" s="16"/>
      <c r="F32" s="29"/>
      <c r="G32" s="29"/>
      <c r="H32" s="29"/>
      <c r="I32" s="16"/>
      <c r="J32" s="16"/>
    </row>
    <row r="33" spans="1:10" s="31" customFormat="1" x14ac:dyDescent="0.2">
      <c r="A33" s="37"/>
      <c r="B33" s="3"/>
      <c r="C33" s="3"/>
      <c r="D33" s="16"/>
      <c r="E33" s="16"/>
      <c r="F33" s="29"/>
      <c r="G33" s="29"/>
      <c r="H33" s="29"/>
      <c r="I33" s="16"/>
      <c r="J33" s="16"/>
    </row>
    <row r="34" spans="1:10" s="31" customFormat="1" x14ac:dyDescent="0.2">
      <c r="A34" s="37"/>
      <c r="B34" s="3"/>
      <c r="C34" s="3"/>
      <c r="D34" s="16"/>
      <c r="E34" s="16"/>
      <c r="F34" s="29"/>
      <c r="G34" s="29"/>
      <c r="H34" s="29"/>
      <c r="I34" s="16"/>
      <c r="J34" s="16"/>
    </row>
    <row r="35" spans="1:10" s="31" customFormat="1" ht="11.45" customHeight="1" x14ac:dyDescent="0.2">
      <c r="A35" s="37"/>
      <c r="B35" s="3"/>
      <c r="C35" s="3"/>
      <c r="D35" s="16"/>
      <c r="E35" s="16"/>
      <c r="F35" s="9"/>
      <c r="G35" s="8"/>
      <c r="H35" s="8"/>
      <c r="I35" s="8"/>
      <c r="J35" s="8"/>
    </row>
    <row r="36" spans="1:10" s="31" customFormat="1" x14ac:dyDescent="0.2">
      <c r="A36" s="37"/>
      <c r="B36" s="3"/>
      <c r="C36" s="3"/>
      <c r="D36" s="16"/>
      <c r="E36" s="16"/>
    </row>
    <row r="37" spans="1:10" s="31" customFormat="1" x14ac:dyDescent="0.2">
      <c r="A37" s="37"/>
      <c r="B37" s="3"/>
      <c r="C37" s="3"/>
      <c r="D37" s="16"/>
      <c r="E37" s="16"/>
      <c r="F37" s="9"/>
      <c r="G37" s="29"/>
      <c r="H37" s="29"/>
      <c r="I37" s="16"/>
      <c r="J37" s="16"/>
    </row>
    <row r="38" spans="1:10" s="31" customFormat="1" x14ac:dyDescent="0.2">
      <c r="A38" s="37"/>
      <c r="B38" s="3"/>
      <c r="C38" s="3"/>
      <c r="D38" s="16"/>
      <c r="E38" s="16"/>
      <c r="F38" s="29"/>
      <c r="G38" s="29"/>
      <c r="H38" s="29"/>
      <c r="I38" s="16"/>
      <c r="J38" s="16"/>
    </row>
    <row r="39" spans="1:10" x14ac:dyDescent="0.2">
      <c r="A39" s="37"/>
      <c r="D39" s="16"/>
      <c r="E39" s="16"/>
    </row>
    <row r="40" spans="1:10" x14ac:dyDescent="0.2">
      <c r="A40" s="37"/>
      <c r="D40" s="16"/>
      <c r="E40" s="16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3" customWidth="1"/>
    <col min="2" max="2" width="8.42578125" style="3" customWidth="1"/>
    <col min="3" max="3" width="24.28515625" style="3" customWidth="1"/>
    <col min="4" max="4" width="8.5703125" style="3" customWidth="1"/>
    <col min="5" max="5" width="8.85546875" style="3" customWidth="1"/>
    <col min="6" max="6" width="10.140625" style="3" customWidth="1"/>
    <col min="7" max="7" width="6.85546875" style="26" customWidth="1"/>
    <col min="8" max="16384" width="9.140625" style="3"/>
  </cols>
  <sheetData>
    <row r="1" spans="1:7" ht="11.25" customHeight="1" x14ac:dyDescent="0.2">
      <c r="A1" s="2" t="s">
        <v>110</v>
      </c>
    </row>
    <row r="3" spans="1:7" ht="21.75" customHeight="1" x14ac:dyDescent="0.2"/>
    <row r="4" spans="1:7" ht="17.25" customHeight="1" x14ac:dyDescent="0.2">
      <c r="E4" s="27" t="s">
        <v>92</v>
      </c>
      <c r="F4" s="27"/>
      <c r="G4" s="27"/>
    </row>
    <row r="5" spans="1:7" ht="16.5" customHeight="1" x14ac:dyDescent="0.2"/>
    <row r="6" spans="1:7" ht="17.25" customHeight="1" x14ac:dyDescent="0.2"/>
    <row r="7" spans="1:7" ht="21.75" customHeight="1" x14ac:dyDescent="0.2">
      <c r="B7" s="2" t="s">
        <v>56</v>
      </c>
      <c r="C7" s="2" t="s">
        <v>57</v>
      </c>
      <c r="D7" s="6" t="s">
        <v>93</v>
      </c>
      <c r="E7" s="2" t="s">
        <v>80</v>
      </c>
      <c r="F7" s="2" t="s">
        <v>81</v>
      </c>
      <c r="G7" s="6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003F-712D-4095-8A34-A0EDC8E94F8B}">
  <sheetPr>
    <tabColor theme="4"/>
  </sheetPr>
  <dimension ref="A1:J11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C30" sqref="C30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7" width="6.85546875" style="26" customWidth="1"/>
    <col min="8" max="9" width="7.85546875" style="3" customWidth="1"/>
    <col min="10" max="10" width="10.42578125" style="3" bestFit="1" customWidth="1"/>
    <col min="11" max="16384" width="9.140625" style="3"/>
  </cols>
  <sheetData>
    <row r="1" spans="1:10" ht="11.25" customHeight="1" x14ac:dyDescent="0.2">
      <c r="A1" s="2" t="str">
        <f ca="1">IF(INDEX(Index!$E$6:$E$37,MATCH(A2,Index!$D$6:$D$37,0))=1,LEFT(A2,SEARCH("_",A2)-1),"")</f>
        <v/>
      </c>
      <c r="B1" s="9" t="str">
        <f>Commodities_BASE!B1</f>
        <v>REGION1</v>
      </c>
    </row>
    <row r="2" spans="1:10" ht="11.25" customHeight="1" x14ac:dyDescent="0.2">
      <c r="A2" t="str">
        <f ca="1">MID(CELL("filename",A2),FIND("]",CELL("filename",A2))+1,255)</f>
        <v>ProcData_F_Mn_Cr - PAMS</v>
      </c>
    </row>
    <row r="3" spans="1:10" ht="34.5" customHeight="1" x14ac:dyDescent="0.2"/>
    <row r="4" spans="1:10" ht="21.75" customHeight="1" x14ac:dyDescent="0.2">
      <c r="E4" s="27"/>
      <c r="F4" s="27"/>
      <c r="G4" s="27"/>
      <c r="H4" s="90" t="s">
        <v>145</v>
      </c>
      <c r="I4" s="90" t="str">
        <f>H4</f>
        <v>PRC_ACTFLO</v>
      </c>
      <c r="J4" s="90" t="str">
        <f>I4</f>
        <v>PRC_ACTFLO</v>
      </c>
    </row>
    <row r="5" spans="1:10" ht="16.5" customHeight="1" x14ac:dyDescent="0.2">
      <c r="H5" s="3" t="str">
        <f>E9</f>
        <v>IFAELC</v>
      </c>
      <c r="I5" s="90" t="str">
        <f>H5</f>
        <v>IFAELC</v>
      </c>
      <c r="J5" s="90" t="str">
        <f>I5</f>
        <v>IFAELC</v>
      </c>
    </row>
    <row r="6" spans="1:10" ht="17.25" customHeight="1" x14ac:dyDescent="0.2"/>
    <row r="7" spans="1:10" ht="21.75" customHeight="1" x14ac:dyDescent="0.2">
      <c r="B7" s="2" t="s">
        <v>56</v>
      </c>
      <c r="C7" s="2" t="s">
        <v>57</v>
      </c>
      <c r="D7" s="6" t="s">
        <v>93</v>
      </c>
      <c r="E7" s="97" t="s">
        <v>80</v>
      </c>
      <c r="F7" s="97" t="s">
        <v>81</v>
      </c>
      <c r="G7" s="6" t="s">
        <v>94</v>
      </c>
      <c r="H7" s="3">
        <v>2012</v>
      </c>
      <c r="I7" s="3">
        <v>2020</v>
      </c>
      <c r="J7" s="3">
        <v>2030</v>
      </c>
    </row>
    <row r="8" spans="1:10" ht="11.25" customHeight="1" x14ac:dyDescent="0.2">
      <c r="A8" s="35" t="str">
        <f>Processes_BASE!A8</f>
        <v>* Conversion technologies</v>
      </c>
      <c r="B8" s="31"/>
      <c r="E8" s="99"/>
      <c r="F8" s="98"/>
    </row>
    <row r="9" spans="1:10" s="26" customFormat="1" ht="11.25" customHeight="1" x14ac:dyDescent="0.2">
      <c r="A9" s="3"/>
      <c r="B9" s="31" t="str">
        <f>Processes_BASE!B10</f>
        <v>IFCEAF-E</v>
      </c>
      <c r="C9" s="31" t="str">
        <f>Processes_BASE!C10</f>
        <v>FerroChrome existing</v>
      </c>
      <c r="D9" s="31" t="str">
        <f>Processes_BASE!D10</f>
        <v>PJ,PJa</v>
      </c>
      <c r="E9" s="98" t="str">
        <f>RES_Cr!F2</f>
        <v>IFAELC</v>
      </c>
      <c r="F9" s="99" t="str">
        <f>'Process Input'!F12</f>
        <v>IFACR</v>
      </c>
      <c r="H9" s="130">
        <f>'Process Input'!R11</f>
        <v>12.360988518943744</v>
      </c>
      <c r="I9" s="94">
        <f>H9</f>
        <v>12.360988518943744</v>
      </c>
      <c r="J9" s="100">
        <f>I9*(1-Index!$M$11)</f>
        <v>11.742939092996556</v>
      </c>
    </row>
    <row r="10" spans="1:10" s="26" customFormat="1" ht="11.25" customHeight="1" x14ac:dyDescent="0.2">
      <c r="A10" s="3"/>
      <c r="B10" s="31" t="str">
        <f>'Process Input'!B23</f>
        <v>IFMEAF-E</v>
      </c>
      <c r="C10" s="31" t="str">
        <f>'Process Input'!C23</f>
        <v>FerroMn existing</v>
      </c>
      <c r="D10" s="31" t="str">
        <f>Processes_BASE!D11</f>
        <v>PJ,PJa</v>
      </c>
      <c r="E10" s="98" t="str">
        <f>RES_Cr!F2</f>
        <v>IFAELC</v>
      </c>
      <c r="F10" s="98" t="str">
        <f>CommData_BASE!B8</f>
        <v>IFAMN</v>
      </c>
      <c r="H10" s="130">
        <f>EB_Exist!K25/EB_Exist!F22</f>
        <v>12.96</v>
      </c>
      <c r="I10" s="130">
        <f>H10</f>
        <v>12.96</v>
      </c>
      <c r="J10" s="26">
        <f>H10*(1-Index!M$11)</f>
        <v>12.311999999999999</v>
      </c>
    </row>
    <row r="11" spans="1:10" ht="11.25" customHeight="1" x14ac:dyDescent="0.2">
      <c r="B11" s="26"/>
      <c r="C11" s="26"/>
      <c r="D11" s="26"/>
      <c r="E11" s="99"/>
      <c r="F11" s="99"/>
      <c r="H11" s="26"/>
      <c r="I11" s="26"/>
      <c r="J11" s="2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633B-AA2F-435C-A09F-9DBC97D79718}">
  <sheetPr>
    <tabColor rgb="FF00B050"/>
  </sheetPr>
  <dimension ref="A1:AC174"/>
  <sheetViews>
    <sheetView topLeftCell="A87" zoomScale="70" zoomScaleNormal="70" workbookViewId="0">
      <selection activeCell="I60" sqref="I60"/>
    </sheetView>
  </sheetViews>
  <sheetFormatPr defaultColWidth="9.140625" defaultRowHeight="15.75" x14ac:dyDescent="0.25"/>
  <cols>
    <col min="1" max="1" width="9.140625" style="135"/>
    <col min="2" max="3" width="30.42578125" style="135" customWidth="1"/>
    <col min="4" max="4" width="13.5703125" style="135" bestFit="1" customWidth="1"/>
    <col min="5" max="5" width="13.5703125" style="135" customWidth="1"/>
    <col min="6" max="6" width="12.140625" style="135" bestFit="1" customWidth="1"/>
    <col min="7" max="7" width="9.140625" style="135"/>
    <col min="8" max="8" width="12.42578125" style="135" bestFit="1" customWidth="1"/>
    <col min="9" max="9" width="13.5703125" style="135" bestFit="1" customWidth="1"/>
    <col min="10" max="10" width="11.28515625" style="135" bestFit="1" customWidth="1"/>
    <col min="11" max="11" width="11.5703125" style="135" bestFit="1" customWidth="1"/>
    <col min="12" max="16384" width="9.140625" style="135"/>
  </cols>
  <sheetData>
    <row r="1" spans="2:5" ht="16.5" thickBot="1" x14ac:dyDescent="0.3">
      <c r="B1" s="134" t="s">
        <v>238</v>
      </c>
    </row>
    <row r="2" spans="2:5" x14ac:dyDescent="0.25">
      <c r="B2" s="306" t="s">
        <v>239</v>
      </c>
      <c r="C2" s="307" t="s">
        <v>240</v>
      </c>
      <c r="D2" s="308"/>
      <c r="E2" s="309"/>
    </row>
    <row r="3" spans="2:5" x14ac:dyDescent="0.25">
      <c r="B3" s="343" t="s">
        <v>241</v>
      </c>
      <c r="C3" s="139" t="s">
        <v>242</v>
      </c>
      <c r="E3" s="310"/>
    </row>
    <row r="4" spans="2:5" x14ac:dyDescent="0.25">
      <c r="B4" s="343"/>
      <c r="C4" s="139" t="s">
        <v>243</v>
      </c>
      <c r="E4" s="310"/>
    </row>
    <row r="5" spans="2:5" ht="16.5" thickBot="1" x14ac:dyDescent="0.3">
      <c r="B5" s="344"/>
      <c r="C5" s="141" t="s">
        <v>244</v>
      </c>
      <c r="E5" s="310"/>
    </row>
    <row r="6" spans="2:5" x14ac:dyDescent="0.25">
      <c r="B6" s="345" t="s">
        <v>245</v>
      </c>
      <c r="C6" s="142" t="s">
        <v>246</v>
      </c>
      <c r="E6" s="310"/>
    </row>
    <row r="7" spans="2:5" x14ac:dyDescent="0.25">
      <c r="B7" s="346"/>
      <c r="C7" s="142" t="s">
        <v>247</v>
      </c>
      <c r="E7" s="310"/>
    </row>
    <row r="8" spans="2:5" ht="16.5" thickBot="1" x14ac:dyDescent="0.3">
      <c r="B8" s="347"/>
      <c r="C8" s="143" t="s">
        <v>248</v>
      </c>
      <c r="E8" s="310"/>
    </row>
    <row r="9" spans="2:5" x14ac:dyDescent="0.25">
      <c r="B9" s="345" t="s">
        <v>249</v>
      </c>
      <c r="C9" s="142" t="s">
        <v>250</v>
      </c>
      <c r="E9" s="310"/>
    </row>
    <row r="10" spans="2:5" x14ac:dyDescent="0.25">
      <c r="B10" s="346"/>
      <c r="C10" s="142" t="s">
        <v>251</v>
      </c>
      <c r="E10" s="310"/>
    </row>
    <row r="11" spans="2:5" ht="30.75" thickBot="1" x14ac:dyDescent="0.3">
      <c r="B11" s="347"/>
      <c r="C11" s="143" t="s">
        <v>252</v>
      </c>
      <c r="E11" s="310"/>
    </row>
    <row r="12" spans="2:5" x14ac:dyDescent="0.25">
      <c r="B12" s="345" t="s">
        <v>253</v>
      </c>
      <c r="C12" s="142" t="s">
        <v>250</v>
      </c>
      <c r="E12" s="310"/>
    </row>
    <row r="13" spans="2:5" x14ac:dyDescent="0.25">
      <c r="B13" s="346"/>
      <c r="C13" s="142" t="s">
        <v>251</v>
      </c>
      <c r="E13" s="310"/>
    </row>
    <row r="14" spans="2:5" ht="16.5" thickBot="1" x14ac:dyDescent="0.3">
      <c r="B14" s="347"/>
      <c r="C14" s="143" t="s">
        <v>254</v>
      </c>
      <c r="E14" s="310"/>
    </row>
    <row r="15" spans="2:5" x14ac:dyDescent="0.25">
      <c r="B15" s="311"/>
      <c r="E15" s="310"/>
    </row>
    <row r="16" spans="2:5" x14ac:dyDescent="0.25">
      <c r="B16" s="311"/>
      <c r="E16" s="310"/>
    </row>
    <row r="17" spans="2:29" x14ac:dyDescent="0.25">
      <c r="B17" s="311"/>
      <c r="E17" s="310"/>
    </row>
    <row r="18" spans="2:29" x14ac:dyDescent="0.25">
      <c r="B18" s="311"/>
      <c r="E18" s="310"/>
      <c r="Q18" s="135" t="s">
        <v>256</v>
      </c>
    </row>
    <row r="19" spans="2:29" ht="31.5" x14ac:dyDescent="0.25">
      <c r="B19" s="312" t="s">
        <v>257</v>
      </c>
      <c r="C19" s="313" t="s">
        <v>258</v>
      </c>
      <c r="D19" s="314" t="s">
        <v>510</v>
      </c>
      <c r="E19" s="315" t="s">
        <v>510</v>
      </c>
      <c r="F19" s="135" t="s">
        <v>259</v>
      </c>
      <c r="G19" s="135" t="s">
        <v>260</v>
      </c>
      <c r="H19" s="135" t="s">
        <v>261</v>
      </c>
      <c r="I19" s="135" t="s">
        <v>262</v>
      </c>
      <c r="K19" s="135" t="s">
        <v>263</v>
      </c>
      <c r="L19" s="135" t="s">
        <v>264</v>
      </c>
      <c r="M19" s="135" t="s">
        <v>0</v>
      </c>
      <c r="Q19" s="145" t="s">
        <v>265</v>
      </c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8"/>
    </row>
    <row r="20" spans="2:29" ht="16.5" thickBot="1" x14ac:dyDescent="0.3">
      <c r="B20" s="316" t="s">
        <v>266</v>
      </c>
      <c r="C20" s="146">
        <v>2000</v>
      </c>
      <c r="D20" s="251">
        <v>-25.622157157247099</v>
      </c>
      <c r="E20" s="317">
        <v>27.2191479003376</v>
      </c>
      <c r="F20" s="135">
        <v>0.72</v>
      </c>
      <c r="G20" s="135">
        <f>C20*0.001-F20</f>
        <v>1.28</v>
      </c>
      <c r="J20" s="135" t="s">
        <v>267</v>
      </c>
      <c r="K20" s="135" t="s">
        <v>268</v>
      </c>
      <c r="Q20" s="144"/>
      <c r="AB20" s="140"/>
    </row>
    <row r="21" spans="2:29" x14ac:dyDescent="0.25">
      <c r="B21" s="318" t="s">
        <v>269</v>
      </c>
      <c r="C21" s="341">
        <v>1200</v>
      </c>
      <c r="D21" s="348" t="s">
        <v>511</v>
      </c>
      <c r="E21" s="319" t="s">
        <v>511</v>
      </c>
      <c r="G21" s="135">
        <f>C21*0.001</f>
        <v>1.2</v>
      </c>
      <c r="H21" s="147">
        <f>C26*0.001</f>
        <v>0.42</v>
      </c>
      <c r="J21" s="135" t="s">
        <v>270</v>
      </c>
      <c r="L21" s="135" t="s">
        <v>268</v>
      </c>
      <c r="Q21" s="144"/>
      <c r="AB21" s="140"/>
    </row>
    <row r="22" spans="2:29" ht="16.5" thickBot="1" x14ac:dyDescent="0.3">
      <c r="B22" s="320" t="s">
        <v>271</v>
      </c>
      <c r="C22" s="342"/>
      <c r="D22" s="349"/>
      <c r="E22" s="321"/>
      <c r="Q22" s="144">
        <v>4.9000000000000004</v>
      </c>
      <c r="R22" s="135" t="s">
        <v>272</v>
      </c>
      <c r="AB22" s="140"/>
    </row>
    <row r="23" spans="2:29" ht="16.5" thickBot="1" x14ac:dyDescent="0.3">
      <c r="B23" s="316" t="s">
        <v>273</v>
      </c>
      <c r="C23" s="146">
        <v>150</v>
      </c>
      <c r="D23" s="146">
        <v>-28.744199999999999</v>
      </c>
      <c r="E23" s="322">
        <v>32.0214</v>
      </c>
      <c r="H23" s="135">
        <f>C23*0.001</f>
        <v>0.15</v>
      </c>
      <c r="J23" s="135" t="s">
        <v>274</v>
      </c>
      <c r="M23" s="135" t="s">
        <v>275</v>
      </c>
      <c r="Q23" s="144">
        <v>0.36</v>
      </c>
      <c r="R23" s="135" t="s">
        <v>276</v>
      </c>
      <c r="AB23" s="140"/>
    </row>
    <row r="24" spans="2:29" ht="28.5" x14ac:dyDescent="0.25">
      <c r="B24" s="318" t="s">
        <v>512</v>
      </c>
      <c r="C24" s="341">
        <v>110</v>
      </c>
      <c r="D24" s="350">
        <v>-26.1357162831553</v>
      </c>
      <c r="E24" s="352">
        <v>28.047042804386201</v>
      </c>
      <c r="H24" s="135">
        <f>C24*0.001</f>
        <v>0.11</v>
      </c>
      <c r="J24" s="135" t="s">
        <v>274</v>
      </c>
      <c r="Q24" s="144">
        <v>0.36</v>
      </c>
      <c r="R24" s="135" t="s">
        <v>277</v>
      </c>
      <c r="AB24" s="140"/>
    </row>
    <row r="25" spans="2:29" ht="30.75" thickBot="1" x14ac:dyDescent="0.3">
      <c r="B25" s="320" t="s">
        <v>278</v>
      </c>
      <c r="C25" s="342"/>
      <c r="D25" s="351"/>
      <c r="E25" s="353"/>
      <c r="Q25" s="144">
        <f>Q22/Q23</f>
        <v>13.611111111111112</v>
      </c>
      <c r="R25" s="135" t="s">
        <v>279</v>
      </c>
      <c r="AB25" s="140"/>
    </row>
    <row r="26" spans="2:29" ht="16.5" thickBot="1" x14ac:dyDescent="0.3">
      <c r="B26" s="316" t="s">
        <v>280</v>
      </c>
      <c r="C26" s="146">
        <v>420</v>
      </c>
      <c r="D26" s="146">
        <v>-25.6587</v>
      </c>
      <c r="E26" s="322">
        <v>27.828499999999998</v>
      </c>
      <c r="H26" s="147"/>
      <c r="M26" s="135" t="s">
        <v>281</v>
      </c>
      <c r="Q26" s="144"/>
      <c r="AB26" s="140"/>
    </row>
    <row r="27" spans="2:29" x14ac:dyDescent="0.25">
      <c r="B27" s="318" t="s">
        <v>282</v>
      </c>
      <c r="C27" s="341">
        <v>267</v>
      </c>
      <c r="D27" s="341">
        <v>-26.903199999999998</v>
      </c>
      <c r="E27" s="354">
        <v>26.809100000000001</v>
      </c>
      <c r="H27" s="135">
        <f>C27*0.001</f>
        <v>0.26700000000000002</v>
      </c>
      <c r="K27" s="135">
        <v>14</v>
      </c>
      <c r="M27" s="148">
        <v>0.6</v>
      </c>
      <c r="N27" s="135" t="s">
        <v>283</v>
      </c>
      <c r="O27" s="149" t="s">
        <v>284</v>
      </c>
      <c r="P27" s="149"/>
      <c r="Q27" s="150" t="s">
        <v>285</v>
      </c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2"/>
    </row>
    <row r="28" spans="2:29" ht="16.5" thickBot="1" x14ac:dyDescent="0.3">
      <c r="B28" s="320" t="s">
        <v>286</v>
      </c>
      <c r="C28" s="342"/>
      <c r="D28" s="342"/>
      <c r="E28" s="355"/>
    </row>
    <row r="29" spans="2:29" ht="16.5" thickBot="1" x14ac:dyDescent="0.3">
      <c r="B29" s="316" t="s">
        <v>287</v>
      </c>
      <c r="C29" s="146">
        <v>410</v>
      </c>
      <c r="D29" s="146">
        <v>-26.037600000000001</v>
      </c>
      <c r="E29" s="322">
        <v>28.0427</v>
      </c>
      <c r="I29" s="135">
        <f>C29*0.001</f>
        <v>0.41000000000000003</v>
      </c>
      <c r="J29" s="149" t="s">
        <v>288</v>
      </c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8"/>
    </row>
    <row r="30" spans="2:29" ht="16.5" thickBot="1" x14ac:dyDescent="0.3">
      <c r="B30" s="323" t="s">
        <v>289</v>
      </c>
      <c r="C30" s="153">
        <v>300</v>
      </c>
      <c r="D30" s="153">
        <v>-25.715499999999999</v>
      </c>
      <c r="E30" s="324">
        <v>30.231300000000001</v>
      </c>
      <c r="H30" s="135">
        <f>C30*0.001</f>
        <v>0.3</v>
      </c>
      <c r="Q30" s="154" t="s">
        <v>290</v>
      </c>
      <c r="AC30" s="140"/>
    </row>
    <row r="31" spans="2:29" x14ac:dyDescent="0.25">
      <c r="B31" s="325" t="s">
        <v>291</v>
      </c>
      <c r="C31" s="155">
        <v>4707</v>
      </c>
      <c r="D31" s="155"/>
      <c r="E31" s="326"/>
      <c r="Q31" s="144"/>
      <c r="AC31" s="140"/>
    </row>
    <row r="32" spans="2:29" ht="16.5" thickBot="1" x14ac:dyDescent="0.3">
      <c r="B32" s="327"/>
      <c r="C32" s="328"/>
      <c r="D32" s="328"/>
      <c r="E32" s="329"/>
      <c r="Q32" s="144" t="s">
        <v>294</v>
      </c>
      <c r="AC32" s="140"/>
    </row>
    <row r="33" spans="3:29" x14ac:dyDescent="0.25">
      <c r="Q33" s="144">
        <v>3000</v>
      </c>
      <c r="R33" s="135" t="s">
        <v>296</v>
      </c>
      <c r="AC33" s="140"/>
    </row>
    <row r="34" spans="3:29" x14ac:dyDescent="0.25">
      <c r="C34" s="135" t="s">
        <v>292</v>
      </c>
      <c r="D34" s="156">
        <f>SUM(F34:I34)</f>
        <v>4.8570000000000002</v>
      </c>
      <c r="E34" s="156"/>
      <c r="F34" s="135">
        <f>SUM(F20:F30)</f>
        <v>0.72</v>
      </c>
      <c r="G34" s="135">
        <f>SUM(G20:G30)</f>
        <v>2.48</v>
      </c>
      <c r="H34" s="135">
        <f>SUM(H20:H30)</f>
        <v>1.2469999999999999</v>
      </c>
      <c r="I34" s="135">
        <f>SUM(I20:I30)</f>
        <v>0.41000000000000003</v>
      </c>
      <c r="J34" s="135" t="s">
        <v>293</v>
      </c>
      <c r="Q34" s="144"/>
      <c r="AC34" s="140"/>
    </row>
    <row r="35" spans="3:29" x14ac:dyDescent="0.25">
      <c r="C35" s="135" t="s">
        <v>295</v>
      </c>
      <c r="F35" s="135">
        <f>G52</f>
        <v>2400</v>
      </c>
      <c r="G35" s="135">
        <f>G51</f>
        <v>3500</v>
      </c>
      <c r="H35" s="135">
        <f>G50</f>
        <v>4100</v>
      </c>
      <c r="I35" s="135">
        <f>H35</f>
        <v>4100</v>
      </c>
      <c r="J35" s="135" t="s">
        <v>185</v>
      </c>
      <c r="Q35" s="144">
        <v>22</v>
      </c>
      <c r="R35" s="135" t="s">
        <v>299</v>
      </c>
      <c r="AC35" s="140"/>
    </row>
    <row r="36" spans="3:29" x14ac:dyDescent="0.25">
      <c r="C36" s="135" t="s">
        <v>297</v>
      </c>
      <c r="D36" s="157">
        <f>SUM(F36:I36)</f>
        <v>17201.7</v>
      </c>
      <c r="E36" s="157"/>
      <c r="F36" s="158">
        <f>F35*F34</f>
        <v>1728</v>
      </c>
      <c r="G36" s="158">
        <f>G35*G34</f>
        <v>8680</v>
      </c>
      <c r="H36" s="158">
        <f>H35*H34</f>
        <v>5112.7</v>
      </c>
      <c r="I36" s="158">
        <f>I35*I34</f>
        <v>1681.0000000000002</v>
      </c>
      <c r="J36" s="135" t="s">
        <v>222</v>
      </c>
      <c r="Q36" s="144">
        <v>13</v>
      </c>
      <c r="R36" s="135" t="s">
        <v>301</v>
      </c>
      <c r="AC36" s="140"/>
    </row>
    <row r="37" spans="3:29" x14ac:dyDescent="0.25">
      <c r="C37" s="135" t="s">
        <v>298</v>
      </c>
      <c r="D37" s="157">
        <f>SUM(F37:I37)</f>
        <v>73.584000000000003</v>
      </c>
      <c r="E37" s="157"/>
      <c r="H37" s="135">
        <f>K27*M27*8.76</f>
        <v>73.584000000000003</v>
      </c>
      <c r="Q37" s="144"/>
      <c r="AC37" s="140"/>
    </row>
    <row r="38" spans="3:29" x14ac:dyDescent="0.25">
      <c r="C38" s="135" t="s">
        <v>300</v>
      </c>
      <c r="D38" s="159">
        <f>D36-D37</f>
        <v>17128.116000000002</v>
      </c>
      <c r="E38" s="159"/>
      <c r="Q38" s="144">
        <v>2</v>
      </c>
      <c r="R38" s="135" t="s">
        <v>303</v>
      </c>
      <c r="AC38" s="140"/>
    </row>
    <row r="39" spans="3:29" x14ac:dyDescent="0.25">
      <c r="D39" s="160"/>
      <c r="E39" s="160"/>
      <c r="Q39" s="144">
        <v>4</v>
      </c>
      <c r="R39" s="135" t="s">
        <v>305</v>
      </c>
      <c r="AC39" s="140"/>
    </row>
    <row r="40" spans="3:29" x14ac:dyDescent="0.25">
      <c r="D40" s="161">
        <f>D36/D34</f>
        <v>3541.6306361951824</v>
      </c>
      <c r="E40" s="161"/>
      <c r="F40" s="135" t="s">
        <v>302</v>
      </c>
      <c r="Q40" s="150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2"/>
    </row>
    <row r="41" spans="3:29" x14ac:dyDescent="0.25">
      <c r="D41" s="135">
        <f>(F36+(G20/G34)*G36)/(F20+G20)</f>
        <v>3104</v>
      </c>
      <c r="F41" s="135" t="s">
        <v>304</v>
      </c>
    </row>
    <row r="42" spans="3:29" x14ac:dyDescent="0.25">
      <c r="Q42" s="149" t="s">
        <v>306</v>
      </c>
    </row>
    <row r="43" spans="3:29" x14ac:dyDescent="0.25">
      <c r="Q43" s="136" t="s">
        <v>307</v>
      </c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8"/>
    </row>
    <row r="44" spans="3:29" x14ac:dyDescent="0.25">
      <c r="Q44" s="144"/>
      <c r="AC44" s="140"/>
    </row>
    <row r="45" spans="3:29" x14ac:dyDescent="0.25">
      <c r="Q45" s="162" t="s">
        <v>308</v>
      </c>
      <c r="AC45" s="140"/>
    </row>
    <row r="46" spans="3:29" x14ac:dyDescent="0.25">
      <c r="Q46" s="144">
        <v>4100</v>
      </c>
      <c r="R46" s="135" t="s">
        <v>185</v>
      </c>
      <c r="AC46" s="140"/>
    </row>
    <row r="47" spans="3:29" x14ac:dyDescent="0.25">
      <c r="D47" s="158" t="s">
        <v>309</v>
      </c>
      <c r="E47" s="158"/>
      <c r="Q47" s="144"/>
      <c r="AC47" s="140"/>
    </row>
    <row r="48" spans="3:29" x14ac:dyDescent="0.25">
      <c r="D48" s="136"/>
      <c r="E48" s="137"/>
      <c r="F48" s="137"/>
      <c r="G48" s="137"/>
      <c r="H48" s="137" t="s">
        <v>310</v>
      </c>
      <c r="I48" s="137"/>
      <c r="J48" s="137"/>
      <c r="K48" s="137"/>
      <c r="L48" s="137"/>
      <c r="M48" s="138"/>
      <c r="Q48" s="162" t="s">
        <v>311</v>
      </c>
      <c r="AC48" s="140"/>
    </row>
    <row r="49" spans="3:29" x14ac:dyDescent="0.25">
      <c r="D49" s="144"/>
      <c r="G49" s="135" t="s">
        <v>221</v>
      </c>
      <c r="H49" s="135" t="s">
        <v>312</v>
      </c>
      <c r="I49" s="135" t="s">
        <v>143</v>
      </c>
      <c r="J49" s="135" t="s">
        <v>313</v>
      </c>
      <c r="K49" s="135" t="s">
        <v>314</v>
      </c>
      <c r="L49" s="135" t="s">
        <v>315</v>
      </c>
      <c r="M49" s="140"/>
      <c r="Q49" s="144" t="s">
        <v>316</v>
      </c>
      <c r="AC49" s="140"/>
    </row>
    <row r="50" spans="3:29" x14ac:dyDescent="0.25">
      <c r="D50" s="144" t="s">
        <v>317</v>
      </c>
      <c r="G50" s="135">
        <f>Q46</f>
        <v>4100</v>
      </c>
      <c r="H50" s="135">
        <f>'NetZero work'!R71</f>
        <v>0.69</v>
      </c>
      <c r="I50" s="135">
        <f>'NetZero work'!R73</f>
        <v>0.2</v>
      </c>
      <c r="J50" s="135">
        <f>'NetZero work'!R74</f>
        <v>0.27</v>
      </c>
      <c r="K50" s="135">
        <f>'NetZero work'!R75</f>
        <v>0.123</v>
      </c>
      <c r="L50" s="135">
        <f>H50-SUM(I50:K50)</f>
        <v>9.6999999999999975E-2</v>
      </c>
      <c r="M50" s="140"/>
      <c r="Q50" s="144">
        <v>4800</v>
      </c>
      <c r="R50" s="135" t="s">
        <v>185</v>
      </c>
      <c r="AC50" s="140"/>
    </row>
    <row r="51" spans="3:29" x14ac:dyDescent="0.25">
      <c r="D51" s="144" t="s">
        <v>260</v>
      </c>
      <c r="G51" s="135">
        <f>Q55</f>
        <v>3500</v>
      </c>
      <c r="H51" s="135">
        <f>'NetZero work'!R93</f>
        <v>0.61</v>
      </c>
      <c r="I51" s="135">
        <f>'NetZero work'!R95</f>
        <v>2.5999999999999999E-2</v>
      </c>
      <c r="J51" s="135">
        <f>'NetZero work'!R96</f>
        <v>0.29899999999999999</v>
      </c>
      <c r="K51" s="135">
        <f>'NetZero work'!R97</f>
        <v>0.245</v>
      </c>
      <c r="L51" s="135">
        <f>'NetZero work'!R98</f>
        <v>4.1000000000000002E-2</v>
      </c>
      <c r="M51" s="140"/>
      <c r="Q51" s="144"/>
      <c r="AC51" s="140"/>
    </row>
    <row r="52" spans="3:29" x14ac:dyDescent="0.25">
      <c r="D52" s="144" t="s">
        <v>319</v>
      </c>
      <c r="G52" s="135">
        <f>Q60</f>
        <v>2400</v>
      </c>
      <c r="M52" s="140"/>
      <c r="Q52" s="162" t="s">
        <v>260</v>
      </c>
      <c r="AC52" s="140"/>
    </row>
    <row r="53" spans="3:29" x14ac:dyDescent="0.25">
      <c r="D53" s="144"/>
      <c r="M53" s="140"/>
      <c r="Q53" s="144" t="s">
        <v>318</v>
      </c>
      <c r="AC53" s="140"/>
    </row>
    <row r="54" spans="3:29" x14ac:dyDescent="0.25">
      <c r="D54" s="144" t="s">
        <v>321</v>
      </c>
      <c r="M54" s="140"/>
      <c r="Q54" s="144" t="s">
        <v>320</v>
      </c>
      <c r="AC54" s="140"/>
    </row>
    <row r="55" spans="3:29" x14ac:dyDescent="0.25">
      <c r="D55" s="144" t="s">
        <v>322</v>
      </c>
      <c r="M55" s="140"/>
      <c r="Q55" s="144">
        <v>3500</v>
      </c>
      <c r="R55" s="135" t="s">
        <v>185</v>
      </c>
      <c r="AC55" s="140"/>
    </row>
    <row r="56" spans="3:29" x14ac:dyDescent="0.25">
      <c r="D56" s="144"/>
      <c r="M56" s="140"/>
      <c r="Q56" s="144"/>
      <c r="AC56" s="140"/>
    </row>
    <row r="57" spans="3:29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52"/>
      <c r="Q57" s="162" t="s">
        <v>319</v>
      </c>
      <c r="AC57" s="140"/>
    </row>
    <row r="58" spans="3:29" x14ac:dyDescent="0.25">
      <c r="Q58" s="144" t="s">
        <v>323</v>
      </c>
      <c r="AC58" s="140"/>
    </row>
    <row r="59" spans="3:29" x14ac:dyDescent="0.25">
      <c r="Q59" s="144" t="s">
        <v>324</v>
      </c>
      <c r="AC59" s="140"/>
    </row>
    <row r="60" spans="3:29" x14ac:dyDescent="0.25">
      <c r="Q60" s="144">
        <v>2400</v>
      </c>
      <c r="R60" s="135" t="s">
        <v>185</v>
      </c>
      <c r="AC60" s="140"/>
    </row>
    <row r="61" spans="3:29" x14ac:dyDescent="0.25">
      <c r="Q61" s="144"/>
      <c r="AC61" s="140"/>
    </row>
    <row r="62" spans="3:29" x14ac:dyDescent="0.25">
      <c r="Q62" s="144"/>
      <c r="AC62" s="140"/>
    </row>
    <row r="63" spans="3:29" x14ac:dyDescent="0.25">
      <c r="C63" s="163"/>
      <c r="D63" s="163"/>
      <c r="E63" s="163"/>
      <c r="F63" s="164" t="s">
        <v>325</v>
      </c>
      <c r="G63" s="164" t="s">
        <v>260</v>
      </c>
      <c r="H63" s="164" t="s">
        <v>319</v>
      </c>
      <c r="I63" s="164" t="s">
        <v>326</v>
      </c>
      <c r="J63" s="164" t="s">
        <v>327</v>
      </c>
      <c r="Q63" s="144"/>
      <c r="AC63" s="140"/>
    </row>
    <row r="64" spans="3:29" x14ac:dyDescent="0.25">
      <c r="C64" s="164" t="s">
        <v>328</v>
      </c>
      <c r="D64" s="163" t="s">
        <v>329</v>
      </c>
      <c r="E64" s="163"/>
      <c r="F64" s="163">
        <f>G50</f>
        <v>4100</v>
      </c>
      <c r="G64" s="163">
        <f>G51</f>
        <v>3500</v>
      </c>
      <c r="H64" s="163">
        <f>G52</f>
        <v>2400</v>
      </c>
      <c r="I64" s="163"/>
      <c r="J64" s="163"/>
      <c r="L64" s="135" t="s">
        <v>330</v>
      </c>
      <c r="M64" s="135" t="s">
        <v>331</v>
      </c>
      <c r="Q64" s="144"/>
      <c r="AC64" s="140"/>
    </row>
    <row r="65" spans="3:29" x14ac:dyDescent="0.25">
      <c r="C65" s="164"/>
      <c r="D65" s="163" t="s">
        <v>332</v>
      </c>
      <c r="E65" s="163"/>
      <c r="F65" s="163"/>
      <c r="G65" s="163"/>
      <c r="H65" s="163"/>
      <c r="I65" s="163"/>
      <c r="J65" s="163"/>
      <c r="L65" s="135" t="s">
        <v>255</v>
      </c>
      <c r="Q65" s="150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2"/>
    </row>
    <row r="66" spans="3:29" x14ac:dyDescent="0.25">
      <c r="C66" s="164" t="s">
        <v>333</v>
      </c>
      <c r="D66" s="163" t="s">
        <v>143</v>
      </c>
      <c r="E66" s="163"/>
      <c r="F66" s="163">
        <f>I50</f>
        <v>0.2</v>
      </c>
      <c r="G66" s="163">
        <f>I51</f>
        <v>2.5999999999999999E-2</v>
      </c>
      <c r="H66" s="163">
        <f>G66</f>
        <v>2.5999999999999999E-2</v>
      </c>
      <c r="I66" s="163"/>
      <c r="J66" s="163" t="s">
        <v>334</v>
      </c>
    </row>
    <row r="67" spans="3:29" x14ac:dyDescent="0.25">
      <c r="C67" s="164"/>
      <c r="D67" s="163" t="s">
        <v>335</v>
      </c>
      <c r="E67" s="163"/>
      <c r="F67" s="163">
        <f>J50</f>
        <v>0.27</v>
      </c>
      <c r="G67" s="163">
        <f>J51</f>
        <v>0.29899999999999999</v>
      </c>
      <c r="H67" s="163">
        <f>G67*0.5</f>
        <v>0.14949999999999999</v>
      </c>
      <c r="I67" s="163"/>
      <c r="J67" s="163"/>
      <c r="L67" s="135" t="s">
        <v>336</v>
      </c>
      <c r="Q67" s="135" t="s">
        <v>337</v>
      </c>
    </row>
    <row r="68" spans="3:29" x14ac:dyDescent="0.25">
      <c r="C68" s="164"/>
      <c r="D68" s="163" t="s">
        <v>338</v>
      </c>
      <c r="E68" s="163"/>
      <c r="F68" s="163">
        <f>K50</f>
        <v>0.123</v>
      </c>
      <c r="G68" s="163">
        <f>K51</f>
        <v>0.245</v>
      </c>
      <c r="H68" s="163">
        <f t="shared" ref="H68" si="0">G68</f>
        <v>0.245</v>
      </c>
      <c r="I68" s="163"/>
      <c r="J68" s="163"/>
      <c r="Q68" s="136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8"/>
    </row>
    <row r="69" spans="3:29" x14ac:dyDescent="0.25">
      <c r="C69" s="164"/>
      <c r="D69" s="163" t="s">
        <v>339</v>
      </c>
      <c r="E69" s="163"/>
      <c r="F69" s="163">
        <f>L50</f>
        <v>9.6999999999999975E-2</v>
      </c>
      <c r="G69" s="163">
        <f>L51</f>
        <v>4.1000000000000002E-2</v>
      </c>
      <c r="H69" s="163">
        <f>G67-H67+G69</f>
        <v>0.1905</v>
      </c>
      <c r="I69" s="163"/>
      <c r="J69" s="163"/>
      <c r="Q69" s="144"/>
      <c r="R69" s="158" t="s">
        <v>340</v>
      </c>
      <c r="AC69" s="140"/>
    </row>
    <row r="70" spans="3:29" x14ac:dyDescent="0.25">
      <c r="C70" s="164"/>
      <c r="D70" s="165" t="s">
        <v>341</v>
      </c>
      <c r="E70" s="165"/>
      <c r="F70" s="165">
        <f>SUM(F66:F69)</f>
        <v>0.69</v>
      </c>
      <c r="G70" s="165">
        <f>SUM(G66:G69)</f>
        <v>0.6110000000000001</v>
      </c>
      <c r="H70" s="165">
        <f>SUM(H66:H69)</f>
        <v>0.61099999999999999</v>
      </c>
      <c r="I70" s="163"/>
      <c r="J70" s="163"/>
      <c r="Q70" s="144"/>
      <c r="R70" s="135">
        <v>4.2699999999999996</v>
      </c>
      <c r="S70" s="135" t="s">
        <v>342</v>
      </c>
      <c r="AC70" s="140"/>
    </row>
    <row r="71" spans="3:29" x14ac:dyDescent="0.25">
      <c r="C71" s="164" t="s">
        <v>343</v>
      </c>
      <c r="D71" s="163" t="str">
        <f>B20</f>
        <v>Glencore Merafe (Xstrata)</v>
      </c>
      <c r="E71" s="163"/>
      <c r="F71" s="163"/>
      <c r="G71" s="163">
        <f>G20</f>
        <v>1.28</v>
      </c>
      <c r="H71" s="163">
        <f>F20</f>
        <v>0.72</v>
      </c>
      <c r="I71" s="163"/>
      <c r="J71" s="163"/>
      <c r="Q71" s="144"/>
      <c r="R71" s="135">
        <v>0.69</v>
      </c>
      <c r="S71" s="135" t="s">
        <v>344</v>
      </c>
      <c r="AC71" s="140"/>
    </row>
    <row r="72" spans="3:29" x14ac:dyDescent="0.25">
      <c r="C72" s="164"/>
      <c r="D72" s="163" t="str">
        <f>B21</f>
        <v>Samancor Chrome Limited</v>
      </c>
      <c r="E72" s="163"/>
      <c r="F72" s="163">
        <f>H21</f>
        <v>0.42</v>
      </c>
      <c r="G72" s="163">
        <f>G21</f>
        <v>1.2</v>
      </c>
      <c r="H72" s="163"/>
      <c r="I72" s="163"/>
      <c r="J72" s="163" t="s">
        <v>345</v>
      </c>
      <c r="Q72" s="144"/>
      <c r="S72" s="135" t="s">
        <v>346</v>
      </c>
      <c r="AC72" s="140"/>
    </row>
    <row r="73" spans="3:29" x14ac:dyDescent="0.25">
      <c r="C73" s="164"/>
      <c r="D73" s="163" t="str">
        <f>B23</f>
        <v>Tata KZN</v>
      </c>
      <c r="E73" s="163"/>
      <c r="F73" s="163">
        <f>H23</f>
        <v>0.15</v>
      </c>
      <c r="G73" s="163"/>
      <c r="H73" s="163"/>
      <c r="I73" s="163"/>
      <c r="J73" s="163"/>
      <c r="Q73" s="144"/>
      <c r="R73" s="135">
        <v>0.2</v>
      </c>
      <c r="S73" s="135" t="s">
        <v>347</v>
      </c>
      <c r="AC73" s="140"/>
    </row>
    <row r="74" spans="3:29" x14ac:dyDescent="0.25">
      <c r="C74" s="164"/>
      <c r="D74" s="163" t="str">
        <f>B24</f>
        <v>Afarak (Probably now Zeetrust)</v>
      </c>
      <c r="E74" s="163"/>
      <c r="F74" s="163">
        <f>H24</f>
        <v>0.11</v>
      </c>
      <c r="G74" s="163"/>
      <c r="H74" s="163"/>
      <c r="I74" s="163"/>
      <c r="J74" s="163"/>
      <c r="Q74" s="144"/>
      <c r="R74" s="135">
        <v>0.27</v>
      </c>
      <c r="S74" s="135" t="s">
        <v>335</v>
      </c>
      <c r="AC74" s="140"/>
    </row>
    <row r="75" spans="3:29" x14ac:dyDescent="0.25">
      <c r="C75" s="164"/>
      <c r="D75" s="163" t="str">
        <f>B27</f>
        <v>International Ferro Metals</v>
      </c>
      <c r="E75" s="163"/>
      <c r="F75" s="163">
        <f>H27</f>
        <v>0.26700000000000002</v>
      </c>
      <c r="G75" s="163"/>
      <c r="H75" s="163"/>
      <c r="I75" s="163">
        <f>K27</f>
        <v>14</v>
      </c>
      <c r="J75" s="163"/>
      <c r="Q75" s="144"/>
      <c r="R75" s="135">
        <v>0.123</v>
      </c>
      <c r="S75" s="135" t="s">
        <v>338</v>
      </c>
      <c r="AC75" s="140"/>
    </row>
    <row r="76" spans="3:29" x14ac:dyDescent="0.25">
      <c r="C76" s="164"/>
      <c r="D76" s="163" t="str">
        <f>B29</f>
        <v>ASA Metals (Newco)</v>
      </c>
      <c r="E76" s="163"/>
      <c r="F76" s="163">
        <f>I29</f>
        <v>0.41000000000000003</v>
      </c>
      <c r="G76" s="163"/>
      <c r="H76" s="163"/>
      <c r="I76" s="163"/>
      <c r="J76" s="163" t="s">
        <v>348</v>
      </c>
      <c r="Q76" s="144"/>
      <c r="AC76" s="140"/>
    </row>
    <row r="77" spans="3:29" x14ac:dyDescent="0.25">
      <c r="C77" s="164"/>
      <c r="D77" s="163" t="str">
        <f>B30</f>
        <v>Assmang Chrome</v>
      </c>
      <c r="E77" s="163"/>
      <c r="F77" s="163">
        <f>H30</f>
        <v>0.3</v>
      </c>
      <c r="G77" s="163"/>
      <c r="H77" s="163"/>
      <c r="I77" s="163"/>
      <c r="J77" s="163"/>
      <c r="Q77" s="144"/>
      <c r="AC77" s="140"/>
    </row>
    <row r="78" spans="3:29" x14ac:dyDescent="0.25">
      <c r="C78" s="164"/>
      <c r="D78" s="165" t="s">
        <v>341</v>
      </c>
      <c r="E78" s="165"/>
      <c r="F78" s="166">
        <f>SUM(F71:F77)</f>
        <v>1.657</v>
      </c>
      <c r="G78" s="166">
        <f>SUM(G71:G77)</f>
        <v>2.48</v>
      </c>
      <c r="H78" s="166">
        <f t="shared" ref="H78" si="1">SUM(H71:H77)</f>
        <v>0.72</v>
      </c>
      <c r="I78" s="163"/>
      <c r="J78" s="163"/>
      <c r="Q78" s="144"/>
      <c r="AC78" s="140"/>
    </row>
    <row r="79" spans="3:29" x14ac:dyDescent="0.25">
      <c r="C79" s="164" t="s">
        <v>349</v>
      </c>
      <c r="D79" s="163"/>
      <c r="E79" s="163"/>
      <c r="F79" s="167">
        <f>SUM(F78:H78)</f>
        <v>4.8570000000000002</v>
      </c>
      <c r="G79" s="168"/>
      <c r="H79" s="168"/>
      <c r="I79" s="163"/>
      <c r="J79" s="163"/>
      <c r="Q79" s="144"/>
      <c r="AC79" s="140"/>
    </row>
    <row r="80" spans="3:29" x14ac:dyDescent="0.25">
      <c r="Q80" s="144"/>
      <c r="AC80" s="140"/>
    </row>
    <row r="81" spans="2:29" x14ac:dyDescent="0.25">
      <c r="C81" s="135" t="s">
        <v>350</v>
      </c>
      <c r="Q81" s="144"/>
      <c r="AC81" s="140"/>
    </row>
    <row r="82" spans="2:29" x14ac:dyDescent="0.25">
      <c r="D82" s="163" t="str">
        <f t="shared" ref="D82:D88" si="2">D71</f>
        <v>Glencore Merafe (Xstrata)</v>
      </c>
      <c r="E82" s="163"/>
      <c r="F82" s="163"/>
      <c r="G82" s="169">
        <v>0.8</v>
      </c>
      <c r="H82" s="169">
        <v>0.8</v>
      </c>
      <c r="Q82" s="144"/>
      <c r="AC82" s="140"/>
    </row>
    <row r="83" spans="2:29" x14ac:dyDescent="0.25">
      <c r="D83" s="163" t="str">
        <f t="shared" si="2"/>
        <v>Samancor Chrome Limited</v>
      </c>
      <c r="E83" s="163"/>
      <c r="F83" s="169">
        <v>0.8</v>
      </c>
      <c r="G83" s="169">
        <v>0.8</v>
      </c>
      <c r="H83" s="163"/>
      <c r="Q83" s="144"/>
      <c r="AC83" s="140"/>
    </row>
    <row r="84" spans="2:29" x14ac:dyDescent="0.25">
      <c r="D84" s="163" t="str">
        <f t="shared" si="2"/>
        <v>Tata KZN</v>
      </c>
      <c r="E84" s="163"/>
      <c r="F84" s="169">
        <v>0</v>
      </c>
      <c r="G84" s="163"/>
      <c r="H84" s="163"/>
      <c r="Q84" s="144"/>
      <c r="AC84" s="140"/>
    </row>
    <row r="85" spans="2:29" x14ac:dyDescent="0.25">
      <c r="D85" s="163" t="str">
        <f t="shared" si="2"/>
        <v>Afarak (Probably now Zeetrust)</v>
      </c>
      <c r="E85" s="163"/>
      <c r="F85" s="170">
        <f>J85</f>
        <v>0.7</v>
      </c>
      <c r="G85" s="163"/>
      <c r="H85" s="163"/>
      <c r="J85" s="171">
        <v>0.7</v>
      </c>
      <c r="Q85" s="144"/>
      <c r="AC85" s="140"/>
    </row>
    <row r="86" spans="2:29" x14ac:dyDescent="0.25">
      <c r="D86" s="163" t="str">
        <f t="shared" si="2"/>
        <v>International Ferro Metals</v>
      </c>
      <c r="E86" s="163"/>
      <c r="F86" s="169">
        <f>F85</f>
        <v>0.7</v>
      </c>
      <c r="G86" s="163"/>
      <c r="H86" s="163"/>
      <c r="Q86" s="144"/>
      <c r="AC86" s="140"/>
    </row>
    <row r="87" spans="2:29" x14ac:dyDescent="0.25">
      <c r="D87" s="163" t="str">
        <f t="shared" si="2"/>
        <v>ASA Metals (Newco)</v>
      </c>
      <c r="E87" s="163"/>
      <c r="F87" s="169">
        <f>F85</f>
        <v>0.7</v>
      </c>
      <c r="G87" s="163"/>
      <c r="H87" s="163"/>
      <c r="Q87" s="144"/>
      <c r="AC87" s="140"/>
    </row>
    <row r="88" spans="2:29" x14ac:dyDescent="0.25">
      <c r="D88" s="163" t="str">
        <f t="shared" si="2"/>
        <v>Assmang Chrome</v>
      </c>
      <c r="E88" s="163"/>
      <c r="F88" s="169">
        <v>0</v>
      </c>
      <c r="G88" s="163"/>
      <c r="H88" s="163"/>
      <c r="J88" s="135" t="s">
        <v>351</v>
      </c>
      <c r="Q88" s="144"/>
      <c r="AC88" s="140"/>
    </row>
    <row r="89" spans="2:29" x14ac:dyDescent="0.25">
      <c r="J89" s="136" t="s">
        <v>352</v>
      </c>
      <c r="K89" s="137" t="s">
        <v>432</v>
      </c>
      <c r="L89" s="137"/>
      <c r="M89" s="137"/>
      <c r="N89" s="138"/>
      <c r="Q89" s="144"/>
      <c r="AC89" s="140"/>
    </row>
    <row r="90" spans="2:29" x14ac:dyDescent="0.25">
      <c r="C90" s="158" t="s">
        <v>353</v>
      </c>
      <c r="F90" s="135">
        <f>SUMPRODUCT(F82:F88,F71:F77)</f>
        <v>0.88690000000000002</v>
      </c>
      <c r="G90" s="135">
        <f>SUMPRODUCT(G82:G88,G71:G77)</f>
        <v>1.984</v>
      </c>
      <c r="H90" s="135">
        <f>SUMPRODUCT(H82:H88,H71:H77)</f>
        <v>0.57599999999999996</v>
      </c>
      <c r="I90" s="135" t="s">
        <v>293</v>
      </c>
      <c r="J90" s="144">
        <f>SUM(F90:H90)</f>
        <v>3.4468999999999999</v>
      </c>
      <c r="K90" s="135">
        <v>3.484</v>
      </c>
      <c r="L90" s="135">
        <f>K90-J90</f>
        <v>3.7100000000000133E-2</v>
      </c>
      <c r="M90" s="135" t="s">
        <v>354</v>
      </c>
      <c r="N90" s="140"/>
      <c r="Q90" s="144"/>
      <c r="AC90" s="140"/>
    </row>
    <row r="91" spans="2:29" x14ac:dyDescent="0.25">
      <c r="C91" s="158" t="s">
        <v>355</v>
      </c>
      <c r="J91" s="144"/>
      <c r="K91" s="135" t="s">
        <v>358</v>
      </c>
      <c r="N91" s="140"/>
      <c r="Q91" s="144"/>
      <c r="R91" s="158" t="s">
        <v>356</v>
      </c>
      <c r="AC91" s="140"/>
    </row>
    <row r="92" spans="2:29" x14ac:dyDescent="0.25">
      <c r="B92" s="172" t="s">
        <v>357</v>
      </c>
      <c r="C92" s="173" t="s">
        <v>221</v>
      </c>
      <c r="F92" s="135">
        <f>F90*F64</f>
        <v>3636.29</v>
      </c>
      <c r="G92" s="135">
        <f>G90*G64</f>
        <v>6944</v>
      </c>
      <c r="H92" s="135">
        <f>H90*H64</f>
        <v>1382.3999999999999</v>
      </c>
      <c r="I92" s="135" t="s">
        <v>222</v>
      </c>
      <c r="J92" s="174">
        <f>SUM(F92:H92)</f>
        <v>11962.69</v>
      </c>
      <c r="K92" s="160">
        <v>14413.888888888889</v>
      </c>
      <c r="N92" s="140"/>
      <c r="Q92" s="144"/>
      <c r="R92" s="135">
        <v>3.38</v>
      </c>
      <c r="S92" s="135" t="s">
        <v>359</v>
      </c>
      <c r="AC92" s="140"/>
    </row>
    <row r="93" spans="2:29" x14ac:dyDescent="0.25">
      <c r="B93" s="158">
        <v>27</v>
      </c>
      <c r="C93" s="173" t="s">
        <v>143</v>
      </c>
      <c r="F93" s="175">
        <f>F$90*F66</f>
        <v>0.17738000000000001</v>
      </c>
      <c r="G93" s="175">
        <f t="shared" ref="G93:H96" si="3">G$90*G66</f>
        <v>5.1583999999999998E-2</v>
      </c>
      <c r="H93" s="175">
        <f t="shared" si="3"/>
        <v>1.4975999999999998E-2</v>
      </c>
      <c r="I93" s="135" t="s">
        <v>293</v>
      </c>
      <c r="J93" s="176">
        <f>SUM(F93:H93)</f>
        <v>0.24393999999999999</v>
      </c>
      <c r="N93" s="140"/>
      <c r="Q93" s="144"/>
      <c r="R93" s="135">
        <v>0.61</v>
      </c>
      <c r="S93" s="135" t="s">
        <v>360</v>
      </c>
      <c r="AC93" s="140"/>
    </row>
    <row r="94" spans="2:29" x14ac:dyDescent="0.25">
      <c r="B94" s="158">
        <v>28</v>
      </c>
      <c r="C94" s="173" t="s">
        <v>313</v>
      </c>
      <c r="F94" s="175">
        <f>F$90*F67</f>
        <v>0.23946300000000001</v>
      </c>
      <c r="G94" s="175">
        <f t="shared" si="3"/>
        <v>0.59321599999999997</v>
      </c>
      <c r="H94" s="175">
        <f t="shared" si="3"/>
        <v>8.6111999999999994E-2</v>
      </c>
      <c r="I94" s="135" t="s">
        <v>293</v>
      </c>
      <c r="J94" s="176">
        <f>SUM(F94:H94)</f>
        <v>0.91879099999999991</v>
      </c>
      <c r="N94" s="140"/>
      <c r="Q94" s="144"/>
      <c r="S94" s="135" t="s">
        <v>361</v>
      </c>
      <c r="AC94" s="140"/>
    </row>
    <row r="95" spans="2:29" x14ac:dyDescent="0.25">
      <c r="B95" s="158">
        <v>28</v>
      </c>
      <c r="C95" s="173" t="s">
        <v>314</v>
      </c>
      <c r="F95" s="175">
        <f>F$90*F68</f>
        <v>0.1090887</v>
      </c>
      <c r="G95" s="175">
        <f t="shared" si="3"/>
        <v>0.48608000000000001</v>
      </c>
      <c r="H95" s="175">
        <f t="shared" si="3"/>
        <v>0.14112</v>
      </c>
      <c r="I95" s="135" t="s">
        <v>293</v>
      </c>
      <c r="J95" s="176">
        <f>SUM(F95:H95)</f>
        <v>0.73628870000000002</v>
      </c>
      <c r="N95" s="140"/>
      <c r="Q95" s="144"/>
      <c r="R95" s="135">
        <v>2.5999999999999999E-2</v>
      </c>
      <c r="S95" s="135" t="s">
        <v>347</v>
      </c>
      <c r="AC95" s="140"/>
    </row>
    <row r="96" spans="2:29" x14ac:dyDescent="0.25">
      <c r="B96" s="158">
        <v>27</v>
      </c>
      <c r="C96" s="173" t="s">
        <v>315</v>
      </c>
      <c r="F96" s="175">
        <f>F$90*F69</f>
        <v>8.6029299999999975E-2</v>
      </c>
      <c r="G96" s="175">
        <f t="shared" si="3"/>
        <v>8.1344E-2</v>
      </c>
      <c r="H96" s="175">
        <f t="shared" si="3"/>
        <v>0.10972799999999999</v>
      </c>
      <c r="I96" s="135" t="s">
        <v>293</v>
      </c>
      <c r="J96" s="177">
        <f>SUM(F96:H96)</f>
        <v>0.27710129999999999</v>
      </c>
      <c r="K96" s="151"/>
      <c r="L96" s="151"/>
      <c r="M96" s="151"/>
      <c r="N96" s="152"/>
      <c r="Q96" s="144"/>
      <c r="R96" s="135">
        <v>0.29899999999999999</v>
      </c>
      <c r="S96" s="135" t="s">
        <v>335</v>
      </c>
      <c r="AC96" s="140"/>
    </row>
    <row r="97" spans="1:29" x14ac:dyDescent="0.25">
      <c r="Q97" s="144"/>
      <c r="R97" s="135">
        <v>0.245</v>
      </c>
      <c r="S97" s="135" t="s">
        <v>338</v>
      </c>
      <c r="AC97" s="140"/>
    </row>
    <row r="98" spans="1:29" x14ac:dyDescent="0.25">
      <c r="C98" s="178" t="s">
        <v>362</v>
      </c>
      <c r="Q98" s="144"/>
      <c r="R98" s="135">
        <v>4.1000000000000002E-2</v>
      </c>
      <c r="S98" s="135" t="s">
        <v>339</v>
      </c>
      <c r="AC98" s="140"/>
    </row>
    <row r="99" spans="1:29" x14ac:dyDescent="0.25">
      <c r="C99" s="173" t="s">
        <v>221</v>
      </c>
      <c r="F99" s="179">
        <f>J92/$J$90</f>
        <v>3470.5648553772958</v>
      </c>
      <c r="G99" s="135" t="s">
        <v>363</v>
      </c>
      <c r="Q99" s="144"/>
      <c r="AC99" s="140"/>
    </row>
    <row r="100" spans="1:29" x14ac:dyDescent="0.25">
      <c r="C100" s="173" t="s">
        <v>223</v>
      </c>
      <c r="F100" s="179">
        <f>(J93*B93+J96*B96)/$J$90</f>
        <v>4.0813818503582935</v>
      </c>
      <c r="G100" s="135" t="s">
        <v>364</v>
      </c>
      <c r="Q100" s="144"/>
      <c r="AC100" s="140"/>
    </row>
    <row r="101" spans="1:29" x14ac:dyDescent="0.25">
      <c r="C101" s="173" t="s">
        <v>224</v>
      </c>
      <c r="F101" s="179">
        <f>(J94*B94+J95*B95+J101*B95)/$J$90</f>
        <v>20.627230264875688</v>
      </c>
      <c r="G101" s="135" t="s">
        <v>364</v>
      </c>
      <c r="J101" s="180">
        <f>J102-SUM(J94:J95)-J103</f>
        <v>0.88420601428571455</v>
      </c>
      <c r="K101" s="181" t="s">
        <v>365</v>
      </c>
      <c r="Q101" s="144"/>
      <c r="AC101" s="140"/>
    </row>
    <row r="102" spans="1:29" x14ac:dyDescent="0.25">
      <c r="A102" s="182" t="s">
        <v>366</v>
      </c>
      <c r="C102" s="173"/>
      <c r="J102" s="181">
        <v>2.7</v>
      </c>
      <c r="K102" s="181" t="s">
        <v>367</v>
      </c>
      <c r="Q102" s="144"/>
      <c r="AC102" s="140"/>
    </row>
    <row r="103" spans="1:29" x14ac:dyDescent="0.25">
      <c r="C103" s="173" t="s">
        <v>368</v>
      </c>
      <c r="J103" s="135">
        <f>J104/B94</f>
        <v>0.16071428571428573</v>
      </c>
      <c r="K103" s="135" t="s">
        <v>369</v>
      </c>
      <c r="Q103" s="144"/>
      <c r="AC103" s="140"/>
    </row>
    <row r="104" spans="1:29" x14ac:dyDescent="0.25">
      <c r="C104" s="173" t="s">
        <v>221</v>
      </c>
      <c r="F104" s="179">
        <f>F99*$J$90</f>
        <v>11962.69</v>
      </c>
      <c r="G104" s="135" t="s">
        <v>222</v>
      </c>
      <c r="J104" s="135">
        <v>4.5</v>
      </c>
      <c r="K104" s="135" t="s">
        <v>370</v>
      </c>
      <c r="Q104" s="144"/>
      <c r="AC104" s="140"/>
    </row>
    <row r="105" spans="1:29" x14ac:dyDescent="0.25">
      <c r="C105" s="173" t="s">
        <v>223</v>
      </c>
      <c r="F105" s="179">
        <f>F100*$J$90</f>
        <v>14.068115100000002</v>
      </c>
      <c r="G105" s="135" t="s">
        <v>116</v>
      </c>
      <c r="Q105" s="144"/>
      <c r="AC105" s="140"/>
    </row>
    <row r="106" spans="1:29" x14ac:dyDescent="0.25">
      <c r="C106" s="173" t="s">
        <v>224</v>
      </c>
      <c r="F106" s="179">
        <f>F101*$J$90</f>
        <v>71.100000000000009</v>
      </c>
      <c r="G106" s="135" t="s">
        <v>116</v>
      </c>
      <c r="Q106" s="144"/>
      <c r="AC106" s="140"/>
    </row>
    <row r="107" spans="1:29" x14ac:dyDescent="0.25">
      <c r="Q107" s="144"/>
      <c r="AC107" s="140"/>
    </row>
    <row r="108" spans="1:29" x14ac:dyDescent="0.25">
      <c r="C108" s="135" t="s">
        <v>371</v>
      </c>
      <c r="Q108" s="144"/>
      <c r="AC108" s="140"/>
    </row>
    <row r="109" spans="1:29" x14ac:dyDescent="0.25">
      <c r="C109" s="163" t="s">
        <v>372</v>
      </c>
      <c r="D109" s="183">
        <f>J90</f>
        <v>3.4468999999999999</v>
      </c>
      <c r="E109" s="183"/>
      <c r="F109" s="163" t="s">
        <v>293</v>
      </c>
      <c r="Q109" s="144"/>
      <c r="AC109" s="140"/>
    </row>
    <row r="110" spans="1:29" x14ac:dyDescent="0.25">
      <c r="C110" s="163" t="s">
        <v>373</v>
      </c>
      <c r="D110" s="184">
        <f>J92</f>
        <v>11962.69</v>
      </c>
      <c r="E110" s="184"/>
      <c r="F110" s="163" t="s">
        <v>222</v>
      </c>
      <c r="Q110" s="144"/>
      <c r="AC110" s="140"/>
    </row>
    <row r="111" spans="1:29" x14ac:dyDescent="0.25">
      <c r="C111" s="163" t="s">
        <v>374</v>
      </c>
      <c r="D111" s="184">
        <f>D110/D109</f>
        <v>3470.5648553772958</v>
      </c>
      <c r="E111" s="184"/>
      <c r="F111" s="163" t="s">
        <v>363</v>
      </c>
      <c r="Q111" s="144"/>
      <c r="AC111" s="140"/>
    </row>
    <row r="112" spans="1:29" x14ac:dyDescent="0.25">
      <c r="J112" s="135" t="s">
        <v>312</v>
      </c>
      <c r="Q112" s="144"/>
      <c r="AC112" s="140"/>
    </row>
    <row r="113" spans="2:29" x14ac:dyDescent="0.25">
      <c r="C113" s="135" t="s">
        <v>375</v>
      </c>
      <c r="F113" s="135">
        <f>F90*(F66+F69)</f>
        <v>0.26340930000000001</v>
      </c>
      <c r="G113" s="135">
        <f>G90*(G66+G69)</f>
        <v>0.13292800000000002</v>
      </c>
      <c r="H113" s="135">
        <f>H90*(H66+H69)</f>
        <v>0.124704</v>
      </c>
      <c r="J113" s="135">
        <f>SUM(F113:H113)</f>
        <v>0.52104130000000004</v>
      </c>
      <c r="Q113" s="144"/>
      <c r="AC113" s="140"/>
    </row>
    <row r="114" spans="2:29" x14ac:dyDescent="0.25">
      <c r="C114" s="135" t="s">
        <v>314</v>
      </c>
      <c r="F114" s="135">
        <f>F90*F68</f>
        <v>0.1090887</v>
      </c>
      <c r="G114" s="135">
        <f>G90*G68</f>
        <v>0.48608000000000001</v>
      </c>
      <c r="H114" s="135">
        <f>H90*H68</f>
        <v>0.14112</v>
      </c>
      <c r="J114" s="135">
        <f>SUM(F114:H114)</f>
        <v>0.73628870000000002</v>
      </c>
      <c r="Q114" s="144"/>
      <c r="AC114" s="140"/>
    </row>
    <row r="115" spans="2:29" x14ac:dyDescent="0.25">
      <c r="Q115" s="144"/>
      <c r="AC115" s="140"/>
    </row>
    <row r="116" spans="2:29" x14ac:dyDescent="0.25">
      <c r="Q116" s="150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2"/>
    </row>
    <row r="120" spans="2:29" x14ac:dyDescent="0.25">
      <c r="C120" s="135" t="s">
        <v>376</v>
      </c>
      <c r="T120" s="135" t="s">
        <v>377</v>
      </c>
    </row>
    <row r="121" spans="2:29" x14ac:dyDescent="0.25">
      <c r="C121" s="135" t="s">
        <v>378</v>
      </c>
      <c r="T121" s="136" t="s">
        <v>379</v>
      </c>
      <c r="U121" s="137"/>
      <c r="V121" s="137"/>
      <c r="W121" s="137"/>
      <c r="X121" s="137"/>
      <c r="Y121" s="137"/>
      <c r="Z121" s="137"/>
    </row>
    <row r="122" spans="2:29" x14ac:dyDescent="0.25">
      <c r="C122" s="135" t="s">
        <v>380</v>
      </c>
      <c r="T122" s="144" t="s">
        <v>381</v>
      </c>
    </row>
    <row r="123" spans="2:29" x14ac:dyDescent="0.25">
      <c r="D123" s="135" t="s">
        <v>382</v>
      </c>
      <c r="T123" s="144"/>
    </row>
    <row r="124" spans="2:29" x14ac:dyDescent="0.25">
      <c r="C124" s="135" t="s">
        <v>383</v>
      </c>
      <c r="D124" s="148">
        <v>0.2</v>
      </c>
      <c r="E124" s="148"/>
      <c r="T124" s="144" t="s">
        <v>384</v>
      </c>
    </row>
    <row r="125" spans="2:29" x14ac:dyDescent="0.25">
      <c r="C125" s="135" t="s">
        <v>385</v>
      </c>
      <c r="D125" s="148">
        <v>0.35</v>
      </c>
      <c r="E125" s="148"/>
      <c r="T125" s="185" t="s">
        <v>386</v>
      </c>
    </row>
    <row r="126" spans="2:29" x14ac:dyDescent="0.25">
      <c r="T126" s="144" t="s">
        <v>226</v>
      </c>
    </row>
    <row r="127" spans="2:29" x14ac:dyDescent="0.25">
      <c r="T127" s="144">
        <v>140</v>
      </c>
      <c r="U127" s="135" t="s">
        <v>387</v>
      </c>
    </row>
    <row r="128" spans="2:29" ht="26.25" x14ac:dyDescent="0.4">
      <c r="B128" s="186" t="s">
        <v>597</v>
      </c>
    </row>
    <row r="129" spans="3:22" x14ac:dyDescent="0.25">
      <c r="C129" s="135" t="s">
        <v>388</v>
      </c>
      <c r="D129" s="135" t="s">
        <v>389</v>
      </c>
    </row>
    <row r="130" spans="3:22" x14ac:dyDescent="0.25">
      <c r="C130" s="135" t="s">
        <v>390</v>
      </c>
      <c r="D130" s="135" t="s">
        <v>391</v>
      </c>
    </row>
    <row r="131" spans="3:22" x14ac:dyDescent="0.25">
      <c r="C131" s="135" t="s">
        <v>392</v>
      </c>
      <c r="D131" s="135" t="s">
        <v>393</v>
      </c>
    </row>
    <row r="134" spans="3:22" x14ac:dyDescent="0.25">
      <c r="D134" s="158" t="s">
        <v>394</v>
      </c>
      <c r="E134" s="158"/>
      <c r="H134" s="158" t="s">
        <v>395</v>
      </c>
      <c r="J134" s="158" t="s">
        <v>396</v>
      </c>
      <c r="N134" s="135" t="s">
        <v>397</v>
      </c>
    </row>
    <row r="136" spans="3:22" x14ac:dyDescent="0.25">
      <c r="C136" s="135" t="s">
        <v>398</v>
      </c>
      <c r="D136" s="175">
        <f>F79</f>
        <v>4.8570000000000002</v>
      </c>
      <c r="E136" s="175"/>
      <c r="U136" s="135" t="s">
        <v>399</v>
      </c>
    </row>
    <row r="137" spans="3:22" x14ac:dyDescent="0.25">
      <c r="C137" s="135" t="s">
        <v>400</v>
      </c>
      <c r="D137" s="175"/>
      <c r="E137" s="175"/>
      <c r="H137" s="135">
        <f>Q25*1000*0.74</f>
        <v>10072.222222222224</v>
      </c>
      <c r="K137" s="135">
        <f>H137*(1+U137)</f>
        <v>11079.444444444447</v>
      </c>
      <c r="N137" s="135">
        <f>(R156/R145)*(1+U140)</f>
        <v>43.490026666666672</v>
      </c>
      <c r="U137" s="148">
        <v>0.1</v>
      </c>
      <c r="V137" s="135" t="s">
        <v>401</v>
      </c>
    </row>
    <row r="138" spans="3:22" x14ac:dyDescent="0.25">
      <c r="C138" s="135" t="s">
        <v>402</v>
      </c>
      <c r="D138" s="135">
        <f>K90</f>
        <v>3.484</v>
      </c>
      <c r="F138" s="187">
        <f>D138/D136</f>
        <v>0.71731521515338681</v>
      </c>
    </row>
    <row r="139" spans="3:22" x14ac:dyDescent="0.25">
      <c r="C139" s="135" t="s">
        <v>403</v>
      </c>
      <c r="H139" s="135">
        <v>20</v>
      </c>
      <c r="K139" s="135">
        <v>20</v>
      </c>
      <c r="N139" s="135">
        <f>R153</f>
        <v>10</v>
      </c>
      <c r="U139" s="135" t="s">
        <v>404</v>
      </c>
    </row>
    <row r="140" spans="3:22" x14ac:dyDescent="0.25">
      <c r="C140" s="135" t="s">
        <v>382</v>
      </c>
      <c r="N140" s="148">
        <f>R161</f>
        <v>0.33</v>
      </c>
      <c r="U140" s="148">
        <v>0.3</v>
      </c>
      <c r="V140" s="135" t="s">
        <v>405</v>
      </c>
    </row>
    <row r="141" spans="3:22" x14ac:dyDescent="0.25">
      <c r="C141" s="158" t="s">
        <v>406</v>
      </c>
      <c r="H141" s="179"/>
    </row>
    <row r="142" spans="3:22" x14ac:dyDescent="0.25">
      <c r="C142" s="135" t="s">
        <v>221</v>
      </c>
      <c r="D142" s="179">
        <f>F99*3.6*1000000/1000000000</f>
        <v>12.494033479358265</v>
      </c>
      <c r="E142" s="179"/>
      <c r="F142" s="135" t="s">
        <v>364</v>
      </c>
      <c r="H142" s="188">
        <f>H64*3.6*1000000/1000000000</f>
        <v>8.64</v>
      </c>
      <c r="I142" s="188"/>
      <c r="J142" s="188">
        <f>H142</f>
        <v>8.64</v>
      </c>
      <c r="Q142" s="135" t="s">
        <v>407</v>
      </c>
      <c r="R142" s="135" t="s">
        <v>364</v>
      </c>
    </row>
    <row r="143" spans="3:22" x14ac:dyDescent="0.25">
      <c r="C143" s="135" t="s">
        <v>143</v>
      </c>
      <c r="D143" s="175">
        <f>F100</f>
        <v>4.0813818503582935</v>
      </c>
      <c r="E143" s="175"/>
      <c r="F143" s="135" t="s">
        <v>364</v>
      </c>
      <c r="H143" s="188">
        <f>(H66+H69)*R143</f>
        <v>5.8455000000000004</v>
      </c>
      <c r="I143" s="188"/>
      <c r="J143" s="188">
        <f>K143*$H$146</f>
        <v>2.314737</v>
      </c>
      <c r="K143" s="171">
        <v>0.15</v>
      </c>
      <c r="L143" s="147" t="s">
        <v>408</v>
      </c>
      <c r="Q143" s="189">
        <v>0.86</v>
      </c>
      <c r="R143" s="138">
        <f>B93</f>
        <v>27</v>
      </c>
    </row>
    <row r="144" spans="3:22" x14ac:dyDescent="0.25">
      <c r="C144" s="135" t="s">
        <v>313</v>
      </c>
      <c r="D144" s="175">
        <f>F101</f>
        <v>20.627230264875688</v>
      </c>
      <c r="E144" s="175"/>
      <c r="F144" s="135" t="s">
        <v>364</v>
      </c>
      <c r="H144" s="188">
        <f>H67*R144</f>
        <v>4.1859999999999999</v>
      </c>
      <c r="I144" s="188"/>
      <c r="J144" s="188">
        <f>K144*$H$146</f>
        <v>1.543158</v>
      </c>
      <c r="K144" s="171">
        <v>0.1</v>
      </c>
      <c r="L144" s="147" t="s">
        <v>408</v>
      </c>
      <c r="Q144" s="190">
        <v>0.9</v>
      </c>
      <c r="R144" s="138">
        <f>B94</f>
        <v>28</v>
      </c>
    </row>
    <row r="145" spans="2:22" x14ac:dyDescent="0.25">
      <c r="B145" s="181" t="s">
        <v>409</v>
      </c>
      <c r="C145" s="135" t="s">
        <v>410</v>
      </c>
      <c r="D145" s="175"/>
      <c r="E145" s="175"/>
      <c r="F145" s="135" t="s">
        <v>364</v>
      </c>
      <c r="H145" s="188">
        <f>R145*H68</f>
        <v>7.7175000000000002</v>
      </c>
      <c r="I145" s="188"/>
      <c r="J145" s="188">
        <f>K145*$H$146/Q145</f>
        <v>13.457773255813954</v>
      </c>
      <c r="K145" s="171">
        <v>0.75</v>
      </c>
      <c r="L145" s="147" t="s">
        <v>408</v>
      </c>
      <c r="Q145" s="191">
        <v>0.86</v>
      </c>
      <c r="R145" s="152">
        <f>T148/1000</f>
        <v>31.5</v>
      </c>
      <c r="T145" s="181" t="s">
        <v>411</v>
      </c>
    </row>
    <row r="146" spans="2:22" x14ac:dyDescent="0.25">
      <c r="B146" s="181" t="s">
        <v>412</v>
      </c>
      <c r="D146" s="192">
        <f>SUMPRODUCT(D143:D145,Q143:Q145)</f>
        <v>22.074495629696251</v>
      </c>
      <c r="E146" s="192"/>
      <c r="F146" s="158"/>
      <c r="G146" s="158"/>
      <c r="H146" s="193">
        <f>SUMPRODUCT(H143:H145,Q143:Q145)</f>
        <v>15.43158</v>
      </c>
      <c r="I146" s="193"/>
      <c r="J146" s="193">
        <f>SUMPRODUCT(J143:J145,Q143:Q145)</f>
        <v>14.953201020000002</v>
      </c>
      <c r="K146" s="173"/>
      <c r="T146" s="135" t="s">
        <v>413</v>
      </c>
    </row>
    <row r="147" spans="2:22" x14ac:dyDescent="0.25">
      <c r="C147" s="158" t="s">
        <v>429</v>
      </c>
      <c r="T147" s="135">
        <v>7500</v>
      </c>
      <c r="U147" s="135" t="s">
        <v>414</v>
      </c>
    </row>
    <row r="148" spans="2:22" x14ac:dyDescent="0.25">
      <c r="C148" s="135" t="s">
        <v>415</v>
      </c>
      <c r="D148" s="194">
        <v>3.2245200000000001</v>
      </c>
      <c r="E148" s="194"/>
      <c r="F148" s="194" t="s">
        <v>430</v>
      </c>
      <c r="G148" s="194"/>
      <c r="H148" s="194">
        <f>D148*((H144+H143)/H146)</f>
        <v>2.0961413141104153</v>
      </c>
      <c r="I148" s="194"/>
      <c r="J148" s="194">
        <f>D148*((J144+J143)/J146)</f>
        <v>0.83191950464396269</v>
      </c>
      <c r="T148" s="135">
        <f>T147*4.2</f>
        <v>31500</v>
      </c>
      <c r="U148" s="135" t="s">
        <v>416</v>
      </c>
      <c r="V148" s="135" t="s">
        <v>417</v>
      </c>
    </row>
    <row r="149" spans="2:22" x14ac:dyDescent="0.25">
      <c r="D149" s="135" t="s">
        <v>431</v>
      </c>
    </row>
    <row r="152" spans="2:22" x14ac:dyDescent="0.25">
      <c r="Q152" s="135" t="s">
        <v>418</v>
      </c>
      <c r="V152" s="135" t="s">
        <v>419</v>
      </c>
    </row>
    <row r="153" spans="2:22" x14ac:dyDescent="0.25">
      <c r="Q153" s="136" t="s">
        <v>420</v>
      </c>
      <c r="R153" s="137">
        <v>10</v>
      </c>
      <c r="S153" s="137" t="s">
        <v>421</v>
      </c>
      <c r="T153" s="138"/>
      <c r="V153" s="135" t="s">
        <v>422</v>
      </c>
    </row>
    <row r="154" spans="2:22" x14ac:dyDescent="0.25">
      <c r="Q154" s="144" t="s">
        <v>423</v>
      </c>
      <c r="R154" s="135">
        <v>79</v>
      </c>
      <c r="S154" s="135" t="s">
        <v>424</v>
      </c>
      <c r="T154" s="140"/>
    </row>
    <row r="155" spans="2:22" x14ac:dyDescent="0.25">
      <c r="Q155" s="144"/>
      <c r="R155" s="135">
        <f>R154*R160</f>
        <v>88.48</v>
      </c>
      <c r="S155" s="135" t="s">
        <v>425</v>
      </c>
      <c r="T155" s="140"/>
    </row>
    <row r="156" spans="2:22" x14ac:dyDescent="0.25">
      <c r="Q156" s="144"/>
      <c r="R156" s="135">
        <f>R155*R159</f>
        <v>1053.7968000000001</v>
      </c>
      <c r="S156" s="135" t="s">
        <v>426</v>
      </c>
      <c r="T156" s="140"/>
    </row>
    <row r="157" spans="2:22" x14ac:dyDescent="0.25">
      <c r="Q157" s="144"/>
      <c r="T157" s="140"/>
    </row>
    <row r="158" spans="2:22" x14ac:dyDescent="0.25">
      <c r="Q158" s="144"/>
      <c r="T158" s="140"/>
    </row>
    <row r="159" spans="2:22" x14ac:dyDescent="0.25">
      <c r="Q159" s="144"/>
      <c r="R159" s="135">
        <v>11.91</v>
      </c>
      <c r="S159" s="135" t="s">
        <v>427</v>
      </c>
      <c r="T159" s="140"/>
    </row>
    <row r="160" spans="2:22" x14ac:dyDescent="0.25">
      <c r="Q160" s="144"/>
      <c r="R160" s="135">
        <v>1.1200000000000001</v>
      </c>
      <c r="S160" s="135" t="s">
        <v>428</v>
      </c>
      <c r="T160" s="140"/>
    </row>
    <row r="161" spans="6:20" x14ac:dyDescent="0.25">
      <c r="Q161" s="144" t="s">
        <v>382</v>
      </c>
      <c r="R161" s="148">
        <v>0.33</v>
      </c>
      <c r="T161" s="140"/>
    </row>
    <row r="162" spans="6:20" x14ac:dyDescent="0.25">
      <c r="Q162" s="150"/>
      <c r="R162" s="151"/>
      <c r="S162" s="151"/>
      <c r="T162" s="152"/>
    </row>
    <row r="174" spans="6:20" x14ac:dyDescent="0.25">
      <c r="F174" s="195"/>
    </row>
  </sheetData>
  <mergeCells count="12">
    <mergeCell ref="D21:D22"/>
    <mergeCell ref="D24:D25"/>
    <mergeCell ref="E24:E25"/>
    <mergeCell ref="D27:D28"/>
    <mergeCell ref="E27:E28"/>
    <mergeCell ref="C27:C28"/>
    <mergeCell ref="B3:B5"/>
    <mergeCell ref="B6:B8"/>
    <mergeCell ref="B9:B11"/>
    <mergeCell ref="B12:B14"/>
    <mergeCell ref="C21:C22"/>
    <mergeCell ref="C24:C25"/>
  </mergeCells>
  <hyperlinks>
    <hyperlink ref="Q19" r:id="rId1" xr:uid="{8CFFA192-6679-4FBF-B0CE-9327F43C0D73}"/>
    <hyperlink ref="Q30" r:id="rId2" xr:uid="{4E92E403-BC6C-4CC8-B0C3-0B98EF8FA85B}"/>
    <hyperlink ref="O27" r:id="rId3" xr:uid="{F6CDAB3A-729E-4516-A731-E27AF848E3AE}"/>
    <hyperlink ref="J29" r:id="rId4" xr:uid="{47D745A9-A6DA-4CAD-A438-F113815CB21C}"/>
    <hyperlink ref="Q42" r:id="rId5" xr:uid="{C06A2F1B-A6EC-44D5-98D7-CFAA76692FB3}"/>
  </hyperlinks>
  <pageMargins left="0.7" right="0.7" top="0.75" bottom="0.75" header="0.3" footer="0.3"/>
  <pageSetup orientation="portrait" horizontalDpi="1200" verticalDpi="120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99ED-D8EE-47BB-BB9F-A0BAC2754A54}">
  <sheetPr>
    <tabColor rgb="FF0000FF"/>
  </sheetPr>
  <dimension ref="B1:J25"/>
  <sheetViews>
    <sheetView zoomScaleNormal="100" workbookViewId="0">
      <selection activeCell="E55" sqref="E55"/>
    </sheetView>
  </sheetViews>
  <sheetFormatPr defaultRowHeight="12.75" x14ac:dyDescent="0.2"/>
  <cols>
    <col min="1" max="1" width="2.85546875" style="283" customWidth="1"/>
    <col min="2" max="3" width="19.42578125" style="283" customWidth="1"/>
    <col min="4" max="4" width="14.140625" style="283" customWidth="1"/>
    <col min="5" max="5" width="32.85546875" style="283" customWidth="1"/>
    <col min="6" max="6" width="9.5703125" style="283" bestFit="1" customWidth="1"/>
    <col min="7" max="7" width="11.42578125" style="283" bestFit="1" customWidth="1"/>
    <col min="8" max="8" width="12" style="283" customWidth="1"/>
    <col min="9" max="9" width="12.28515625" style="283" customWidth="1"/>
    <col min="10" max="10" width="10.28515625" style="283" customWidth="1"/>
    <col min="11" max="11" width="7.42578125" style="283" bestFit="1" customWidth="1"/>
    <col min="12" max="13" width="10.7109375" style="283" bestFit="1" customWidth="1"/>
    <col min="14" max="16384" width="9.140625" style="283"/>
  </cols>
  <sheetData>
    <row r="1" spans="2:10" ht="21.75" customHeight="1" x14ac:dyDescent="0.4">
      <c r="B1" s="282" t="s">
        <v>525</v>
      </c>
      <c r="C1" s="282"/>
    </row>
    <row r="4" spans="2:10" ht="15" x14ac:dyDescent="0.2">
      <c r="B4" s="284" t="s">
        <v>526</v>
      </c>
      <c r="C4" s="284"/>
    </row>
    <row r="6" spans="2:10" ht="18" x14ac:dyDescent="0.25">
      <c r="B6" s="285" t="s">
        <v>527</v>
      </c>
      <c r="C6" s="285"/>
      <c r="D6" s="286"/>
    </row>
    <row r="7" spans="2:10" ht="17.25" customHeight="1" x14ac:dyDescent="0.2">
      <c r="B7" s="287" t="s">
        <v>528</v>
      </c>
      <c r="C7" s="287"/>
    </row>
    <row r="8" spans="2:10" ht="18" customHeight="1" x14ac:dyDescent="0.2">
      <c r="B8" s="288" t="s">
        <v>529</v>
      </c>
      <c r="C8" s="289" t="s">
        <v>16</v>
      </c>
      <c r="D8" s="288" t="s">
        <v>40</v>
      </c>
      <c r="E8" s="288" t="s">
        <v>41</v>
      </c>
      <c r="F8" s="290" t="s">
        <v>435</v>
      </c>
      <c r="G8" s="290" t="s">
        <v>530</v>
      </c>
      <c r="H8" s="290" t="s">
        <v>531</v>
      </c>
      <c r="I8" s="290" t="s">
        <v>532</v>
      </c>
      <c r="J8" s="290" t="s">
        <v>533</v>
      </c>
    </row>
    <row r="9" spans="2:10" ht="39" thickBot="1" x14ac:dyDescent="0.25">
      <c r="B9" s="291" t="s">
        <v>534</v>
      </c>
      <c r="C9" s="292" t="s">
        <v>535</v>
      </c>
      <c r="D9" s="291" t="s">
        <v>536</v>
      </c>
      <c r="E9" s="291" t="s">
        <v>537</v>
      </c>
      <c r="F9" s="291" t="s">
        <v>435</v>
      </c>
      <c r="G9" s="291" t="s">
        <v>538</v>
      </c>
      <c r="H9" s="291" t="s">
        <v>539</v>
      </c>
      <c r="I9" s="291" t="s">
        <v>540</v>
      </c>
      <c r="J9" s="291" t="s">
        <v>541</v>
      </c>
    </row>
    <row r="10" spans="2:10" x14ac:dyDescent="0.2">
      <c r="B10" s="29" t="s">
        <v>30</v>
      </c>
      <c r="C10" s="29" t="s">
        <v>128</v>
      </c>
      <c r="D10" s="29" t="s">
        <v>220</v>
      </c>
      <c r="E10" s="29" t="s">
        <v>566</v>
      </c>
      <c r="F10" s="29" t="s">
        <v>116</v>
      </c>
      <c r="G10" s="29"/>
      <c r="H10" s="29" t="s">
        <v>124</v>
      </c>
      <c r="I10" s="29"/>
      <c r="J10" s="29"/>
    </row>
    <row r="11" spans="2:10" x14ac:dyDescent="0.2">
      <c r="B11" s="29" t="s">
        <v>30</v>
      </c>
      <c r="C11" s="29" t="s">
        <v>128</v>
      </c>
      <c r="D11" s="29" t="s">
        <v>467</v>
      </c>
      <c r="E11" s="29" t="s">
        <v>567</v>
      </c>
      <c r="F11" s="29" t="s">
        <v>116</v>
      </c>
      <c r="G11" s="29"/>
      <c r="H11" s="29" t="s">
        <v>124</v>
      </c>
      <c r="I11" s="29"/>
      <c r="J11" s="29"/>
    </row>
    <row r="12" spans="2:10" x14ac:dyDescent="0.2">
      <c r="B12" s="29" t="s">
        <v>38</v>
      </c>
      <c r="C12" s="29" t="s">
        <v>128</v>
      </c>
      <c r="D12" s="29" t="s">
        <v>202</v>
      </c>
      <c r="E12" s="29" t="s">
        <v>563</v>
      </c>
      <c r="F12" s="29" t="s">
        <v>116</v>
      </c>
      <c r="G12" s="29"/>
      <c r="H12" s="29" t="s">
        <v>564</v>
      </c>
      <c r="I12" s="29"/>
      <c r="J12" s="29" t="s">
        <v>565</v>
      </c>
    </row>
    <row r="13" spans="2:10" x14ac:dyDescent="0.2">
      <c r="B13" s="29" t="s">
        <v>38</v>
      </c>
      <c r="C13" s="29" t="s">
        <v>128</v>
      </c>
      <c r="D13" s="31" t="s">
        <v>583</v>
      </c>
      <c r="E13" s="31" t="s">
        <v>568</v>
      </c>
      <c r="F13" s="29" t="s">
        <v>116</v>
      </c>
      <c r="G13" s="293"/>
      <c r="H13" s="29" t="s">
        <v>124</v>
      </c>
      <c r="I13" s="293"/>
      <c r="J13" s="293"/>
    </row>
    <row r="14" spans="2:10" x14ac:dyDescent="0.2">
      <c r="B14" s="29" t="s">
        <v>38</v>
      </c>
      <c r="C14" s="29" t="s">
        <v>128</v>
      </c>
      <c r="D14" s="29" t="s">
        <v>204</v>
      </c>
      <c r="E14" s="29" t="s">
        <v>205</v>
      </c>
      <c r="F14" s="29" t="s">
        <v>116</v>
      </c>
      <c r="H14" s="29" t="s">
        <v>124</v>
      </c>
    </row>
    <row r="15" spans="2:10" x14ac:dyDescent="0.2">
      <c r="B15" s="29" t="s">
        <v>38</v>
      </c>
      <c r="C15" s="29" t="s">
        <v>128</v>
      </c>
      <c r="D15" s="29" t="s">
        <v>206</v>
      </c>
      <c r="E15" s="29" t="s">
        <v>207</v>
      </c>
      <c r="F15" s="29" t="s">
        <v>116</v>
      </c>
      <c r="H15" s="29" t="s">
        <v>124</v>
      </c>
    </row>
    <row r="16" spans="2:10" x14ac:dyDescent="0.2">
      <c r="B16" s="16" t="s">
        <v>32</v>
      </c>
      <c r="C16" s="29" t="s">
        <v>128</v>
      </c>
      <c r="D16" s="9" t="s">
        <v>228</v>
      </c>
      <c r="E16" s="9" t="s">
        <v>229</v>
      </c>
      <c r="F16" s="16" t="s">
        <v>120</v>
      </c>
      <c r="H16" s="9" t="s">
        <v>124</v>
      </c>
    </row>
    <row r="17" spans="2:8" x14ac:dyDescent="0.2">
      <c r="B17" s="16" t="s">
        <v>32</v>
      </c>
      <c r="C17" s="29" t="s">
        <v>128</v>
      </c>
      <c r="D17" s="9" t="s">
        <v>509</v>
      </c>
      <c r="E17" s="9" t="s">
        <v>508</v>
      </c>
      <c r="F17" s="16" t="s">
        <v>120</v>
      </c>
      <c r="H17" s="9" t="s">
        <v>124</v>
      </c>
    </row>
    <row r="18" spans="2:8" x14ac:dyDescent="0.2">
      <c r="B18" s="16" t="s">
        <v>32</v>
      </c>
      <c r="C18" s="29" t="s">
        <v>128</v>
      </c>
      <c r="D18" s="29" t="s">
        <v>186</v>
      </c>
      <c r="E18" s="29" t="s">
        <v>187</v>
      </c>
      <c r="F18" s="16" t="s">
        <v>120</v>
      </c>
      <c r="H18" s="9" t="s">
        <v>124</v>
      </c>
    </row>
    <row r="25" spans="2:8" x14ac:dyDescent="0.2">
      <c r="D25" s="9"/>
      <c r="E25" s="9"/>
      <c r="F25" s="16"/>
      <c r="G25" s="16"/>
      <c r="H25" s="9"/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A852-6685-477C-9531-B444B15907ED}">
  <sheetPr>
    <tabColor rgb="FF00B050"/>
  </sheetPr>
  <dimension ref="A13:V341"/>
  <sheetViews>
    <sheetView topLeftCell="A46" zoomScale="85" zoomScaleNormal="85" workbookViewId="0">
      <selection activeCell="E59" sqref="E59"/>
    </sheetView>
  </sheetViews>
  <sheetFormatPr defaultColWidth="9.140625" defaultRowHeight="15.75" x14ac:dyDescent="0.25"/>
  <cols>
    <col min="1" max="1" width="28.28515625" style="135" customWidth="1"/>
    <col min="2" max="3" width="30.42578125" style="135" customWidth="1"/>
    <col min="4" max="4" width="13.5703125" style="135" bestFit="1" customWidth="1"/>
    <col min="5" max="5" width="15" style="135" customWidth="1"/>
    <col min="6" max="6" width="12.140625" style="135" bestFit="1" customWidth="1"/>
    <col min="7" max="7" width="9.140625" style="135"/>
    <col min="8" max="8" width="12.42578125" style="135" bestFit="1" customWidth="1"/>
    <col min="9" max="9" width="13.5703125" style="135" bestFit="1" customWidth="1"/>
    <col min="10" max="10" width="11.28515625" style="135" bestFit="1" customWidth="1"/>
    <col min="11" max="11" width="11.5703125" style="135" bestFit="1" customWidth="1"/>
    <col min="12" max="16384" width="9.140625" style="135"/>
  </cols>
  <sheetData>
    <row r="13" spans="2:5" ht="16.5" thickBot="1" x14ac:dyDescent="0.3">
      <c r="B13" s="134" t="s">
        <v>238</v>
      </c>
    </row>
    <row r="14" spans="2:5" x14ac:dyDescent="0.25">
      <c r="B14" s="306" t="s">
        <v>239</v>
      </c>
      <c r="C14" s="307" t="s">
        <v>240</v>
      </c>
      <c r="D14" s="308"/>
      <c r="E14" s="309"/>
    </row>
    <row r="15" spans="2:5" x14ac:dyDescent="0.25">
      <c r="B15" s="343" t="s">
        <v>241</v>
      </c>
      <c r="C15" s="139" t="s">
        <v>242</v>
      </c>
      <c r="E15" s="310"/>
    </row>
    <row r="16" spans="2:5" x14ac:dyDescent="0.25">
      <c r="B16" s="343"/>
      <c r="C16" s="139" t="s">
        <v>243</v>
      </c>
      <c r="E16" s="310"/>
    </row>
    <row r="17" spans="2:13" ht="16.5" thickBot="1" x14ac:dyDescent="0.3">
      <c r="B17" s="344"/>
      <c r="C17" s="141" t="s">
        <v>244</v>
      </c>
      <c r="E17" s="310"/>
    </row>
    <row r="18" spans="2:13" x14ac:dyDescent="0.25">
      <c r="B18" s="345" t="s">
        <v>245</v>
      </c>
      <c r="C18" s="142" t="s">
        <v>246</v>
      </c>
      <c r="E18" s="310"/>
    </row>
    <row r="19" spans="2:13" x14ac:dyDescent="0.25">
      <c r="B19" s="346"/>
      <c r="C19" s="142" t="s">
        <v>247</v>
      </c>
      <c r="E19" s="310"/>
    </row>
    <row r="20" spans="2:13" ht="16.5" thickBot="1" x14ac:dyDescent="0.3">
      <c r="B20" s="347"/>
      <c r="C20" s="143" t="s">
        <v>248</v>
      </c>
      <c r="E20" s="310"/>
    </row>
    <row r="21" spans="2:13" x14ac:dyDescent="0.25">
      <c r="B21" s="345" t="s">
        <v>249</v>
      </c>
      <c r="C21" s="142" t="s">
        <v>250</v>
      </c>
      <c r="E21" s="310"/>
    </row>
    <row r="22" spans="2:13" x14ac:dyDescent="0.25">
      <c r="B22" s="346"/>
      <c r="C22" s="142" t="s">
        <v>251</v>
      </c>
      <c r="E22" s="310"/>
    </row>
    <row r="23" spans="2:13" ht="30.75" thickBot="1" x14ac:dyDescent="0.3">
      <c r="B23" s="347"/>
      <c r="C23" s="143" t="s">
        <v>252</v>
      </c>
      <c r="E23" s="310"/>
    </row>
    <row r="24" spans="2:13" x14ac:dyDescent="0.25">
      <c r="B24" s="345" t="s">
        <v>253</v>
      </c>
      <c r="C24" s="142" t="s">
        <v>250</v>
      </c>
      <c r="E24" s="310"/>
    </row>
    <row r="25" spans="2:13" x14ac:dyDescent="0.25">
      <c r="B25" s="346"/>
      <c r="C25" s="142" t="s">
        <v>251</v>
      </c>
      <c r="E25" s="310"/>
    </row>
    <row r="26" spans="2:13" ht="16.5" thickBot="1" x14ac:dyDescent="0.3">
      <c r="B26" s="347"/>
      <c r="C26" s="143" t="s">
        <v>254</v>
      </c>
      <c r="E26" s="310"/>
    </row>
    <row r="27" spans="2:13" x14ac:dyDescent="0.25">
      <c r="B27" s="311"/>
      <c r="E27" s="310"/>
    </row>
    <row r="28" spans="2:13" x14ac:dyDescent="0.25">
      <c r="B28" s="311"/>
      <c r="E28" s="310"/>
    </row>
    <row r="29" spans="2:13" x14ac:dyDescent="0.25">
      <c r="B29" s="311"/>
      <c r="E29" s="310"/>
    </row>
    <row r="30" spans="2:13" x14ac:dyDescent="0.25">
      <c r="B30" s="311"/>
      <c r="E30" s="310"/>
    </row>
    <row r="31" spans="2:13" ht="31.5" x14ac:dyDescent="0.25">
      <c r="B31" s="312" t="s">
        <v>257</v>
      </c>
      <c r="C31" s="313" t="s">
        <v>258</v>
      </c>
      <c r="D31" s="314" t="s">
        <v>510</v>
      </c>
      <c r="E31" s="315" t="s">
        <v>510</v>
      </c>
      <c r="F31" s="135" t="s">
        <v>259</v>
      </c>
      <c r="G31" s="135" t="s">
        <v>260</v>
      </c>
      <c r="H31" s="135" t="s">
        <v>261</v>
      </c>
      <c r="I31" s="135" t="s">
        <v>262</v>
      </c>
      <c r="K31" s="135" t="s">
        <v>263</v>
      </c>
      <c r="L31" s="135" t="s">
        <v>264</v>
      </c>
      <c r="M31" s="135" t="s">
        <v>0</v>
      </c>
    </row>
    <row r="32" spans="2:13" ht="16.5" thickBot="1" x14ac:dyDescent="0.3">
      <c r="B32" s="316" t="s">
        <v>266</v>
      </c>
      <c r="C32" s="146">
        <v>2000</v>
      </c>
      <c r="D32" s="251">
        <v>-25.622157157247099</v>
      </c>
      <c r="E32" s="317">
        <v>27.2191479003376</v>
      </c>
      <c r="F32" s="135">
        <v>0.72</v>
      </c>
      <c r="G32" s="135">
        <f>C32*0.001-F32</f>
        <v>1.28</v>
      </c>
      <c r="J32" s="135" t="s">
        <v>267</v>
      </c>
      <c r="K32" s="135" t="s">
        <v>268</v>
      </c>
    </row>
    <row r="33" spans="2:16" x14ac:dyDescent="0.25">
      <c r="B33" s="318" t="s">
        <v>269</v>
      </c>
      <c r="C33" s="341">
        <v>1200</v>
      </c>
      <c r="D33" s="348" t="s">
        <v>511</v>
      </c>
      <c r="E33" s="319" t="s">
        <v>511</v>
      </c>
      <c r="G33" s="135">
        <f>C33*0.001</f>
        <v>1.2</v>
      </c>
      <c r="H33" s="147">
        <f>C38*0.001</f>
        <v>0.42</v>
      </c>
      <c r="J33" s="135" t="s">
        <v>270</v>
      </c>
      <c r="L33" s="135" t="s">
        <v>268</v>
      </c>
    </row>
    <row r="34" spans="2:16" ht="16.5" thickBot="1" x14ac:dyDescent="0.3">
      <c r="B34" s="320" t="s">
        <v>271</v>
      </c>
      <c r="C34" s="342"/>
      <c r="D34" s="349"/>
      <c r="E34" s="321"/>
    </row>
    <row r="35" spans="2:16" ht="16.5" thickBot="1" x14ac:dyDescent="0.3">
      <c r="B35" s="316" t="s">
        <v>273</v>
      </c>
      <c r="C35" s="146">
        <v>150</v>
      </c>
      <c r="D35" s="146">
        <v>-28.744199999999999</v>
      </c>
      <c r="E35" s="322">
        <v>32.0214</v>
      </c>
      <c r="H35" s="135">
        <f>C35*0.001</f>
        <v>0.15</v>
      </c>
      <c r="J35" s="135" t="s">
        <v>274</v>
      </c>
      <c r="M35" s="135" t="s">
        <v>275</v>
      </c>
    </row>
    <row r="36" spans="2:16" ht="28.5" x14ac:dyDescent="0.25">
      <c r="B36" s="318" t="s">
        <v>512</v>
      </c>
      <c r="C36" s="341">
        <v>110</v>
      </c>
      <c r="D36" s="350">
        <v>-26.1357162831553</v>
      </c>
      <c r="E36" s="352">
        <v>28.047042804386201</v>
      </c>
      <c r="H36" s="135">
        <f>C36*0.001</f>
        <v>0.11</v>
      </c>
      <c r="J36" s="135" t="s">
        <v>274</v>
      </c>
    </row>
    <row r="37" spans="2:16" ht="30.75" thickBot="1" x14ac:dyDescent="0.3">
      <c r="B37" s="320" t="s">
        <v>278</v>
      </c>
      <c r="C37" s="342"/>
      <c r="D37" s="351"/>
      <c r="E37" s="353"/>
    </row>
    <row r="38" spans="2:16" ht="16.5" thickBot="1" x14ac:dyDescent="0.3">
      <c r="B38" s="316" t="s">
        <v>280</v>
      </c>
      <c r="C38" s="146">
        <v>420</v>
      </c>
      <c r="D38" s="146">
        <v>-25.6587</v>
      </c>
      <c r="E38" s="322">
        <v>27.828499999999998</v>
      </c>
      <c r="H38" s="147"/>
      <c r="M38" s="135" t="s">
        <v>281</v>
      </c>
    </row>
    <row r="39" spans="2:16" x14ac:dyDescent="0.25">
      <c r="B39" s="318" t="s">
        <v>282</v>
      </c>
      <c r="C39" s="341">
        <v>267</v>
      </c>
      <c r="D39" s="341">
        <v>-26.903199999999998</v>
      </c>
      <c r="E39" s="354">
        <v>26.809100000000001</v>
      </c>
      <c r="H39" s="135">
        <f>C39*0.001</f>
        <v>0.26700000000000002</v>
      </c>
      <c r="K39" s="135">
        <v>14</v>
      </c>
      <c r="M39" s="148">
        <v>0.6</v>
      </c>
      <c r="N39" s="135" t="s">
        <v>283</v>
      </c>
      <c r="O39" s="149" t="s">
        <v>284</v>
      </c>
      <c r="P39" s="149"/>
    </row>
    <row r="40" spans="2:16" ht="16.5" thickBot="1" x14ac:dyDescent="0.3">
      <c r="B40" s="320" t="s">
        <v>286</v>
      </c>
      <c r="C40" s="342"/>
      <c r="D40" s="342"/>
      <c r="E40" s="355"/>
    </row>
    <row r="41" spans="2:16" ht="16.5" thickBot="1" x14ac:dyDescent="0.3">
      <c r="B41" s="316" t="s">
        <v>287</v>
      </c>
      <c r="C41" s="146">
        <v>410</v>
      </c>
      <c r="D41" s="146">
        <v>-26.037600000000001</v>
      </c>
      <c r="E41" s="322">
        <v>28.0427</v>
      </c>
      <c r="I41" s="135">
        <f>C41*0.001</f>
        <v>0.41000000000000003</v>
      </c>
      <c r="J41" s="149" t="s">
        <v>288</v>
      </c>
    </row>
    <row r="42" spans="2:16" ht="16.5" thickBot="1" x14ac:dyDescent="0.3">
      <c r="B42" s="323" t="s">
        <v>289</v>
      </c>
      <c r="C42" s="153">
        <v>300</v>
      </c>
      <c r="D42" s="153">
        <v>-25.715499999999999</v>
      </c>
      <c r="E42" s="324">
        <v>30.231300000000001</v>
      </c>
      <c r="H42" s="135">
        <f>C42*0.001</f>
        <v>0.3</v>
      </c>
    </row>
    <row r="43" spans="2:16" x14ac:dyDescent="0.25">
      <c r="B43" s="325" t="s">
        <v>291</v>
      </c>
      <c r="C43" s="155">
        <v>4707</v>
      </c>
      <c r="D43" s="155"/>
      <c r="E43" s="326"/>
    </row>
    <row r="44" spans="2:16" ht="16.5" thickBot="1" x14ac:dyDescent="0.3">
      <c r="B44" s="327"/>
      <c r="C44" s="328"/>
      <c r="D44" s="328"/>
      <c r="E44" s="329"/>
    </row>
    <row r="46" spans="2:16" x14ac:dyDescent="0.25">
      <c r="C46" s="135" t="s">
        <v>292</v>
      </c>
      <c r="D46" s="156">
        <f>SUM(F46:I46)</f>
        <v>4.8570000000000002</v>
      </c>
      <c r="E46" s="156"/>
      <c r="F46" s="135">
        <f>SUM(F32:F42)</f>
        <v>0.72</v>
      </c>
      <c r="G46" s="135">
        <f>SUM(G32:G42)</f>
        <v>2.48</v>
      </c>
      <c r="H46" s="135">
        <f>SUM(H32:H42)</f>
        <v>1.2469999999999999</v>
      </c>
      <c r="I46" s="135">
        <f>SUM(I32:I42)</f>
        <v>0.41000000000000003</v>
      </c>
      <c r="J46" s="135" t="s">
        <v>293</v>
      </c>
    </row>
    <row r="47" spans="2:16" x14ac:dyDescent="0.25">
      <c r="C47" s="135" t="s">
        <v>295</v>
      </c>
      <c r="F47" s="135">
        <f>E70</f>
        <v>2400</v>
      </c>
      <c r="G47" s="135">
        <f>E69</f>
        <v>3500</v>
      </c>
      <c r="H47" s="135">
        <f>E68</f>
        <v>4100</v>
      </c>
      <c r="I47" s="135">
        <f>H47</f>
        <v>4100</v>
      </c>
      <c r="J47" s="135" t="s">
        <v>185</v>
      </c>
    </row>
    <row r="48" spans="2:16" x14ac:dyDescent="0.25">
      <c r="C48" s="135" t="s">
        <v>297</v>
      </c>
      <c r="D48" s="157">
        <f>SUM(F48:I48)</f>
        <v>17201.7</v>
      </c>
      <c r="E48" s="157"/>
      <c r="F48" s="158">
        <f>F47*F46</f>
        <v>1728</v>
      </c>
      <c r="G48" s="158">
        <f>G47*G46</f>
        <v>8680</v>
      </c>
      <c r="H48" s="158">
        <f>H47*H46</f>
        <v>5112.7</v>
      </c>
      <c r="I48" s="158">
        <f>I47*I46</f>
        <v>1681.0000000000002</v>
      </c>
      <c r="J48" s="135" t="s">
        <v>222</v>
      </c>
    </row>
    <row r="49" spans="1:13" x14ac:dyDescent="0.25">
      <c r="C49" s="135" t="s">
        <v>298</v>
      </c>
      <c r="D49" s="157">
        <f>SUM(F49:I49)</f>
        <v>73.584000000000003</v>
      </c>
      <c r="E49" s="157"/>
      <c r="H49" s="135">
        <f>K39*M39*8.76</f>
        <v>73.584000000000003</v>
      </c>
    </row>
    <row r="50" spans="1:13" x14ac:dyDescent="0.25">
      <c r="C50" s="135" t="s">
        <v>300</v>
      </c>
      <c r="D50" s="159">
        <f>D48-D49</f>
        <v>17128.116000000002</v>
      </c>
      <c r="E50" s="159"/>
    </row>
    <row r="51" spans="1:13" x14ac:dyDescent="0.25">
      <c r="D51" s="160"/>
      <c r="E51" s="160"/>
    </row>
    <row r="52" spans="1:13" x14ac:dyDescent="0.25">
      <c r="D52" s="161">
        <f>D48/D46</f>
        <v>3541.6306361951824</v>
      </c>
      <c r="E52" s="161"/>
      <c r="F52" s="135" t="s">
        <v>302</v>
      </c>
    </row>
    <row r="53" spans="1:13" x14ac:dyDescent="0.25">
      <c r="D53" s="135">
        <f>(F48+(G32/G46)*G48)/(F32+G32)</f>
        <v>3104</v>
      </c>
      <c r="F53" s="135" t="s">
        <v>304</v>
      </c>
    </row>
    <row r="55" spans="1:13" ht="26.25" x14ac:dyDescent="0.4">
      <c r="A55" s="186" t="s">
        <v>625</v>
      </c>
    </row>
    <row r="57" spans="1:13" x14ac:dyDescent="0.25">
      <c r="C57" s="336" t="s">
        <v>585</v>
      </c>
    </row>
    <row r="58" spans="1:13" x14ac:dyDescent="0.25">
      <c r="C58" s="338" t="s">
        <v>546</v>
      </c>
      <c r="D58" s="338" t="s">
        <v>626</v>
      </c>
      <c r="E58" s="338">
        <v>2017</v>
      </c>
      <c r="F58" s="338">
        <v>2026</v>
      </c>
      <c r="G58" s="338">
        <v>2028</v>
      </c>
      <c r="H58" s="338">
        <v>2030</v>
      </c>
      <c r="I58" s="338">
        <v>2032</v>
      </c>
      <c r="J58" s="338">
        <v>2034</v>
      </c>
      <c r="K58" s="338">
        <v>2036</v>
      </c>
      <c r="L58" s="338">
        <v>2038</v>
      </c>
    </row>
    <row r="59" spans="1:13" x14ac:dyDescent="0.25">
      <c r="C59" s="135" t="str">
        <f>RES_Cr!R9</f>
        <v>IFCEAF-E</v>
      </c>
      <c r="D59" s="135" t="s">
        <v>149</v>
      </c>
      <c r="E59" s="337">
        <f>D46</f>
        <v>4.8570000000000002</v>
      </c>
      <c r="F59" s="337">
        <f>E59</f>
        <v>4.8570000000000002</v>
      </c>
      <c r="G59" s="179">
        <f>F59-G61</f>
        <v>4.0570000000000004</v>
      </c>
      <c r="H59" s="179">
        <f>G59-H61</f>
        <v>3.2570000000000006</v>
      </c>
      <c r="I59" s="179">
        <f>H59-I61</f>
        <v>2.4570000000000007</v>
      </c>
      <c r="J59" s="179">
        <f>I59-J61</f>
        <v>1.6570000000000007</v>
      </c>
      <c r="K59" s="179">
        <f t="shared" ref="K59" si="0">J59-K61</f>
        <v>0.85700000000000065</v>
      </c>
      <c r="L59" s="179">
        <v>0</v>
      </c>
    </row>
    <row r="61" spans="1:13" x14ac:dyDescent="0.25">
      <c r="G61" s="135">
        <v>0.8</v>
      </c>
      <c r="H61" s="135">
        <v>0.8</v>
      </c>
      <c r="I61" s="135">
        <v>0.8</v>
      </c>
      <c r="J61" s="135">
        <v>0.8</v>
      </c>
      <c r="K61" s="135">
        <v>0.8</v>
      </c>
      <c r="M61" s="135" t="s">
        <v>627</v>
      </c>
    </row>
    <row r="63" spans="1:13" ht="26.25" x14ac:dyDescent="0.4">
      <c r="A63" s="186" t="s">
        <v>615</v>
      </c>
    </row>
    <row r="65" spans="3:11" x14ac:dyDescent="0.25">
      <c r="C65" s="158"/>
      <c r="D65" s="158"/>
    </row>
    <row r="66" spans="3:11" x14ac:dyDescent="0.25">
      <c r="C66" s="136"/>
      <c r="D66" s="137"/>
      <c r="E66" s="137"/>
      <c r="F66" s="137" t="s">
        <v>310</v>
      </c>
      <c r="G66" s="137"/>
      <c r="H66" s="137"/>
      <c r="I66" s="137"/>
      <c r="J66" s="137"/>
      <c r="K66" s="138"/>
    </row>
    <row r="67" spans="3:11" x14ac:dyDescent="0.25">
      <c r="C67" s="144"/>
      <c r="E67" s="135" t="s">
        <v>221</v>
      </c>
      <c r="F67" s="135" t="s">
        <v>312</v>
      </c>
      <c r="G67" s="135" t="s">
        <v>143</v>
      </c>
      <c r="H67" s="135" t="s">
        <v>313</v>
      </c>
      <c r="I67" s="135" t="s">
        <v>314</v>
      </c>
      <c r="J67" s="135" t="s">
        <v>315</v>
      </c>
      <c r="K67" s="140"/>
    </row>
    <row r="68" spans="3:11" x14ac:dyDescent="0.25">
      <c r="C68" s="144" t="s">
        <v>317</v>
      </c>
      <c r="E68" s="135">
        <f>B187</f>
        <v>4100</v>
      </c>
      <c r="F68" s="135">
        <f>'Chrome methodology'!C212</f>
        <v>0.69</v>
      </c>
      <c r="G68" s="135">
        <f>'Chrome methodology'!C214</f>
        <v>0.2</v>
      </c>
      <c r="H68" s="135">
        <f>'Chrome methodology'!C215</f>
        <v>0.27</v>
      </c>
      <c r="I68" s="135">
        <f>'Chrome methodology'!C216</f>
        <v>0.123</v>
      </c>
      <c r="J68" s="135">
        <f>F68-SUM(G68:I68)</f>
        <v>9.6999999999999975E-2</v>
      </c>
      <c r="K68" s="140"/>
    </row>
    <row r="69" spans="3:11" x14ac:dyDescent="0.25">
      <c r="C69" s="144" t="s">
        <v>260</v>
      </c>
      <c r="E69" s="135">
        <f>B196</f>
        <v>3500</v>
      </c>
      <c r="F69" s="135">
        <f>'Chrome methodology'!C234</f>
        <v>0.61</v>
      </c>
      <c r="G69" s="135">
        <f>'Chrome methodology'!C236</f>
        <v>2.5999999999999999E-2</v>
      </c>
      <c r="H69" s="135">
        <f>'Chrome methodology'!C237</f>
        <v>0.29899999999999999</v>
      </c>
      <c r="I69" s="135">
        <f>'Chrome methodology'!C238</f>
        <v>0.245</v>
      </c>
      <c r="J69" s="135">
        <f>'Chrome methodology'!C239</f>
        <v>4.1000000000000002E-2</v>
      </c>
      <c r="K69" s="140"/>
    </row>
    <row r="70" spans="3:11" x14ac:dyDescent="0.25">
      <c r="C70" s="144" t="s">
        <v>319</v>
      </c>
      <c r="E70" s="135">
        <f>B201</f>
        <v>2400</v>
      </c>
      <c r="K70" s="140"/>
    </row>
    <row r="71" spans="3:11" x14ac:dyDescent="0.25">
      <c r="C71" s="144"/>
      <c r="K71" s="140"/>
    </row>
    <row r="72" spans="3:11" x14ac:dyDescent="0.25">
      <c r="C72" s="144" t="s">
        <v>321</v>
      </c>
      <c r="K72" s="140"/>
    </row>
    <row r="73" spans="3:11" x14ac:dyDescent="0.25">
      <c r="C73" s="144" t="s">
        <v>322</v>
      </c>
      <c r="K73" s="140"/>
    </row>
    <row r="74" spans="3:11" x14ac:dyDescent="0.25">
      <c r="C74" s="144"/>
      <c r="K74" s="140"/>
    </row>
    <row r="75" spans="3:11" x14ac:dyDescent="0.25">
      <c r="C75" s="150"/>
      <c r="D75" s="151"/>
      <c r="E75" s="151"/>
      <c r="F75" s="151"/>
      <c r="G75" s="151"/>
      <c r="H75" s="151"/>
      <c r="I75" s="151"/>
      <c r="J75" s="151"/>
      <c r="K75" s="152"/>
    </row>
    <row r="81" spans="3:11" x14ac:dyDescent="0.25">
      <c r="C81" s="163"/>
      <c r="D81" s="163"/>
      <c r="E81" s="163"/>
      <c r="F81" s="164" t="s">
        <v>325</v>
      </c>
      <c r="G81" s="164" t="s">
        <v>260</v>
      </c>
      <c r="H81" s="164" t="s">
        <v>319</v>
      </c>
      <c r="I81" s="164" t="s">
        <v>326</v>
      </c>
      <c r="J81" s="164" t="s">
        <v>327</v>
      </c>
      <c r="K81" s="158" t="s">
        <v>619</v>
      </c>
    </row>
    <row r="82" spans="3:11" x14ac:dyDescent="0.25">
      <c r="C82" s="164" t="s">
        <v>328</v>
      </c>
      <c r="D82" s="163" t="s">
        <v>329</v>
      </c>
      <c r="E82" s="163"/>
      <c r="F82" s="163">
        <f>E68</f>
        <v>4100</v>
      </c>
      <c r="G82" s="163">
        <f>E69</f>
        <v>3500</v>
      </c>
      <c r="H82" s="163">
        <f>E70</f>
        <v>2400</v>
      </c>
      <c r="I82" s="163"/>
      <c r="J82" s="163"/>
      <c r="K82" s="135" t="s">
        <v>620</v>
      </c>
    </row>
    <row r="83" spans="3:11" x14ac:dyDescent="0.25">
      <c r="C83" s="164"/>
      <c r="D83" s="163"/>
      <c r="E83" s="163"/>
      <c r="F83" s="163"/>
      <c r="G83" s="163"/>
      <c r="H83" s="163"/>
      <c r="I83" s="163"/>
      <c r="J83" s="163"/>
    </row>
    <row r="84" spans="3:11" x14ac:dyDescent="0.25">
      <c r="C84" s="164" t="s">
        <v>333</v>
      </c>
      <c r="D84" s="163" t="s">
        <v>143</v>
      </c>
      <c r="E84" s="163"/>
      <c r="F84" s="163">
        <f>G68</f>
        <v>0.2</v>
      </c>
      <c r="G84" s="163">
        <f>G69</f>
        <v>2.5999999999999999E-2</v>
      </c>
      <c r="H84" s="163">
        <f>G84</f>
        <v>2.5999999999999999E-2</v>
      </c>
      <c r="I84" s="163"/>
      <c r="K84" s="135" t="s">
        <v>336</v>
      </c>
    </row>
    <row r="85" spans="3:11" x14ac:dyDescent="0.25">
      <c r="C85" s="164"/>
      <c r="D85" s="163" t="s">
        <v>335</v>
      </c>
      <c r="E85" s="163"/>
      <c r="F85" s="163">
        <f>H68</f>
        <v>0.27</v>
      </c>
      <c r="G85" s="163">
        <f>H69</f>
        <v>0.29899999999999999</v>
      </c>
      <c r="H85" s="163">
        <f>G85*0.5</f>
        <v>0.14949999999999999</v>
      </c>
      <c r="I85" s="163"/>
      <c r="J85" s="163" t="s">
        <v>334</v>
      </c>
      <c r="K85" s="135" t="s">
        <v>336</v>
      </c>
    </row>
    <row r="86" spans="3:11" x14ac:dyDescent="0.25">
      <c r="C86" s="164"/>
      <c r="D86" s="163" t="s">
        <v>338</v>
      </c>
      <c r="E86" s="163"/>
      <c r="F86" s="163">
        <f>I68</f>
        <v>0.123</v>
      </c>
      <c r="G86" s="163">
        <f>I69</f>
        <v>0.245</v>
      </c>
      <c r="H86" s="163">
        <f t="shared" ref="H86" si="1">G86</f>
        <v>0.245</v>
      </c>
      <c r="I86" s="163"/>
      <c r="J86" s="163"/>
      <c r="K86" s="135" t="s">
        <v>336</v>
      </c>
    </row>
    <row r="87" spans="3:11" x14ac:dyDescent="0.25">
      <c r="C87" s="164"/>
      <c r="D87" s="163" t="s">
        <v>339</v>
      </c>
      <c r="E87" s="163"/>
      <c r="F87" s="163">
        <f>J68</f>
        <v>9.6999999999999975E-2</v>
      </c>
      <c r="G87" s="163">
        <f>J69</f>
        <v>4.1000000000000002E-2</v>
      </c>
      <c r="H87" s="163">
        <f>G85-H85+G87</f>
        <v>0.1905</v>
      </c>
      <c r="I87" s="163"/>
      <c r="J87" s="163"/>
      <c r="K87" s="135" t="s">
        <v>336</v>
      </c>
    </row>
    <row r="88" spans="3:11" x14ac:dyDescent="0.25">
      <c r="C88" s="164"/>
      <c r="D88" s="165" t="s">
        <v>341</v>
      </c>
      <c r="E88" s="165"/>
      <c r="F88" s="165">
        <f>SUM(F84:F87)</f>
        <v>0.69</v>
      </c>
      <c r="G88" s="165">
        <f>SUM(G84:G87)</f>
        <v>0.6110000000000001</v>
      </c>
      <c r="H88" s="165">
        <f>SUM(H84:H87)</f>
        <v>0.61099999999999999</v>
      </c>
      <c r="I88" s="163"/>
      <c r="J88" s="163"/>
    </row>
    <row r="89" spans="3:11" x14ac:dyDescent="0.25">
      <c r="C89" s="164" t="s">
        <v>343</v>
      </c>
      <c r="D89" s="163" t="str">
        <f>B32</f>
        <v>Glencore Merafe (Xstrata)</v>
      </c>
      <c r="E89" s="163"/>
      <c r="F89" s="163"/>
      <c r="G89" s="163">
        <f>G32</f>
        <v>1.28</v>
      </c>
      <c r="H89" s="163">
        <f>F32</f>
        <v>0.72</v>
      </c>
      <c r="I89" s="163"/>
      <c r="J89" s="163"/>
    </row>
    <row r="90" spans="3:11" x14ac:dyDescent="0.25">
      <c r="C90" s="164"/>
      <c r="D90" s="163" t="str">
        <f>B33</f>
        <v>Samancor Chrome Limited</v>
      </c>
      <c r="E90" s="163"/>
      <c r="F90" s="163">
        <f>H33</f>
        <v>0.42</v>
      </c>
      <c r="G90" s="163">
        <f>G33</f>
        <v>1.2</v>
      </c>
      <c r="H90" s="163"/>
      <c r="I90" s="163"/>
      <c r="J90" s="163" t="s">
        <v>345</v>
      </c>
    </row>
    <row r="91" spans="3:11" x14ac:dyDescent="0.25">
      <c r="C91" s="164"/>
      <c r="D91" s="163" t="str">
        <f>B35</f>
        <v>Tata KZN</v>
      </c>
      <c r="E91" s="163"/>
      <c r="F91" s="163">
        <f>H35</f>
        <v>0.15</v>
      </c>
      <c r="G91" s="163"/>
      <c r="H91" s="163"/>
      <c r="I91" s="163"/>
      <c r="J91" s="163"/>
    </row>
    <row r="92" spans="3:11" x14ac:dyDescent="0.25">
      <c r="C92" s="164"/>
      <c r="D92" s="163" t="str">
        <f>B36</f>
        <v>Afarak (Probably now Zeetrust)</v>
      </c>
      <c r="E92" s="163"/>
      <c r="F92" s="163">
        <f>H36</f>
        <v>0.11</v>
      </c>
      <c r="G92" s="163"/>
      <c r="H92" s="163"/>
      <c r="I92" s="163"/>
      <c r="J92" s="163"/>
    </row>
    <row r="93" spans="3:11" x14ac:dyDescent="0.25">
      <c r="C93" s="164"/>
      <c r="D93" s="163" t="str">
        <f>B39</f>
        <v>International Ferro Metals</v>
      </c>
      <c r="E93" s="163"/>
      <c r="F93" s="163">
        <f>H39</f>
        <v>0.26700000000000002</v>
      </c>
      <c r="G93" s="163"/>
      <c r="H93" s="163"/>
      <c r="I93" s="163">
        <f>K39</f>
        <v>14</v>
      </c>
      <c r="J93" s="163"/>
    </row>
    <row r="94" spans="3:11" x14ac:dyDescent="0.25">
      <c r="C94" s="164"/>
      <c r="D94" s="163" t="str">
        <f>B41</f>
        <v>ASA Metals (Newco)</v>
      </c>
      <c r="E94" s="163"/>
      <c r="F94" s="163">
        <f>I41</f>
        <v>0.41000000000000003</v>
      </c>
      <c r="G94" s="163"/>
      <c r="H94" s="163"/>
      <c r="I94" s="163"/>
      <c r="J94" s="163" t="s">
        <v>348</v>
      </c>
    </row>
    <row r="95" spans="3:11" x14ac:dyDescent="0.25">
      <c r="C95" s="164"/>
      <c r="D95" s="163" t="str">
        <f>B42</f>
        <v>Assmang Chrome</v>
      </c>
      <c r="E95" s="163"/>
      <c r="F95" s="163">
        <f>H42</f>
        <v>0.3</v>
      </c>
      <c r="G95" s="163"/>
      <c r="H95" s="163"/>
      <c r="I95" s="163"/>
      <c r="J95" s="163"/>
    </row>
    <row r="96" spans="3:11" x14ac:dyDescent="0.25">
      <c r="C96" s="164"/>
      <c r="D96" s="165" t="s">
        <v>341</v>
      </c>
      <c r="E96" s="165"/>
      <c r="F96" s="166">
        <f>SUM(F89:F95)</f>
        <v>1.657</v>
      </c>
      <c r="G96" s="166">
        <f>SUM(G89:G95)</f>
        <v>2.48</v>
      </c>
      <c r="H96" s="166">
        <f t="shared" ref="H96" si="2">SUM(H89:H95)</f>
        <v>0.72</v>
      </c>
      <c r="I96" s="163"/>
      <c r="J96" s="163"/>
    </row>
    <row r="97" spans="1:12" x14ac:dyDescent="0.25">
      <c r="C97" s="164" t="s">
        <v>349</v>
      </c>
      <c r="D97" s="163"/>
      <c r="E97" s="163"/>
      <c r="F97" s="167">
        <f>SUM(F96:H96)</f>
        <v>4.8570000000000002</v>
      </c>
      <c r="G97" s="168"/>
      <c r="H97" s="168"/>
      <c r="I97" s="163"/>
      <c r="J97" s="163"/>
    </row>
    <row r="99" spans="1:12" ht="21" x14ac:dyDescent="0.35">
      <c r="A99" s="332" t="s">
        <v>621</v>
      </c>
    </row>
    <row r="100" spans="1:12" x14ac:dyDescent="0.25">
      <c r="D100" s="163" t="str">
        <f t="shared" ref="D100:D106" si="3">D89</f>
        <v>Glencore Merafe (Xstrata)</v>
      </c>
      <c r="E100" s="163"/>
      <c r="F100" s="163"/>
      <c r="G100" s="169">
        <v>0.8</v>
      </c>
      <c r="H100" s="169">
        <v>0.8</v>
      </c>
    </row>
    <row r="101" spans="1:12" x14ac:dyDescent="0.25">
      <c r="D101" s="163" t="str">
        <f t="shared" si="3"/>
        <v>Samancor Chrome Limited</v>
      </c>
      <c r="E101" s="163"/>
      <c r="F101" s="169">
        <v>0.8</v>
      </c>
      <c r="G101" s="169">
        <v>0.8</v>
      </c>
      <c r="H101" s="163"/>
    </row>
    <row r="102" spans="1:12" x14ac:dyDescent="0.25">
      <c r="D102" s="163" t="str">
        <f t="shared" si="3"/>
        <v>Tata KZN</v>
      </c>
      <c r="E102" s="163"/>
      <c r="F102" s="169">
        <v>0</v>
      </c>
      <c r="G102" s="163"/>
      <c r="H102" s="163"/>
    </row>
    <row r="103" spans="1:12" x14ac:dyDescent="0.25">
      <c r="D103" s="163" t="str">
        <f t="shared" si="3"/>
        <v>Afarak (Probably now Zeetrust)</v>
      </c>
      <c r="E103" s="163"/>
      <c r="F103" s="170">
        <f>J103</f>
        <v>0.7</v>
      </c>
      <c r="G103" s="163"/>
      <c r="H103" s="163"/>
      <c r="J103" s="171">
        <v>0.7</v>
      </c>
    </row>
    <row r="104" spans="1:12" x14ac:dyDescent="0.25">
      <c r="D104" s="163" t="str">
        <f t="shared" si="3"/>
        <v>International Ferro Metals</v>
      </c>
      <c r="E104" s="163"/>
      <c r="F104" s="169">
        <f>F103</f>
        <v>0.7</v>
      </c>
      <c r="G104" s="163"/>
      <c r="H104" s="163"/>
    </row>
    <row r="105" spans="1:12" x14ac:dyDescent="0.25">
      <c r="D105" s="163" t="str">
        <f t="shared" si="3"/>
        <v>ASA Metals (Newco)</v>
      </c>
      <c r="E105" s="163"/>
      <c r="F105" s="169">
        <f>F103</f>
        <v>0.7</v>
      </c>
      <c r="G105" s="163"/>
      <c r="H105" s="163"/>
    </row>
    <row r="106" spans="1:12" x14ac:dyDescent="0.25">
      <c r="D106" s="163" t="str">
        <f t="shared" si="3"/>
        <v>Assmang Chrome</v>
      </c>
      <c r="E106" s="163"/>
      <c r="F106" s="169">
        <v>0</v>
      </c>
      <c r="G106" s="163"/>
      <c r="H106" s="163"/>
    </row>
    <row r="108" spans="1:12" ht="21" x14ac:dyDescent="0.35">
      <c r="A108" s="332" t="s">
        <v>622</v>
      </c>
    </row>
    <row r="109" spans="1:12" x14ac:dyDescent="0.25">
      <c r="J109" s="333" t="s">
        <v>351</v>
      </c>
    </row>
    <row r="110" spans="1:12" x14ac:dyDescent="0.25">
      <c r="F110" s="158" t="s">
        <v>325</v>
      </c>
      <c r="G110" s="158" t="s">
        <v>260</v>
      </c>
      <c r="H110" s="158" t="s">
        <v>319</v>
      </c>
      <c r="I110" s="158" t="s">
        <v>446</v>
      </c>
    </row>
    <row r="111" spans="1:12" x14ac:dyDescent="0.25">
      <c r="E111" s="158" t="s">
        <v>353</v>
      </c>
      <c r="F111" s="135">
        <f>SUMPRODUCT(F100:F106,F89:F95)</f>
        <v>0.88690000000000002</v>
      </c>
      <c r="G111" s="135">
        <f>SUMPRODUCT(G100:G106,G89:G95)</f>
        <v>1.984</v>
      </c>
      <c r="H111" s="135">
        <f>SUMPRODUCT(H100:H106,H89:H95)</f>
        <v>0.57599999999999996</v>
      </c>
      <c r="I111" s="192">
        <f>SUM(F111:H111)</f>
        <v>3.4468999999999999</v>
      </c>
      <c r="J111" s="181">
        <v>3.484</v>
      </c>
      <c r="K111" s="135" t="s">
        <v>293</v>
      </c>
      <c r="L111" s="181" t="s">
        <v>432</v>
      </c>
    </row>
    <row r="112" spans="1:12" x14ac:dyDescent="0.25">
      <c r="E112" s="158" t="s">
        <v>355</v>
      </c>
      <c r="I112" s="158"/>
      <c r="J112" s="181"/>
    </row>
    <row r="113" spans="2:16" x14ac:dyDescent="0.25">
      <c r="E113" s="173" t="s">
        <v>221</v>
      </c>
      <c r="F113" s="135">
        <f>F111*F82</f>
        <v>3636.29</v>
      </c>
      <c r="G113" s="135">
        <f>G111*G82</f>
        <v>6944</v>
      </c>
      <c r="H113" s="135">
        <f>H111*H82</f>
        <v>1382.3999999999999</v>
      </c>
      <c r="I113" s="334">
        <f>SUM(F113:H113)</f>
        <v>11962.69</v>
      </c>
      <c r="J113" s="335">
        <v>14413.888888888889</v>
      </c>
      <c r="K113" s="135" t="s">
        <v>222</v>
      </c>
      <c r="L113" s="181" t="s">
        <v>358</v>
      </c>
      <c r="P113" s="173" t="s">
        <v>357</v>
      </c>
    </row>
    <row r="114" spans="2:16" x14ac:dyDescent="0.25">
      <c r="E114" s="173" t="s">
        <v>143</v>
      </c>
      <c r="F114" s="175">
        <f t="shared" ref="F114:H117" si="4">F$111*F84</f>
        <v>0.17738000000000001</v>
      </c>
      <c r="G114" s="175">
        <f t="shared" si="4"/>
        <v>5.1583999999999998E-2</v>
      </c>
      <c r="H114" s="175">
        <f t="shared" si="4"/>
        <v>1.4975999999999998E-2</v>
      </c>
      <c r="I114" s="192">
        <f>SUM(F114:H114)</f>
        <v>0.24393999999999999</v>
      </c>
      <c r="K114" s="135" t="s">
        <v>293</v>
      </c>
      <c r="P114" s="135">
        <v>27</v>
      </c>
    </row>
    <row r="115" spans="2:16" x14ac:dyDescent="0.25">
      <c r="E115" s="173" t="s">
        <v>313</v>
      </c>
      <c r="F115" s="175">
        <f t="shared" si="4"/>
        <v>0.23946300000000001</v>
      </c>
      <c r="G115" s="175">
        <f t="shared" si="4"/>
        <v>0.59321599999999997</v>
      </c>
      <c r="H115" s="175">
        <f t="shared" si="4"/>
        <v>8.6111999999999994E-2</v>
      </c>
      <c r="I115" s="192">
        <f>SUM(F115:H115)</f>
        <v>0.91879099999999991</v>
      </c>
      <c r="K115" s="135" t="s">
        <v>293</v>
      </c>
      <c r="P115" s="135">
        <v>28</v>
      </c>
    </row>
    <row r="116" spans="2:16" x14ac:dyDescent="0.25">
      <c r="E116" s="173" t="s">
        <v>314</v>
      </c>
      <c r="F116" s="175">
        <f t="shared" si="4"/>
        <v>0.1090887</v>
      </c>
      <c r="G116" s="175">
        <f t="shared" si="4"/>
        <v>0.48608000000000001</v>
      </c>
      <c r="H116" s="175">
        <f t="shared" si="4"/>
        <v>0.14112</v>
      </c>
      <c r="I116" s="192">
        <f>SUM(F116:H116)</f>
        <v>0.73628870000000002</v>
      </c>
      <c r="K116" s="135" t="s">
        <v>293</v>
      </c>
      <c r="P116" s="135">
        <v>28</v>
      </c>
    </row>
    <row r="117" spans="2:16" x14ac:dyDescent="0.25">
      <c r="B117" s="158"/>
      <c r="E117" s="173" t="s">
        <v>315</v>
      </c>
      <c r="F117" s="175">
        <f t="shared" si="4"/>
        <v>8.6029299999999975E-2</v>
      </c>
      <c r="G117" s="175">
        <f t="shared" si="4"/>
        <v>8.1344E-2</v>
      </c>
      <c r="H117" s="175">
        <f t="shared" si="4"/>
        <v>0.10972799999999999</v>
      </c>
      <c r="I117" s="192">
        <f>SUM(F117:H117)</f>
        <v>0.27710129999999999</v>
      </c>
      <c r="K117" s="135" t="s">
        <v>293</v>
      </c>
      <c r="P117" s="135">
        <v>27</v>
      </c>
    </row>
    <row r="119" spans="2:16" ht="18.75" x14ac:dyDescent="0.3">
      <c r="B119" s="331" t="s">
        <v>623</v>
      </c>
      <c r="C119" s="178"/>
    </row>
    <row r="120" spans="2:16" x14ac:dyDescent="0.25">
      <c r="E120" s="173" t="s">
        <v>221</v>
      </c>
      <c r="F120" s="179">
        <f>I113/$I$111</f>
        <v>3470.5648553772958</v>
      </c>
      <c r="G120" s="135" t="s">
        <v>363</v>
      </c>
    </row>
    <row r="121" spans="2:16" x14ac:dyDescent="0.25">
      <c r="E121" s="173" t="s">
        <v>223</v>
      </c>
      <c r="F121" s="179">
        <f>(I114*P114+I117*P117)/$I$111</f>
        <v>4.0813818503582935</v>
      </c>
      <c r="G121" s="135" t="s">
        <v>364</v>
      </c>
    </row>
    <row r="122" spans="2:16" x14ac:dyDescent="0.25">
      <c r="E122" s="173" t="s">
        <v>224</v>
      </c>
      <c r="F122" s="179">
        <f>(I115*P115+I116*P116+J122*P116)/$I$111</f>
        <v>20.627230264875688</v>
      </c>
      <c r="G122" s="135" t="s">
        <v>364</v>
      </c>
      <c r="J122" s="180">
        <f>J123-SUM(I115:I116)-J124</f>
        <v>0.88420601428571455</v>
      </c>
      <c r="K122" s="181" t="s">
        <v>624</v>
      </c>
    </row>
    <row r="123" spans="2:16" x14ac:dyDescent="0.25">
      <c r="E123" s="173"/>
      <c r="J123" s="181">
        <v>2.7</v>
      </c>
      <c r="K123" s="181" t="s">
        <v>367</v>
      </c>
    </row>
    <row r="124" spans="2:16" x14ac:dyDescent="0.25">
      <c r="J124" s="135">
        <f>J125/P115</f>
        <v>0.16071428571428573</v>
      </c>
      <c r="K124" s="135" t="s">
        <v>369</v>
      </c>
    </row>
    <row r="125" spans="2:16" x14ac:dyDescent="0.25">
      <c r="J125" s="135">
        <v>4.5</v>
      </c>
      <c r="K125" s="135" t="s">
        <v>370</v>
      </c>
    </row>
    <row r="140" spans="2:4" ht="26.25" x14ac:dyDescent="0.4">
      <c r="B140" s="186" t="s">
        <v>597</v>
      </c>
    </row>
    <row r="141" spans="2:4" x14ac:dyDescent="0.25">
      <c r="C141" s="135" t="s">
        <v>388</v>
      </c>
      <c r="D141" s="135" t="s">
        <v>389</v>
      </c>
    </row>
    <row r="142" spans="2:4" x14ac:dyDescent="0.25">
      <c r="C142" s="135" t="s">
        <v>390</v>
      </c>
      <c r="D142" s="135" t="s">
        <v>391</v>
      </c>
    </row>
    <row r="143" spans="2:4" x14ac:dyDescent="0.25">
      <c r="C143" s="135" t="s">
        <v>392</v>
      </c>
      <c r="D143" s="135" t="s">
        <v>393</v>
      </c>
    </row>
    <row r="146" spans="2:22" x14ac:dyDescent="0.25">
      <c r="D146" s="158" t="s">
        <v>394</v>
      </c>
      <c r="E146" s="158"/>
      <c r="H146" s="158" t="s">
        <v>395</v>
      </c>
      <c r="J146" s="158" t="s">
        <v>396</v>
      </c>
      <c r="N146" s="135" t="s">
        <v>397</v>
      </c>
    </row>
    <row r="148" spans="2:22" x14ac:dyDescent="0.25">
      <c r="C148" s="135" t="s">
        <v>398</v>
      </c>
      <c r="D148" s="175">
        <f>F97</f>
        <v>4.8570000000000002</v>
      </c>
      <c r="E148" s="175"/>
      <c r="U148" s="135" t="s">
        <v>399</v>
      </c>
    </row>
    <row r="149" spans="2:22" x14ac:dyDescent="0.25">
      <c r="C149" s="135" t="s">
        <v>400</v>
      </c>
      <c r="D149" s="175"/>
      <c r="E149" s="175"/>
      <c r="H149" s="135">
        <f>B279*1000*0.74</f>
        <v>10072.222222222224</v>
      </c>
      <c r="K149" s="135">
        <f>H149*(1+U149)</f>
        <v>11079.444444444447</v>
      </c>
      <c r="N149" s="135">
        <f>(E321/R157)*(1+U152)</f>
        <v>43.490026666666672</v>
      </c>
      <c r="U149" s="148">
        <v>0.1</v>
      </c>
      <c r="V149" s="135" t="s">
        <v>401</v>
      </c>
    </row>
    <row r="150" spans="2:22" x14ac:dyDescent="0.25">
      <c r="C150" s="135" t="s">
        <v>402</v>
      </c>
      <c r="D150" s="135">
        <f>J111</f>
        <v>3.484</v>
      </c>
      <c r="F150" s="187">
        <f>D150/D148</f>
        <v>0.71731521515338681</v>
      </c>
    </row>
    <row r="151" spans="2:22" x14ac:dyDescent="0.25">
      <c r="C151" s="135" t="s">
        <v>403</v>
      </c>
      <c r="H151" s="135">
        <v>20</v>
      </c>
      <c r="K151" s="135">
        <v>20</v>
      </c>
      <c r="N151" s="135">
        <f>E318</f>
        <v>10</v>
      </c>
      <c r="U151" s="135" t="s">
        <v>404</v>
      </c>
    </row>
    <row r="152" spans="2:22" x14ac:dyDescent="0.25">
      <c r="C152" s="135" t="s">
        <v>382</v>
      </c>
      <c r="N152" s="148">
        <f>E326</f>
        <v>0.33</v>
      </c>
      <c r="U152" s="148">
        <v>0.3</v>
      </c>
      <c r="V152" s="135" t="s">
        <v>405</v>
      </c>
    </row>
    <row r="153" spans="2:22" x14ac:dyDescent="0.25">
      <c r="C153" s="158" t="s">
        <v>406</v>
      </c>
      <c r="H153" s="179"/>
    </row>
    <row r="154" spans="2:22" x14ac:dyDescent="0.25">
      <c r="C154" s="135" t="s">
        <v>221</v>
      </c>
      <c r="D154" s="179">
        <f>F120*3.6*1000000/1000000000</f>
        <v>12.494033479358265</v>
      </c>
      <c r="E154" s="179"/>
      <c r="F154" s="135" t="s">
        <v>364</v>
      </c>
      <c r="H154" s="188">
        <f>H82*3.6*1000000/1000000000</f>
        <v>8.64</v>
      </c>
      <c r="I154" s="188"/>
      <c r="J154" s="188">
        <f>H154</f>
        <v>8.64</v>
      </c>
      <c r="Q154" s="135" t="s">
        <v>407</v>
      </c>
      <c r="R154" s="135" t="s">
        <v>364</v>
      </c>
    </row>
    <row r="155" spans="2:22" x14ac:dyDescent="0.25">
      <c r="C155" s="135" t="s">
        <v>143</v>
      </c>
      <c r="D155" s="175">
        <f>F121</f>
        <v>4.0813818503582935</v>
      </c>
      <c r="E155" s="175"/>
      <c r="F155" s="135" t="s">
        <v>364</v>
      </c>
      <c r="H155" s="188">
        <f>(H84+H87)*R155</f>
        <v>5.8455000000000004</v>
      </c>
      <c r="I155" s="188"/>
      <c r="J155" s="188">
        <f>K155*$H$158</f>
        <v>2.314737</v>
      </c>
      <c r="K155" s="171">
        <v>0.15</v>
      </c>
      <c r="L155" s="147" t="s">
        <v>408</v>
      </c>
      <c r="Q155" s="189">
        <v>0.86</v>
      </c>
      <c r="R155" s="138">
        <f>P114</f>
        <v>27</v>
      </c>
    </row>
    <row r="156" spans="2:22" x14ac:dyDescent="0.25">
      <c r="C156" s="135" t="s">
        <v>313</v>
      </c>
      <c r="D156" s="175">
        <f>F122</f>
        <v>20.627230264875688</v>
      </c>
      <c r="E156" s="175"/>
      <c r="F156" s="135" t="s">
        <v>364</v>
      </c>
      <c r="H156" s="188">
        <f>H85*R156</f>
        <v>4.1859999999999999</v>
      </c>
      <c r="I156" s="188"/>
      <c r="J156" s="188">
        <f>K156*$H$158</f>
        <v>1.543158</v>
      </c>
      <c r="K156" s="171">
        <v>0.1</v>
      </c>
      <c r="L156" s="147" t="s">
        <v>408</v>
      </c>
      <c r="Q156" s="190">
        <v>0.9</v>
      </c>
      <c r="R156" s="138">
        <f>P115</f>
        <v>28</v>
      </c>
    </row>
    <row r="157" spans="2:22" x14ac:dyDescent="0.25">
      <c r="B157" s="181" t="s">
        <v>409</v>
      </c>
      <c r="C157" s="135" t="s">
        <v>410</v>
      </c>
      <c r="D157" s="175"/>
      <c r="E157" s="175"/>
      <c r="F157" s="135" t="s">
        <v>364</v>
      </c>
      <c r="H157" s="188">
        <f>R157*H86</f>
        <v>7.7175000000000002</v>
      </c>
      <c r="I157" s="188"/>
      <c r="J157" s="188">
        <f>K157*$H$158/Q157</f>
        <v>13.457773255813954</v>
      </c>
      <c r="K157" s="171">
        <v>0.75</v>
      </c>
      <c r="L157" s="147" t="s">
        <v>408</v>
      </c>
      <c r="Q157" s="191">
        <v>0.86</v>
      </c>
      <c r="R157" s="152">
        <f>T161/1000</f>
        <v>31.5</v>
      </c>
    </row>
    <row r="158" spans="2:22" x14ac:dyDescent="0.25">
      <c r="B158" s="181" t="s">
        <v>412</v>
      </c>
      <c r="D158" s="192">
        <f>SUMPRODUCT(D155:D157,Q155:Q157)</f>
        <v>22.074495629696251</v>
      </c>
      <c r="E158" s="192"/>
      <c r="F158" s="158"/>
      <c r="G158" s="158"/>
      <c r="H158" s="193">
        <f>SUMPRODUCT(H155:H157,Q155:Q157)</f>
        <v>15.43158</v>
      </c>
      <c r="I158" s="193"/>
      <c r="J158" s="193">
        <f>SUMPRODUCT(J155:J157,Q155:Q157)</f>
        <v>14.953201020000002</v>
      </c>
      <c r="K158" s="173"/>
    </row>
    <row r="159" spans="2:22" x14ac:dyDescent="0.25">
      <c r="C159" s="158" t="s">
        <v>429</v>
      </c>
      <c r="T159" s="135" t="s">
        <v>417</v>
      </c>
    </row>
    <row r="160" spans="2:22" x14ac:dyDescent="0.25">
      <c r="C160" s="135" t="s">
        <v>415</v>
      </c>
      <c r="D160" s="194">
        <v>3.2245200000000001</v>
      </c>
      <c r="E160" s="194"/>
      <c r="F160" s="194" t="s">
        <v>430</v>
      </c>
      <c r="G160" s="194"/>
      <c r="H160" s="194">
        <f>D160*((H156+H155)/H158)</f>
        <v>2.0961413141104153</v>
      </c>
      <c r="I160" s="194"/>
      <c r="J160" s="194">
        <f>D160*((J156+J155)/J158)</f>
        <v>0.83191950464396269</v>
      </c>
      <c r="T160" s="135">
        <v>7500</v>
      </c>
      <c r="U160" s="135" t="s">
        <v>414</v>
      </c>
      <c r="V160" s="181" t="s">
        <v>411</v>
      </c>
    </row>
    <row r="161" spans="4:22" x14ac:dyDescent="0.25">
      <c r="D161" s="135" t="s">
        <v>431</v>
      </c>
      <c r="T161" s="135">
        <f>T160*4.2</f>
        <v>31500</v>
      </c>
      <c r="U161" s="135" t="s">
        <v>416</v>
      </c>
      <c r="V161" s="135" t="s">
        <v>413</v>
      </c>
    </row>
    <row r="180" spans="1:14" ht="23.25" x14ac:dyDescent="0.35">
      <c r="A180" s="196" t="s">
        <v>616</v>
      </c>
    </row>
    <row r="183" spans="1:14" x14ac:dyDescent="0.25">
      <c r="B183" s="149" t="s">
        <v>306</v>
      </c>
    </row>
    <row r="184" spans="1:14" x14ac:dyDescent="0.25">
      <c r="B184" s="136" t="s">
        <v>307</v>
      </c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8"/>
    </row>
    <row r="185" spans="1:14" x14ac:dyDescent="0.25">
      <c r="B185" s="144"/>
      <c r="N185" s="140"/>
    </row>
    <row r="186" spans="1:14" x14ac:dyDescent="0.25">
      <c r="B186" s="162" t="s">
        <v>308</v>
      </c>
      <c r="N186" s="140"/>
    </row>
    <row r="187" spans="1:14" x14ac:dyDescent="0.25">
      <c r="B187" s="144">
        <v>4100</v>
      </c>
      <c r="C187" s="135" t="s">
        <v>185</v>
      </c>
      <c r="N187" s="140"/>
    </row>
    <row r="188" spans="1:14" x14ac:dyDescent="0.25">
      <c r="B188" s="144"/>
      <c r="N188" s="140"/>
    </row>
    <row r="189" spans="1:14" x14ac:dyDescent="0.25">
      <c r="B189" s="162" t="s">
        <v>311</v>
      </c>
      <c r="N189" s="140"/>
    </row>
    <row r="190" spans="1:14" x14ac:dyDescent="0.25">
      <c r="B190" s="144" t="s">
        <v>316</v>
      </c>
      <c r="N190" s="140"/>
    </row>
    <row r="191" spans="1:14" x14ac:dyDescent="0.25">
      <c r="B191" s="144">
        <v>4800</v>
      </c>
      <c r="C191" s="135" t="s">
        <v>185</v>
      </c>
      <c r="N191" s="140"/>
    </row>
    <row r="192" spans="1:14" x14ac:dyDescent="0.25">
      <c r="B192" s="144"/>
      <c r="N192" s="140"/>
    </row>
    <row r="193" spans="2:14" x14ac:dyDescent="0.25">
      <c r="B193" s="162" t="s">
        <v>260</v>
      </c>
      <c r="N193" s="140"/>
    </row>
    <row r="194" spans="2:14" x14ac:dyDescent="0.25">
      <c r="B194" s="144" t="s">
        <v>318</v>
      </c>
      <c r="N194" s="140"/>
    </row>
    <row r="195" spans="2:14" x14ac:dyDescent="0.25">
      <c r="B195" s="144" t="s">
        <v>320</v>
      </c>
      <c r="N195" s="140"/>
    </row>
    <row r="196" spans="2:14" x14ac:dyDescent="0.25">
      <c r="B196" s="144">
        <v>3500</v>
      </c>
      <c r="C196" s="135" t="s">
        <v>185</v>
      </c>
      <c r="N196" s="140"/>
    </row>
    <row r="197" spans="2:14" x14ac:dyDescent="0.25">
      <c r="B197" s="144"/>
      <c r="N197" s="140"/>
    </row>
    <row r="198" spans="2:14" x14ac:dyDescent="0.25">
      <c r="B198" s="162" t="s">
        <v>319</v>
      </c>
      <c r="N198" s="140"/>
    </row>
    <row r="199" spans="2:14" x14ac:dyDescent="0.25">
      <c r="B199" s="144" t="s">
        <v>323</v>
      </c>
      <c r="N199" s="140"/>
    </row>
    <row r="200" spans="2:14" x14ac:dyDescent="0.25">
      <c r="B200" s="144" t="s">
        <v>324</v>
      </c>
      <c r="N200" s="140"/>
    </row>
    <row r="201" spans="2:14" x14ac:dyDescent="0.25">
      <c r="B201" s="144">
        <v>2400</v>
      </c>
      <c r="C201" s="135" t="s">
        <v>185</v>
      </c>
      <c r="N201" s="140"/>
    </row>
    <row r="202" spans="2:14" x14ac:dyDescent="0.25">
      <c r="B202" s="144"/>
      <c r="N202" s="140"/>
    </row>
    <row r="203" spans="2:14" x14ac:dyDescent="0.25">
      <c r="B203" s="144"/>
      <c r="N203" s="140"/>
    </row>
    <row r="204" spans="2:14" x14ac:dyDescent="0.25">
      <c r="B204" s="144"/>
      <c r="N204" s="140"/>
    </row>
    <row r="205" spans="2:14" x14ac:dyDescent="0.25">
      <c r="B205" s="144"/>
      <c r="N205" s="140"/>
    </row>
    <row r="206" spans="2:14" x14ac:dyDescent="0.25">
      <c r="B206" s="150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2"/>
    </row>
    <row r="208" spans="2:14" x14ac:dyDescent="0.25">
      <c r="B208" s="135" t="s">
        <v>337</v>
      </c>
    </row>
    <row r="209" spans="2:14" x14ac:dyDescent="0.25">
      <c r="B209" s="136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8"/>
    </row>
    <row r="210" spans="2:14" x14ac:dyDescent="0.25">
      <c r="B210" s="144"/>
      <c r="C210" s="158" t="s">
        <v>340</v>
      </c>
      <c r="N210" s="140"/>
    </row>
    <row r="211" spans="2:14" x14ac:dyDescent="0.25">
      <c r="B211" s="144"/>
      <c r="C211" s="135">
        <v>4.2699999999999996</v>
      </c>
      <c r="D211" s="135" t="s">
        <v>342</v>
      </c>
      <c r="N211" s="140"/>
    </row>
    <row r="212" spans="2:14" x14ac:dyDescent="0.25">
      <c r="B212" s="144"/>
      <c r="C212" s="135">
        <v>0.69</v>
      </c>
      <c r="D212" s="135" t="s">
        <v>344</v>
      </c>
      <c r="N212" s="140"/>
    </row>
    <row r="213" spans="2:14" x14ac:dyDescent="0.25">
      <c r="B213" s="144"/>
      <c r="D213" s="135" t="s">
        <v>346</v>
      </c>
      <c r="N213" s="140"/>
    </row>
    <row r="214" spans="2:14" x14ac:dyDescent="0.25">
      <c r="B214" s="144"/>
      <c r="C214" s="135">
        <v>0.2</v>
      </c>
      <c r="D214" s="135" t="s">
        <v>347</v>
      </c>
      <c r="N214" s="140"/>
    </row>
    <row r="215" spans="2:14" x14ac:dyDescent="0.25">
      <c r="B215" s="144"/>
      <c r="C215" s="135">
        <v>0.27</v>
      </c>
      <c r="D215" s="135" t="s">
        <v>335</v>
      </c>
      <c r="N215" s="140"/>
    </row>
    <row r="216" spans="2:14" x14ac:dyDescent="0.25">
      <c r="B216" s="144"/>
      <c r="C216" s="135">
        <v>0.123</v>
      </c>
      <c r="D216" s="135" t="s">
        <v>338</v>
      </c>
      <c r="N216" s="140"/>
    </row>
    <row r="217" spans="2:14" x14ac:dyDescent="0.25">
      <c r="B217" s="144"/>
      <c r="N217" s="140"/>
    </row>
    <row r="218" spans="2:14" x14ac:dyDescent="0.25">
      <c r="B218" s="144"/>
      <c r="N218" s="140"/>
    </row>
    <row r="219" spans="2:14" x14ac:dyDescent="0.25">
      <c r="B219" s="144"/>
      <c r="N219" s="140"/>
    </row>
    <row r="220" spans="2:14" x14ac:dyDescent="0.25">
      <c r="B220" s="144"/>
      <c r="N220" s="140"/>
    </row>
    <row r="221" spans="2:14" x14ac:dyDescent="0.25">
      <c r="B221" s="144"/>
      <c r="N221" s="140"/>
    </row>
    <row r="222" spans="2:14" x14ac:dyDescent="0.25">
      <c r="B222" s="144"/>
      <c r="N222" s="140"/>
    </row>
    <row r="223" spans="2:14" x14ac:dyDescent="0.25">
      <c r="B223" s="144"/>
      <c r="N223" s="140"/>
    </row>
    <row r="224" spans="2:14" x14ac:dyDescent="0.25">
      <c r="B224" s="144"/>
      <c r="N224" s="140"/>
    </row>
    <row r="225" spans="2:14" x14ac:dyDescent="0.25">
      <c r="B225" s="144"/>
      <c r="N225" s="140"/>
    </row>
    <row r="226" spans="2:14" x14ac:dyDescent="0.25">
      <c r="B226" s="144"/>
      <c r="N226" s="140"/>
    </row>
    <row r="227" spans="2:14" x14ac:dyDescent="0.25">
      <c r="B227" s="144"/>
      <c r="N227" s="140"/>
    </row>
    <row r="228" spans="2:14" x14ac:dyDescent="0.25">
      <c r="B228" s="144"/>
      <c r="N228" s="140"/>
    </row>
    <row r="229" spans="2:14" x14ac:dyDescent="0.25">
      <c r="B229" s="144"/>
      <c r="N229" s="140"/>
    </row>
    <row r="230" spans="2:14" x14ac:dyDescent="0.25">
      <c r="B230" s="144"/>
      <c r="N230" s="140"/>
    </row>
    <row r="231" spans="2:14" x14ac:dyDescent="0.25">
      <c r="B231" s="144"/>
      <c r="N231" s="140"/>
    </row>
    <row r="232" spans="2:14" x14ac:dyDescent="0.25">
      <c r="B232" s="144"/>
      <c r="C232" s="158" t="s">
        <v>356</v>
      </c>
      <c r="N232" s="140"/>
    </row>
    <row r="233" spans="2:14" x14ac:dyDescent="0.25">
      <c r="B233" s="144"/>
      <c r="C233" s="135">
        <v>3.38</v>
      </c>
      <c r="D233" s="135" t="s">
        <v>359</v>
      </c>
      <c r="N233" s="140"/>
    </row>
    <row r="234" spans="2:14" x14ac:dyDescent="0.25">
      <c r="B234" s="144"/>
      <c r="C234" s="135">
        <v>0.61</v>
      </c>
      <c r="D234" s="135" t="s">
        <v>360</v>
      </c>
      <c r="N234" s="140"/>
    </row>
    <row r="235" spans="2:14" x14ac:dyDescent="0.25">
      <c r="B235" s="144"/>
      <c r="D235" s="135" t="s">
        <v>361</v>
      </c>
      <c r="N235" s="140"/>
    </row>
    <row r="236" spans="2:14" x14ac:dyDescent="0.25">
      <c r="B236" s="144"/>
      <c r="C236" s="135">
        <v>2.5999999999999999E-2</v>
      </c>
      <c r="D236" s="135" t="s">
        <v>347</v>
      </c>
      <c r="N236" s="140"/>
    </row>
    <row r="237" spans="2:14" x14ac:dyDescent="0.25">
      <c r="B237" s="144"/>
      <c r="C237" s="135">
        <v>0.29899999999999999</v>
      </c>
      <c r="D237" s="135" t="s">
        <v>335</v>
      </c>
      <c r="N237" s="140"/>
    </row>
    <row r="238" spans="2:14" x14ac:dyDescent="0.25">
      <c r="B238" s="144"/>
      <c r="C238" s="135">
        <v>0.245</v>
      </c>
      <c r="D238" s="135" t="s">
        <v>338</v>
      </c>
      <c r="N238" s="140"/>
    </row>
    <row r="239" spans="2:14" x14ac:dyDescent="0.25">
      <c r="B239" s="144"/>
      <c r="C239" s="135">
        <v>4.1000000000000002E-2</v>
      </c>
      <c r="D239" s="135" t="s">
        <v>339</v>
      </c>
      <c r="N239" s="140"/>
    </row>
    <row r="240" spans="2:14" x14ac:dyDescent="0.25">
      <c r="B240" s="144"/>
      <c r="N240" s="140"/>
    </row>
    <row r="241" spans="2:14" x14ac:dyDescent="0.25">
      <c r="B241" s="144"/>
      <c r="N241" s="140"/>
    </row>
    <row r="242" spans="2:14" x14ac:dyDescent="0.25">
      <c r="B242" s="144"/>
      <c r="N242" s="140"/>
    </row>
    <row r="243" spans="2:14" x14ac:dyDescent="0.25">
      <c r="B243" s="144"/>
      <c r="N243" s="140"/>
    </row>
    <row r="244" spans="2:14" x14ac:dyDescent="0.25">
      <c r="B244" s="144"/>
      <c r="N244" s="140"/>
    </row>
    <row r="245" spans="2:14" x14ac:dyDescent="0.25">
      <c r="B245" s="144"/>
      <c r="N245" s="140"/>
    </row>
    <row r="246" spans="2:14" x14ac:dyDescent="0.25">
      <c r="B246" s="144"/>
      <c r="N246" s="140"/>
    </row>
    <row r="247" spans="2:14" x14ac:dyDescent="0.25">
      <c r="B247" s="144"/>
      <c r="N247" s="140"/>
    </row>
    <row r="248" spans="2:14" x14ac:dyDescent="0.25">
      <c r="B248" s="144"/>
      <c r="N248" s="140"/>
    </row>
    <row r="249" spans="2:14" x14ac:dyDescent="0.25">
      <c r="B249" s="144"/>
      <c r="N249" s="140"/>
    </row>
    <row r="250" spans="2:14" x14ac:dyDescent="0.25">
      <c r="B250" s="144"/>
      <c r="N250" s="140"/>
    </row>
    <row r="251" spans="2:14" x14ac:dyDescent="0.25">
      <c r="B251" s="144"/>
      <c r="N251" s="140"/>
    </row>
    <row r="252" spans="2:14" x14ac:dyDescent="0.25">
      <c r="B252" s="144"/>
      <c r="N252" s="140"/>
    </row>
    <row r="253" spans="2:14" x14ac:dyDescent="0.25">
      <c r="B253" s="144"/>
      <c r="N253" s="140"/>
    </row>
    <row r="254" spans="2:14" x14ac:dyDescent="0.25">
      <c r="B254" s="144"/>
      <c r="N254" s="140"/>
    </row>
    <row r="255" spans="2:14" x14ac:dyDescent="0.25">
      <c r="B255" s="144"/>
      <c r="N255" s="140"/>
    </row>
    <row r="256" spans="2:14" x14ac:dyDescent="0.25">
      <c r="B256" s="144"/>
      <c r="N256" s="140"/>
    </row>
    <row r="257" spans="2:14" x14ac:dyDescent="0.25">
      <c r="B257" s="150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2"/>
    </row>
    <row r="261" spans="2:14" x14ac:dyDescent="0.25">
      <c r="B261" s="158" t="s">
        <v>617</v>
      </c>
    </row>
    <row r="262" spans="2:14" x14ac:dyDescent="0.25">
      <c r="B262" s="136" t="s">
        <v>379</v>
      </c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8"/>
    </row>
    <row r="263" spans="2:14" x14ac:dyDescent="0.25">
      <c r="B263" s="144" t="s">
        <v>381</v>
      </c>
      <c r="N263" s="140"/>
    </row>
    <row r="264" spans="2:14" x14ac:dyDescent="0.25">
      <c r="B264" s="144"/>
      <c r="N264" s="140"/>
    </row>
    <row r="265" spans="2:14" x14ac:dyDescent="0.25">
      <c r="B265" s="144" t="s">
        <v>384</v>
      </c>
      <c r="N265" s="140"/>
    </row>
    <row r="266" spans="2:14" x14ac:dyDescent="0.25">
      <c r="B266" s="185" t="s">
        <v>386</v>
      </c>
      <c r="N266" s="140"/>
    </row>
    <row r="267" spans="2:14" x14ac:dyDescent="0.25">
      <c r="B267" s="144" t="s">
        <v>226</v>
      </c>
      <c r="N267" s="140"/>
    </row>
    <row r="268" spans="2:14" x14ac:dyDescent="0.25">
      <c r="B268" s="150">
        <v>140</v>
      </c>
      <c r="C268" s="151" t="s">
        <v>387</v>
      </c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2"/>
    </row>
    <row r="272" spans="2:14" x14ac:dyDescent="0.25">
      <c r="B272" s="135" t="s">
        <v>256</v>
      </c>
    </row>
    <row r="273" spans="2:11" x14ac:dyDescent="0.25">
      <c r="B273" s="145" t="s">
        <v>265</v>
      </c>
      <c r="C273" s="137"/>
      <c r="D273" s="137"/>
      <c r="E273" s="137"/>
      <c r="F273" s="137"/>
      <c r="G273" s="137"/>
      <c r="H273" s="137"/>
      <c r="I273" s="137"/>
      <c r="J273" s="137"/>
      <c r="K273" s="138"/>
    </row>
    <row r="274" spans="2:11" x14ac:dyDescent="0.25">
      <c r="B274" s="144"/>
      <c r="K274" s="140"/>
    </row>
    <row r="275" spans="2:11" x14ac:dyDescent="0.25">
      <c r="B275" s="144"/>
      <c r="K275" s="140"/>
    </row>
    <row r="276" spans="2:11" x14ac:dyDescent="0.25">
      <c r="B276" s="144">
        <v>4.9000000000000004</v>
      </c>
      <c r="C276" s="135" t="s">
        <v>272</v>
      </c>
      <c r="K276" s="140"/>
    </row>
    <row r="277" spans="2:11" x14ac:dyDescent="0.25">
      <c r="B277" s="144">
        <v>0.36</v>
      </c>
      <c r="C277" s="135" t="s">
        <v>276</v>
      </c>
      <c r="K277" s="140"/>
    </row>
    <row r="278" spans="2:11" x14ac:dyDescent="0.25">
      <c r="B278" s="144">
        <v>0.36</v>
      </c>
      <c r="C278" s="135" t="s">
        <v>277</v>
      </c>
      <c r="K278" s="140"/>
    </row>
    <row r="279" spans="2:11" x14ac:dyDescent="0.25">
      <c r="B279" s="144">
        <f>B276/B277</f>
        <v>13.611111111111112</v>
      </c>
      <c r="C279" s="135" t="s">
        <v>279</v>
      </c>
      <c r="K279" s="140"/>
    </row>
    <row r="280" spans="2:11" x14ac:dyDescent="0.25">
      <c r="B280" s="144"/>
      <c r="K280" s="140"/>
    </row>
    <row r="281" spans="2:11" x14ac:dyDescent="0.25">
      <c r="B281" s="150" t="s">
        <v>285</v>
      </c>
      <c r="C281" s="151"/>
      <c r="D281" s="151"/>
      <c r="E281" s="151"/>
      <c r="F281" s="151"/>
      <c r="G281" s="151"/>
      <c r="H281" s="151"/>
      <c r="I281" s="151"/>
      <c r="J281" s="151"/>
      <c r="K281" s="152"/>
    </row>
    <row r="283" spans="2:11" x14ac:dyDescent="0.25">
      <c r="B283" s="136"/>
      <c r="C283" s="137"/>
      <c r="D283" s="137"/>
      <c r="E283" s="137"/>
      <c r="F283" s="137"/>
      <c r="G283" s="137"/>
      <c r="H283" s="137"/>
      <c r="I283" s="137"/>
      <c r="J283" s="137"/>
      <c r="K283" s="138"/>
    </row>
    <row r="284" spans="2:11" x14ac:dyDescent="0.25">
      <c r="B284" s="154" t="s">
        <v>290</v>
      </c>
      <c r="K284" s="140"/>
    </row>
    <row r="285" spans="2:11" x14ac:dyDescent="0.25">
      <c r="B285" s="144"/>
      <c r="K285" s="140"/>
    </row>
    <row r="286" spans="2:11" x14ac:dyDescent="0.25">
      <c r="B286" s="144" t="s">
        <v>294</v>
      </c>
      <c r="K286" s="140"/>
    </row>
    <row r="287" spans="2:11" x14ac:dyDescent="0.25">
      <c r="B287" s="144">
        <v>3000</v>
      </c>
      <c r="C287" s="135" t="s">
        <v>296</v>
      </c>
      <c r="K287" s="140"/>
    </row>
    <row r="288" spans="2:11" x14ac:dyDescent="0.25">
      <c r="B288" s="144"/>
      <c r="K288" s="140"/>
    </row>
    <row r="289" spans="2:14" x14ac:dyDescent="0.25">
      <c r="B289" s="144">
        <v>22</v>
      </c>
      <c r="C289" s="135" t="s">
        <v>299</v>
      </c>
      <c r="K289" s="140"/>
    </row>
    <row r="290" spans="2:14" x14ac:dyDescent="0.25">
      <c r="B290" s="144">
        <v>13</v>
      </c>
      <c r="C290" s="135" t="s">
        <v>301</v>
      </c>
      <c r="K290" s="140"/>
    </row>
    <row r="291" spans="2:14" x14ac:dyDescent="0.25">
      <c r="B291" s="144"/>
      <c r="K291" s="140"/>
    </row>
    <row r="292" spans="2:14" x14ac:dyDescent="0.25">
      <c r="B292" s="144">
        <v>2</v>
      </c>
      <c r="C292" s="135" t="s">
        <v>303</v>
      </c>
      <c r="K292" s="140"/>
    </row>
    <row r="293" spans="2:14" x14ac:dyDescent="0.25">
      <c r="B293" s="144">
        <v>4</v>
      </c>
      <c r="C293" s="135" t="s">
        <v>305</v>
      </c>
      <c r="K293" s="140"/>
    </row>
    <row r="294" spans="2:14" x14ac:dyDescent="0.25">
      <c r="B294" s="150"/>
      <c r="C294" s="151"/>
      <c r="D294" s="151"/>
      <c r="E294" s="151"/>
      <c r="F294" s="151"/>
      <c r="G294" s="151"/>
      <c r="H294" s="151"/>
      <c r="I294" s="151"/>
      <c r="J294" s="151"/>
      <c r="K294" s="152"/>
    </row>
    <row r="298" spans="2:14" x14ac:dyDescent="0.25">
      <c r="B298" s="136" t="s">
        <v>419</v>
      </c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8"/>
    </row>
    <row r="299" spans="2:14" x14ac:dyDescent="0.25">
      <c r="B299" s="144" t="s">
        <v>422</v>
      </c>
      <c r="N299" s="140"/>
    </row>
    <row r="300" spans="2:14" x14ac:dyDescent="0.25">
      <c r="B300" s="144"/>
      <c r="N300" s="140"/>
    </row>
    <row r="301" spans="2:14" x14ac:dyDescent="0.25">
      <c r="B301" s="144"/>
      <c r="N301" s="140"/>
    </row>
    <row r="302" spans="2:14" x14ac:dyDescent="0.25">
      <c r="B302" s="144"/>
      <c r="N302" s="140"/>
    </row>
    <row r="303" spans="2:14" x14ac:dyDescent="0.25">
      <c r="B303" s="144"/>
      <c r="N303" s="140"/>
    </row>
    <row r="304" spans="2:14" x14ac:dyDescent="0.25">
      <c r="B304" s="144"/>
      <c r="N304" s="140"/>
    </row>
    <row r="305" spans="2:14" x14ac:dyDescent="0.25">
      <c r="B305" s="144"/>
      <c r="N305" s="140"/>
    </row>
    <row r="306" spans="2:14" x14ac:dyDescent="0.25">
      <c r="B306" s="144"/>
      <c r="N306" s="140"/>
    </row>
    <row r="307" spans="2:14" x14ac:dyDescent="0.25">
      <c r="B307" s="144"/>
      <c r="N307" s="140"/>
    </row>
    <row r="308" spans="2:14" x14ac:dyDescent="0.25">
      <c r="B308" s="144"/>
      <c r="N308" s="140"/>
    </row>
    <row r="309" spans="2:14" x14ac:dyDescent="0.25">
      <c r="B309" s="144"/>
      <c r="N309" s="140"/>
    </row>
    <row r="310" spans="2:14" x14ac:dyDescent="0.25">
      <c r="B310" s="144"/>
      <c r="N310" s="140"/>
    </row>
    <row r="311" spans="2:14" x14ac:dyDescent="0.25">
      <c r="B311" s="144"/>
      <c r="N311" s="140"/>
    </row>
    <row r="312" spans="2:14" x14ac:dyDescent="0.25">
      <c r="B312" s="144"/>
      <c r="N312" s="140"/>
    </row>
    <row r="313" spans="2:14" x14ac:dyDescent="0.25">
      <c r="B313" s="144"/>
      <c r="N313" s="140"/>
    </row>
    <row r="314" spans="2:14" x14ac:dyDescent="0.25">
      <c r="B314" s="144"/>
      <c r="N314" s="140"/>
    </row>
    <row r="315" spans="2:14" x14ac:dyDescent="0.25">
      <c r="B315" s="144"/>
      <c r="N315" s="140"/>
    </row>
    <row r="316" spans="2:14" x14ac:dyDescent="0.25">
      <c r="B316" s="144"/>
      <c r="N316" s="140"/>
    </row>
    <row r="317" spans="2:14" x14ac:dyDescent="0.25">
      <c r="B317" s="144"/>
      <c r="D317" s="330" t="s">
        <v>618</v>
      </c>
      <c r="N317" s="140"/>
    </row>
    <row r="318" spans="2:14" x14ac:dyDescent="0.25">
      <c r="B318" s="144"/>
      <c r="D318" s="136" t="s">
        <v>420</v>
      </c>
      <c r="E318" s="137">
        <v>10</v>
      </c>
      <c r="F318" s="137" t="s">
        <v>421</v>
      </c>
      <c r="G318" s="138"/>
      <c r="N318" s="140"/>
    </row>
    <row r="319" spans="2:14" x14ac:dyDescent="0.25">
      <c r="B319" s="144"/>
      <c r="D319" s="144" t="s">
        <v>423</v>
      </c>
      <c r="E319" s="135">
        <v>79</v>
      </c>
      <c r="F319" s="135" t="s">
        <v>424</v>
      </c>
      <c r="G319" s="140"/>
      <c r="N319" s="140"/>
    </row>
    <row r="320" spans="2:14" x14ac:dyDescent="0.25">
      <c r="B320" s="144"/>
      <c r="D320" s="144"/>
      <c r="E320" s="135">
        <f>E319*E325</f>
        <v>88.48</v>
      </c>
      <c r="F320" s="135" t="s">
        <v>425</v>
      </c>
      <c r="G320" s="140"/>
      <c r="N320" s="140"/>
    </row>
    <row r="321" spans="2:14" x14ac:dyDescent="0.25">
      <c r="B321" s="144"/>
      <c r="D321" s="144"/>
      <c r="E321" s="135">
        <f>E320*E324</f>
        <v>1053.7968000000001</v>
      </c>
      <c r="F321" s="135" t="s">
        <v>426</v>
      </c>
      <c r="G321" s="140"/>
      <c r="N321" s="140"/>
    </row>
    <row r="322" spans="2:14" x14ac:dyDescent="0.25">
      <c r="B322" s="144"/>
      <c r="D322" s="144"/>
      <c r="G322" s="140"/>
      <c r="N322" s="140"/>
    </row>
    <row r="323" spans="2:14" x14ac:dyDescent="0.25">
      <c r="B323" s="144"/>
      <c r="D323" s="144"/>
      <c r="G323" s="140"/>
      <c r="N323" s="140"/>
    </row>
    <row r="324" spans="2:14" x14ac:dyDescent="0.25">
      <c r="B324" s="144"/>
      <c r="D324" s="144"/>
      <c r="E324" s="135">
        <v>11.91</v>
      </c>
      <c r="F324" s="135" t="s">
        <v>427</v>
      </c>
      <c r="G324" s="140"/>
      <c r="N324" s="140"/>
    </row>
    <row r="325" spans="2:14" x14ac:dyDescent="0.25">
      <c r="B325" s="144"/>
      <c r="D325" s="144"/>
      <c r="E325" s="135">
        <v>1.1200000000000001</v>
      </c>
      <c r="F325" s="135" t="s">
        <v>428</v>
      </c>
      <c r="G325" s="140"/>
      <c r="N325" s="140"/>
    </row>
    <row r="326" spans="2:14" x14ac:dyDescent="0.25">
      <c r="B326" s="144"/>
      <c r="D326" s="144" t="s">
        <v>382</v>
      </c>
      <c r="E326" s="148">
        <v>0.33</v>
      </c>
      <c r="G326" s="140"/>
      <c r="N326" s="140"/>
    </row>
    <row r="327" spans="2:14" x14ac:dyDescent="0.25">
      <c r="B327" s="144"/>
      <c r="D327" s="150"/>
      <c r="E327" s="151"/>
      <c r="F327" s="151"/>
      <c r="G327" s="152"/>
      <c r="N327" s="140"/>
    </row>
    <row r="328" spans="2:14" x14ac:dyDescent="0.25">
      <c r="B328" s="144"/>
      <c r="N328" s="140"/>
    </row>
    <row r="329" spans="2:14" x14ac:dyDescent="0.25">
      <c r="B329" s="144"/>
      <c r="N329" s="140"/>
    </row>
    <row r="330" spans="2:14" x14ac:dyDescent="0.25">
      <c r="B330" s="150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2"/>
    </row>
    <row r="334" spans="2:14" x14ac:dyDescent="0.25">
      <c r="B334" s="158" t="s">
        <v>376</v>
      </c>
    </row>
    <row r="335" spans="2:14" x14ac:dyDescent="0.25">
      <c r="B335" s="136" t="s">
        <v>378</v>
      </c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8"/>
    </row>
    <row r="336" spans="2:14" x14ac:dyDescent="0.25">
      <c r="B336" s="144" t="s">
        <v>380</v>
      </c>
      <c r="N336" s="140"/>
    </row>
    <row r="337" spans="2:14" x14ac:dyDescent="0.25">
      <c r="B337" s="144"/>
      <c r="C337" s="135" t="s">
        <v>382</v>
      </c>
      <c r="N337" s="140"/>
    </row>
    <row r="338" spans="2:14" x14ac:dyDescent="0.25">
      <c r="B338" s="144" t="s">
        <v>383</v>
      </c>
      <c r="C338" s="148">
        <v>0.2</v>
      </c>
      <c r="D338" s="148"/>
      <c r="N338" s="140"/>
    </row>
    <row r="339" spans="2:14" x14ac:dyDescent="0.25">
      <c r="B339" s="144" t="s">
        <v>385</v>
      </c>
      <c r="C339" s="148">
        <v>0.35</v>
      </c>
      <c r="D339" s="148"/>
      <c r="N339" s="140"/>
    </row>
    <row r="340" spans="2:14" x14ac:dyDescent="0.25">
      <c r="B340" s="144"/>
      <c r="N340" s="140"/>
    </row>
    <row r="341" spans="2:14" x14ac:dyDescent="0.25">
      <c r="B341" s="150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2"/>
    </row>
  </sheetData>
  <mergeCells count="12">
    <mergeCell ref="D33:D34"/>
    <mergeCell ref="B15:B17"/>
    <mergeCell ref="B18:B20"/>
    <mergeCell ref="B21:B23"/>
    <mergeCell ref="B24:B26"/>
    <mergeCell ref="C33:C34"/>
    <mergeCell ref="C36:C37"/>
    <mergeCell ref="D36:D37"/>
    <mergeCell ref="E36:E37"/>
    <mergeCell ref="C39:C40"/>
    <mergeCell ref="D39:D40"/>
    <mergeCell ref="E39:E40"/>
  </mergeCells>
  <hyperlinks>
    <hyperlink ref="B273" r:id="rId1" xr:uid="{422A1BB5-B0D8-4A2F-BF63-C584298D04BA}"/>
    <hyperlink ref="B284" r:id="rId2" xr:uid="{45E5F257-3D13-4DA6-9DD8-1D7597FD6307}"/>
    <hyperlink ref="O39" r:id="rId3" xr:uid="{70E8EAE8-62FC-48BF-8095-0EAA637E7771}"/>
    <hyperlink ref="J41" r:id="rId4" xr:uid="{B1A0BF11-D2D1-49E4-9F03-622EF7A6C2AE}"/>
    <hyperlink ref="B183" r:id="rId5" xr:uid="{1E5B9A2A-E76D-4C02-9F61-B210D1411152}"/>
  </hyperlinks>
  <pageMargins left="0.7" right="0.7" top="0.75" bottom="0.75" header="0.3" footer="0.3"/>
  <pageSetup orientation="portrait" horizontalDpi="1200" verticalDpi="1200" r:id="rId6"/>
  <drawing r:id="rId7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4607-216B-42DA-9DE4-DA514A499138}">
  <dimension ref="A9:F31"/>
  <sheetViews>
    <sheetView workbookViewId="0">
      <selection activeCell="F28" sqref="F28"/>
    </sheetView>
  </sheetViews>
  <sheetFormatPr defaultRowHeight="12.75" x14ac:dyDescent="0.2"/>
  <cols>
    <col min="1" max="1" width="15.28515625" customWidth="1"/>
    <col min="2" max="2" width="20.140625" customWidth="1"/>
    <col min="3" max="3" width="12.7109375" customWidth="1"/>
  </cols>
  <sheetData>
    <row r="9" spans="1:6" x14ac:dyDescent="0.2">
      <c r="A9" s="1" t="s">
        <v>606</v>
      </c>
      <c r="D9" s="1"/>
    </row>
    <row r="11" spans="1:6" x14ac:dyDescent="0.2">
      <c r="A11" s="1" t="s">
        <v>605</v>
      </c>
      <c r="D11" s="67" t="s">
        <v>138</v>
      </c>
      <c r="E11" s="67" t="s">
        <v>137</v>
      </c>
      <c r="F11" s="67" t="s">
        <v>598</v>
      </c>
    </row>
    <row r="12" spans="1:6" x14ac:dyDescent="0.2">
      <c r="B12" s="1" t="s">
        <v>601</v>
      </c>
    </row>
    <row r="13" spans="1:6" x14ac:dyDescent="0.2">
      <c r="C13" s="67" t="s">
        <v>347</v>
      </c>
    </row>
    <row r="14" spans="1:6" x14ac:dyDescent="0.2">
      <c r="C14" s="67" t="s">
        <v>607</v>
      </c>
    </row>
    <row r="15" spans="1:6" x14ac:dyDescent="0.2">
      <c r="C15" s="67" t="s">
        <v>335</v>
      </c>
    </row>
    <row r="16" spans="1:6" x14ac:dyDescent="0.2">
      <c r="B16" s="1" t="s">
        <v>602</v>
      </c>
    </row>
    <row r="17" spans="1:6" x14ac:dyDescent="0.2">
      <c r="C17" s="67" t="s">
        <v>608</v>
      </c>
    </row>
    <row r="18" spans="1:6" x14ac:dyDescent="0.2">
      <c r="C18" s="67" t="s">
        <v>609</v>
      </c>
    </row>
    <row r="19" spans="1:6" x14ac:dyDescent="0.2">
      <c r="C19" s="67" t="s">
        <v>610</v>
      </c>
    </row>
    <row r="20" spans="1:6" x14ac:dyDescent="0.2">
      <c r="B20" s="1" t="s">
        <v>603</v>
      </c>
    </row>
    <row r="21" spans="1:6" x14ac:dyDescent="0.2">
      <c r="C21" s="67" t="s">
        <v>611</v>
      </c>
    </row>
    <row r="24" spans="1:6" x14ac:dyDescent="0.2">
      <c r="B24" s="1" t="s">
        <v>604</v>
      </c>
    </row>
    <row r="25" spans="1:6" x14ac:dyDescent="0.2">
      <c r="C25" s="67" t="s">
        <v>612</v>
      </c>
      <c r="F25" s="67" t="s">
        <v>600</v>
      </c>
    </row>
    <row r="26" spans="1:6" x14ac:dyDescent="0.2">
      <c r="C26" s="67" t="s">
        <v>613</v>
      </c>
      <c r="D26" s="67" t="s">
        <v>614</v>
      </c>
      <c r="E26" s="67" t="s">
        <v>614</v>
      </c>
      <c r="F26" s="67" t="s">
        <v>599</v>
      </c>
    </row>
    <row r="27" spans="1:6" x14ac:dyDescent="0.2">
      <c r="B27" s="1"/>
    </row>
    <row r="28" spans="1:6" x14ac:dyDescent="0.2">
      <c r="B28" s="1" t="s">
        <v>226</v>
      </c>
      <c r="C28">
        <v>2020</v>
      </c>
      <c r="D28" s="67" t="s">
        <v>614</v>
      </c>
    </row>
    <row r="29" spans="1:6" x14ac:dyDescent="0.2">
      <c r="C29">
        <v>2023</v>
      </c>
      <c r="D29" s="67" t="s">
        <v>614</v>
      </c>
    </row>
    <row r="30" spans="1:6" x14ac:dyDescent="0.2">
      <c r="C30">
        <v>2028</v>
      </c>
      <c r="D30" s="67" t="s">
        <v>614</v>
      </c>
    </row>
    <row r="31" spans="1:6" x14ac:dyDescent="0.2">
      <c r="A31" s="1" t="s">
        <v>319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D7DD-F711-45B5-8D7B-68F194C085C4}">
  <dimension ref="A2:Q63"/>
  <sheetViews>
    <sheetView topLeftCell="A39" zoomScaleNormal="100" workbookViewId="0">
      <selection activeCell="I25" sqref="I25"/>
    </sheetView>
  </sheetViews>
  <sheetFormatPr defaultColWidth="9.140625" defaultRowHeight="15.75" x14ac:dyDescent="0.25"/>
  <cols>
    <col min="1" max="1" width="9.140625" style="135"/>
    <col min="2" max="2" width="23.28515625" style="135" customWidth="1"/>
    <col min="3" max="3" width="9.140625" style="135"/>
    <col min="4" max="4" width="14.140625" style="135" bestFit="1" customWidth="1"/>
    <col min="5" max="5" width="11.28515625" style="135" bestFit="1" customWidth="1"/>
    <col min="6" max="6" width="13.5703125" style="135" bestFit="1" customWidth="1"/>
    <col min="7" max="7" width="11.28515625" style="135" bestFit="1" customWidth="1"/>
    <col min="8" max="8" width="13.7109375" style="135" customWidth="1"/>
    <col min="9" max="10" width="11.28515625" style="135" bestFit="1" customWidth="1"/>
    <col min="11" max="14" width="9.140625" style="135"/>
    <col min="15" max="17" width="14.140625" style="135" bestFit="1" customWidth="1"/>
    <col min="18" max="16384" width="9.140625" style="135"/>
  </cols>
  <sheetData>
    <row r="2" spans="1:17" ht="23.25" x14ac:dyDescent="0.35">
      <c r="A2" s="196" t="s">
        <v>372</v>
      </c>
    </row>
    <row r="4" spans="1:17" x14ac:dyDescent="0.25">
      <c r="B4" s="135" t="s">
        <v>433</v>
      </c>
    </row>
    <row r="5" spans="1:17" x14ac:dyDescent="0.25">
      <c r="B5" s="197" t="s">
        <v>434</v>
      </c>
      <c r="C5" s="137"/>
      <c r="D5" s="137" t="s">
        <v>435</v>
      </c>
      <c r="E5" s="198">
        <v>2012</v>
      </c>
      <c r="F5" s="198">
        <v>2013</v>
      </c>
      <c r="G5" s="198">
        <v>2014</v>
      </c>
      <c r="H5" s="198">
        <v>2015</v>
      </c>
      <c r="I5" s="198">
        <v>2016</v>
      </c>
      <c r="J5" s="198">
        <v>2017</v>
      </c>
      <c r="K5" s="138"/>
    </row>
    <row r="6" spans="1:17" x14ac:dyDescent="0.25">
      <c r="B6" s="144" t="s">
        <v>436</v>
      </c>
      <c r="D6" s="135" t="s">
        <v>437</v>
      </c>
      <c r="E6" s="199">
        <v>3063000</v>
      </c>
      <c r="F6" s="199">
        <v>3219000</v>
      </c>
      <c r="G6" s="199">
        <v>3719000</v>
      </c>
      <c r="H6" s="199">
        <v>3685000</v>
      </c>
      <c r="I6" s="199">
        <v>3334705.7</v>
      </c>
      <c r="J6" s="199">
        <v>3370941.2</v>
      </c>
      <c r="K6" s="140"/>
    </row>
    <row r="7" spans="1:17" x14ac:dyDescent="0.25">
      <c r="B7" s="144" t="s">
        <v>438</v>
      </c>
      <c r="D7" s="135" t="s">
        <v>437</v>
      </c>
      <c r="E7" s="199">
        <v>706000</v>
      </c>
      <c r="F7" s="199">
        <v>681000</v>
      </c>
      <c r="G7" s="199">
        <v>814263</v>
      </c>
      <c r="H7" s="199">
        <v>492000</v>
      </c>
      <c r="I7" s="199">
        <v>684016.60000000009</v>
      </c>
      <c r="J7" s="199">
        <v>707122.60000000009</v>
      </c>
      <c r="K7" s="140"/>
    </row>
    <row r="8" spans="1:17" x14ac:dyDescent="0.25">
      <c r="B8" s="144" t="s">
        <v>439</v>
      </c>
      <c r="D8" s="135" t="s">
        <v>437</v>
      </c>
      <c r="E8" s="199">
        <v>177000</v>
      </c>
      <c r="F8" s="199">
        <v>163000</v>
      </c>
      <c r="G8" s="199">
        <v>194737</v>
      </c>
      <c r="H8" s="199">
        <v>123000</v>
      </c>
      <c r="I8" s="199">
        <v>163139.26354372373</v>
      </c>
      <c r="J8" s="199">
        <v>155493.5440824645</v>
      </c>
      <c r="K8" s="140"/>
    </row>
    <row r="9" spans="1:17" x14ac:dyDescent="0.25">
      <c r="B9" s="144" t="s">
        <v>440</v>
      </c>
      <c r="D9" s="135" t="s">
        <v>437</v>
      </c>
      <c r="E9" s="199">
        <v>83100</v>
      </c>
      <c r="F9" s="199">
        <v>78400</v>
      </c>
      <c r="G9" s="199">
        <v>87700</v>
      </c>
      <c r="H9" s="199">
        <v>138000</v>
      </c>
      <c r="I9" s="199">
        <v>105948</v>
      </c>
      <c r="J9" s="199">
        <v>104183</v>
      </c>
      <c r="K9" s="140"/>
    </row>
    <row r="10" spans="1:17" x14ac:dyDescent="0.25">
      <c r="B10" s="144" t="s">
        <v>441</v>
      </c>
      <c r="D10" s="135" t="s">
        <v>437</v>
      </c>
      <c r="E10" s="199">
        <v>53000</v>
      </c>
      <c r="F10" s="199">
        <v>34000</v>
      </c>
      <c r="G10" s="199">
        <v>47200</v>
      </c>
      <c r="H10" s="199">
        <v>42600</v>
      </c>
      <c r="I10" s="199">
        <v>38251.659999999996</v>
      </c>
      <c r="J10" s="199">
        <v>35013.760000000002</v>
      </c>
      <c r="K10" s="140"/>
    </row>
    <row r="11" spans="1:17" x14ac:dyDescent="0.25">
      <c r="B11" s="150"/>
      <c r="C11" s="151"/>
      <c r="D11" s="151"/>
      <c r="E11" s="151"/>
      <c r="F11" s="151"/>
      <c r="G11" s="151"/>
      <c r="H11" s="151"/>
      <c r="I11" s="151"/>
      <c r="J11" s="151"/>
      <c r="K11" s="152"/>
    </row>
    <row r="14" spans="1:17" x14ac:dyDescent="0.25">
      <c r="B14" s="135" t="s">
        <v>442</v>
      </c>
    </row>
    <row r="15" spans="1:17" x14ac:dyDescent="0.25">
      <c r="B15" s="136"/>
      <c r="C15" s="137"/>
      <c r="D15" s="137"/>
      <c r="E15" s="137"/>
      <c r="F15" s="137"/>
      <c r="G15" s="137"/>
      <c r="H15" s="137"/>
      <c r="I15" s="137"/>
      <c r="J15" s="137"/>
      <c r="K15" s="138"/>
      <c r="O15" s="198">
        <v>2015</v>
      </c>
      <c r="P15" s="198">
        <v>2016</v>
      </c>
      <c r="Q15" s="198">
        <v>2017</v>
      </c>
    </row>
    <row r="16" spans="1:17" x14ac:dyDescent="0.25">
      <c r="B16" s="144" t="s">
        <v>443</v>
      </c>
      <c r="E16" s="159">
        <f t="shared" ref="E16:J16" si="0">E6</f>
        <v>3063000</v>
      </c>
      <c r="F16" s="159">
        <f t="shared" si="0"/>
        <v>3219000</v>
      </c>
      <c r="G16" s="159">
        <f t="shared" si="0"/>
        <v>3719000</v>
      </c>
      <c r="H16" s="159">
        <f t="shared" si="0"/>
        <v>3685000</v>
      </c>
      <c r="I16" s="159">
        <f t="shared" si="0"/>
        <v>3334705.7</v>
      </c>
      <c r="J16" s="159">
        <f t="shared" si="0"/>
        <v>3370941.2</v>
      </c>
      <c r="K16" s="140"/>
      <c r="N16" s="144" t="s">
        <v>443</v>
      </c>
      <c r="O16" s="199">
        <v>3685000</v>
      </c>
      <c r="P16" s="199">
        <v>3334705.7</v>
      </c>
      <c r="Q16" s="199">
        <v>3370941.2</v>
      </c>
    </row>
    <row r="17" spans="1:17" x14ac:dyDescent="0.25">
      <c r="B17" s="144" t="s">
        <v>444</v>
      </c>
      <c r="E17" s="159">
        <f t="shared" ref="E17:J17" si="1">E7+E8</f>
        <v>883000</v>
      </c>
      <c r="F17" s="159">
        <f t="shared" si="1"/>
        <v>844000</v>
      </c>
      <c r="G17" s="159">
        <f t="shared" si="1"/>
        <v>1009000</v>
      </c>
      <c r="H17" s="159">
        <f t="shared" si="1"/>
        <v>615000</v>
      </c>
      <c r="I17" s="159">
        <f t="shared" si="1"/>
        <v>847155.86354372383</v>
      </c>
      <c r="J17" s="159">
        <f t="shared" si="1"/>
        <v>862616.14408246463</v>
      </c>
      <c r="K17" s="140"/>
      <c r="N17" s="144" t="s">
        <v>444</v>
      </c>
      <c r="O17" s="199">
        <v>615000</v>
      </c>
      <c r="P17" s="199">
        <v>847155.86354372383</v>
      </c>
      <c r="Q17" s="199">
        <v>862616.14408246463</v>
      </c>
    </row>
    <row r="18" spans="1:17" x14ac:dyDescent="0.25">
      <c r="B18" s="144" t="s">
        <v>445</v>
      </c>
      <c r="E18" s="159">
        <f t="shared" ref="E18:J18" si="2">E9+E10</f>
        <v>136100</v>
      </c>
      <c r="F18" s="159">
        <f t="shared" si="2"/>
        <v>112400</v>
      </c>
      <c r="G18" s="159">
        <f t="shared" si="2"/>
        <v>134900</v>
      </c>
      <c r="H18" s="159">
        <f t="shared" si="2"/>
        <v>180600</v>
      </c>
      <c r="I18" s="159">
        <f t="shared" si="2"/>
        <v>144199.66</v>
      </c>
      <c r="J18" s="159">
        <f t="shared" si="2"/>
        <v>139196.76</v>
      </c>
      <c r="K18" s="140"/>
      <c r="N18" s="144" t="s">
        <v>445</v>
      </c>
      <c r="O18" s="199">
        <v>180600</v>
      </c>
      <c r="P18" s="199">
        <v>144199.66</v>
      </c>
      <c r="Q18" s="199">
        <v>139196.76</v>
      </c>
    </row>
    <row r="19" spans="1:17" x14ac:dyDescent="0.25">
      <c r="B19" s="144"/>
      <c r="E19" s="159">
        <f t="shared" ref="E19:J19" si="3">SUM(E16:E18)</f>
        <v>4082100</v>
      </c>
      <c r="F19" s="159">
        <f t="shared" si="3"/>
        <v>4175400</v>
      </c>
      <c r="G19" s="159">
        <f t="shared" si="3"/>
        <v>4862900</v>
      </c>
      <c r="H19" s="159">
        <f t="shared" si="3"/>
        <v>4480600</v>
      </c>
      <c r="I19" s="159">
        <f t="shared" si="3"/>
        <v>4326061.223543724</v>
      </c>
      <c r="J19" s="159">
        <f t="shared" si="3"/>
        <v>4372754.1040824642</v>
      </c>
      <c r="K19" s="140"/>
      <c r="N19" s="144" t="s">
        <v>446</v>
      </c>
      <c r="O19" s="199">
        <v>4480600</v>
      </c>
      <c r="P19" s="199">
        <v>4326061.223543724</v>
      </c>
      <c r="Q19" s="199">
        <v>4372754.1040824642</v>
      </c>
    </row>
    <row r="20" spans="1:17" x14ac:dyDescent="0.25">
      <c r="B20" s="150"/>
      <c r="C20" s="151"/>
      <c r="D20" s="151"/>
      <c r="E20" s="151"/>
      <c r="F20" s="151"/>
      <c r="G20" s="151"/>
      <c r="H20" s="151"/>
      <c r="I20" s="151"/>
      <c r="J20" s="151"/>
      <c r="K20" s="152"/>
    </row>
    <row r="24" spans="1:17" ht="23.25" x14ac:dyDescent="0.35">
      <c r="A24" s="196" t="s">
        <v>226</v>
      </c>
    </row>
    <row r="26" spans="1:17" ht="50.25" customHeight="1" x14ac:dyDescent="0.25">
      <c r="B26" s="136"/>
      <c r="C26" s="137"/>
      <c r="D26" s="200" t="s">
        <v>447</v>
      </c>
      <c r="E26" s="138"/>
    </row>
    <row r="27" spans="1:17" x14ac:dyDescent="0.25">
      <c r="B27" s="144" t="s">
        <v>436</v>
      </c>
      <c r="D27" s="199">
        <v>3719000</v>
      </c>
      <c r="E27" s="140"/>
    </row>
    <row r="28" spans="1:17" x14ac:dyDescent="0.25">
      <c r="B28" s="144" t="s">
        <v>438</v>
      </c>
      <c r="D28" s="199">
        <v>814263</v>
      </c>
      <c r="E28" s="140"/>
    </row>
    <row r="29" spans="1:17" x14ac:dyDescent="0.25">
      <c r="B29" s="144" t="s">
        <v>439</v>
      </c>
      <c r="D29" s="199">
        <v>350000</v>
      </c>
      <c r="E29" s="140"/>
    </row>
    <row r="30" spans="1:17" x14ac:dyDescent="0.25">
      <c r="B30" s="144" t="s">
        <v>440</v>
      </c>
      <c r="D30" s="199">
        <v>148900</v>
      </c>
      <c r="E30" s="140"/>
    </row>
    <row r="31" spans="1:17" x14ac:dyDescent="0.25">
      <c r="B31" s="144" t="s">
        <v>441</v>
      </c>
      <c r="D31" s="199">
        <v>58800</v>
      </c>
      <c r="E31" s="140"/>
    </row>
    <row r="32" spans="1:17" x14ac:dyDescent="0.25">
      <c r="B32" s="150"/>
      <c r="C32" s="151"/>
      <c r="D32" s="151"/>
      <c r="E32" s="152"/>
    </row>
    <row r="35" spans="2:12" x14ac:dyDescent="0.25">
      <c r="B35" s="135" t="s">
        <v>448</v>
      </c>
    </row>
    <row r="36" spans="2:12" x14ac:dyDescent="0.25">
      <c r="B36" s="136"/>
      <c r="C36" s="137"/>
      <c r="D36" s="137"/>
      <c r="E36" s="137"/>
      <c r="F36" s="137"/>
      <c r="G36" s="137"/>
      <c r="H36" s="137"/>
      <c r="I36" s="137"/>
      <c r="J36" s="137"/>
      <c r="K36" s="138"/>
    </row>
    <row r="37" spans="2:12" x14ac:dyDescent="0.25">
      <c r="B37" s="144" t="s">
        <v>443</v>
      </c>
      <c r="D37" s="159">
        <f>D27</f>
        <v>3719000</v>
      </c>
      <c r="F37" s="135">
        <f>D37/$D$40</f>
        <v>0.73051012156246276</v>
      </c>
      <c r="K37" s="140"/>
    </row>
    <row r="38" spans="2:12" x14ac:dyDescent="0.25">
      <c r="B38" s="144" t="s">
        <v>444</v>
      </c>
      <c r="D38" s="159">
        <f>D29+D28</f>
        <v>1164263</v>
      </c>
      <c r="F38" s="135">
        <f>D38/$D$40</f>
        <v>0.2286920961711959</v>
      </c>
      <c r="K38" s="140"/>
    </row>
    <row r="39" spans="2:12" x14ac:dyDescent="0.25">
      <c r="B39" s="144" t="s">
        <v>445</v>
      </c>
      <c r="D39" s="159">
        <f>D31+D30</f>
        <v>207700</v>
      </c>
      <c r="F39" s="135">
        <f>D39/$D$40</f>
        <v>4.0797782266341356E-2</v>
      </c>
      <c r="K39" s="140"/>
    </row>
    <row r="40" spans="2:12" x14ac:dyDescent="0.25">
      <c r="B40" s="144" t="s">
        <v>449</v>
      </c>
      <c r="D40" s="159">
        <f>SUM(D37:D39)</f>
        <v>5090963</v>
      </c>
      <c r="K40" s="140"/>
    </row>
    <row r="41" spans="2:12" x14ac:dyDescent="0.25">
      <c r="B41" s="150"/>
      <c r="C41" s="151"/>
      <c r="D41" s="151"/>
      <c r="E41" s="151"/>
      <c r="F41" s="151"/>
      <c r="G41" s="151"/>
      <c r="H41" s="151"/>
      <c r="I41" s="151"/>
      <c r="J41" s="151"/>
      <c r="K41" s="152"/>
    </row>
    <row r="45" spans="2:12" x14ac:dyDescent="0.25">
      <c r="B45" s="135" t="s">
        <v>450</v>
      </c>
    </row>
    <row r="46" spans="2:12" x14ac:dyDescent="0.25">
      <c r="B46" s="136"/>
      <c r="C46" s="137"/>
      <c r="D46" s="137"/>
      <c r="E46" s="137"/>
      <c r="F46" s="137"/>
      <c r="G46" s="137"/>
      <c r="H46" s="137"/>
      <c r="I46" s="137"/>
      <c r="J46" s="137"/>
      <c r="K46" s="137"/>
      <c r="L46" s="138"/>
    </row>
    <row r="47" spans="2:12" ht="28.5" x14ac:dyDescent="0.25">
      <c r="B47" s="201" t="s">
        <v>451</v>
      </c>
      <c r="C47" s="202" t="s">
        <v>452</v>
      </c>
      <c r="D47" s="203"/>
      <c r="E47" s="356" t="s">
        <v>453</v>
      </c>
      <c r="F47" s="357"/>
      <c r="G47" s="358" t="s">
        <v>454</v>
      </c>
      <c r="H47" s="358"/>
      <c r="I47" s="358"/>
      <c r="L47" s="140"/>
    </row>
    <row r="48" spans="2:12" ht="28.5" x14ac:dyDescent="0.25">
      <c r="B48" s="204"/>
      <c r="C48" s="205"/>
      <c r="D48" s="206" t="s">
        <v>455</v>
      </c>
      <c r="E48" s="207" t="s">
        <v>21</v>
      </c>
      <c r="F48" s="208" t="s">
        <v>456</v>
      </c>
      <c r="G48" s="359" t="s">
        <v>457</v>
      </c>
      <c r="H48" s="359"/>
      <c r="I48" s="209" t="s">
        <v>456</v>
      </c>
      <c r="L48" s="140"/>
    </row>
    <row r="49" spans="2:12" x14ac:dyDescent="0.25">
      <c r="B49" s="210"/>
      <c r="C49" s="211" t="s">
        <v>458</v>
      </c>
      <c r="D49" s="212" t="s">
        <v>458</v>
      </c>
      <c r="E49" s="211" t="s">
        <v>459</v>
      </c>
      <c r="F49" s="213" t="s">
        <v>460</v>
      </c>
      <c r="G49" s="211" t="s">
        <v>458</v>
      </c>
      <c r="H49" s="214" t="s">
        <v>459</v>
      </c>
      <c r="I49" s="211" t="s">
        <v>460</v>
      </c>
      <c r="L49" s="140"/>
    </row>
    <row r="50" spans="2:12" x14ac:dyDescent="0.25">
      <c r="B50" s="215">
        <v>2006</v>
      </c>
      <c r="C50" s="216">
        <v>3030</v>
      </c>
      <c r="D50" s="217">
        <v>353</v>
      </c>
      <c r="E50" s="216">
        <v>1352224</v>
      </c>
      <c r="F50" s="218">
        <v>3832</v>
      </c>
      <c r="G50" s="219">
        <v>2581</v>
      </c>
      <c r="H50" s="220">
        <v>10370421</v>
      </c>
      <c r="I50" s="221">
        <v>4017</v>
      </c>
      <c r="L50" s="140"/>
    </row>
    <row r="51" spans="2:12" x14ac:dyDescent="0.25">
      <c r="B51" s="222">
        <v>2007</v>
      </c>
      <c r="C51" s="223">
        <v>3552</v>
      </c>
      <c r="D51" s="224">
        <v>395</v>
      </c>
      <c r="E51" s="223">
        <v>1995161</v>
      </c>
      <c r="F51" s="225">
        <v>5047</v>
      </c>
      <c r="G51" s="226">
        <v>2969</v>
      </c>
      <c r="H51" s="227">
        <v>15520338</v>
      </c>
      <c r="I51" s="228">
        <v>5227</v>
      </c>
      <c r="L51" s="140"/>
    </row>
    <row r="52" spans="2:12" x14ac:dyDescent="0.25">
      <c r="B52" s="222">
        <v>2008</v>
      </c>
      <c r="C52" s="223">
        <v>3269</v>
      </c>
      <c r="D52" s="224">
        <v>334</v>
      </c>
      <c r="E52" s="223">
        <v>3415822</v>
      </c>
      <c r="F52" s="225">
        <v>10227</v>
      </c>
      <c r="G52" s="226">
        <v>2525</v>
      </c>
      <c r="H52" s="227">
        <v>28355767</v>
      </c>
      <c r="I52" s="226">
        <v>11230</v>
      </c>
      <c r="L52" s="140"/>
    </row>
    <row r="53" spans="2:12" x14ac:dyDescent="0.25">
      <c r="B53" s="222">
        <v>2009</v>
      </c>
      <c r="C53" s="223">
        <v>2346</v>
      </c>
      <c r="D53" s="224">
        <v>432</v>
      </c>
      <c r="E53" s="223">
        <v>2252973</v>
      </c>
      <c r="F53" s="225">
        <v>5215</v>
      </c>
      <c r="G53" s="226">
        <v>2621</v>
      </c>
      <c r="H53" s="227">
        <v>15881599</v>
      </c>
      <c r="I53" s="228">
        <v>6059</v>
      </c>
      <c r="L53" s="140"/>
    </row>
    <row r="54" spans="2:12" x14ac:dyDescent="0.25">
      <c r="B54" s="222">
        <v>2010</v>
      </c>
      <c r="C54" s="223">
        <v>3607</v>
      </c>
      <c r="D54" s="224">
        <v>397</v>
      </c>
      <c r="E54" s="223">
        <v>2851837</v>
      </c>
      <c r="F54" s="225">
        <v>7183</v>
      </c>
      <c r="G54" s="226">
        <v>3116</v>
      </c>
      <c r="H54" s="227">
        <v>24216069</v>
      </c>
      <c r="I54" s="228">
        <v>7772</v>
      </c>
      <c r="L54" s="140"/>
    </row>
    <row r="55" spans="2:12" x14ac:dyDescent="0.25">
      <c r="B55" s="222">
        <v>2011</v>
      </c>
      <c r="C55" s="223">
        <v>3426</v>
      </c>
      <c r="D55" s="224">
        <v>451</v>
      </c>
      <c r="E55" s="223">
        <v>3430563</v>
      </c>
      <c r="F55" s="225">
        <v>7620</v>
      </c>
      <c r="G55" s="226">
        <v>3048</v>
      </c>
      <c r="H55" s="227">
        <v>23793442</v>
      </c>
      <c r="I55" s="228">
        <v>7817</v>
      </c>
      <c r="L55" s="140"/>
    </row>
    <row r="56" spans="2:12" x14ac:dyDescent="0.25">
      <c r="B56" s="222">
        <v>2012</v>
      </c>
      <c r="C56" s="223">
        <v>3063</v>
      </c>
      <c r="D56" s="224">
        <v>443</v>
      </c>
      <c r="E56" s="223">
        <v>3402210</v>
      </c>
      <c r="F56" s="225">
        <v>7677</v>
      </c>
      <c r="G56" s="226">
        <v>2745</v>
      </c>
      <c r="H56" s="227">
        <v>22290876</v>
      </c>
      <c r="I56" s="228">
        <v>8120</v>
      </c>
      <c r="L56" s="140"/>
    </row>
    <row r="57" spans="2:12" x14ac:dyDescent="0.25">
      <c r="B57" s="222">
        <v>2013</v>
      </c>
      <c r="C57" s="223">
        <v>3219</v>
      </c>
      <c r="D57" s="224">
        <v>360</v>
      </c>
      <c r="E57" s="223">
        <v>2983322</v>
      </c>
      <c r="F57" s="225">
        <v>8286</v>
      </c>
      <c r="G57" s="226">
        <v>2802</v>
      </c>
      <c r="H57" s="227">
        <v>25552642</v>
      </c>
      <c r="I57" s="228">
        <v>9120</v>
      </c>
      <c r="L57" s="140"/>
    </row>
    <row r="58" spans="2:12" x14ac:dyDescent="0.25">
      <c r="B58" s="222">
        <v>2014</v>
      </c>
      <c r="C58" s="223">
        <v>3719</v>
      </c>
      <c r="D58" s="224">
        <v>571</v>
      </c>
      <c r="E58" s="223">
        <v>5105685</v>
      </c>
      <c r="F58" s="225">
        <v>8937</v>
      </c>
      <c r="G58" s="226">
        <v>3192</v>
      </c>
      <c r="H58" s="227">
        <v>31079849</v>
      </c>
      <c r="I58" s="228">
        <v>9737</v>
      </c>
      <c r="L58" s="140"/>
    </row>
    <row r="59" spans="2:12" x14ac:dyDescent="0.25">
      <c r="B59" s="222">
        <v>2015</v>
      </c>
      <c r="C59" s="223">
        <v>3685</v>
      </c>
      <c r="D59" s="224">
        <v>613</v>
      </c>
      <c r="E59" s="223">
        <v>5678536</v>
      </c>
      <c r="F59" s="225">
        <v>9265</v>
      </c>
      <c r="G59" s="226">
        <v>3101</v>
      </c>
      <c r="H59" s="227">
        <v>30284468</v>
      </c>
      <c r="I59" s="228">
        <v>9767</v>
      </c>
      <c r="L59" s="140"/>
    </row>
    <row r="60" spans="2:12" x14ac:dyDescent="0.25">
      <c r="B60" s="222">
        <v>2016</v>
      </c>
      <c r="C60" s="223">
        <v>3524</v>
      </c>
      <c r="D60" s="224">
        <v>533</v>
      </c>
      <c r="E60" s="223">
        <v>5192025</v>
      </c>
      <c r="F60" s="225">
        <v>9733</v>
      </c>
      <c r="G60" s="226">
        <v>3284</v>
      </c>
      <c r="H60" s="227">
        <v>33379185</v>
      </c>
      <c r="I60" s="226">
        <v>10163</v>
      </c>
      <c r="L60" s="140"/>
    </row>
    <row r="61" spans="2:12" x14ac:dyDescent="0.25">
      <c r="B61" s="229">
        <v>2017</v>
      </c>
      <c r="C61" s="230">
        <v>3484</v>
      </c>
      <c r="D61" s="231">
        <v>524</v>
      </c>
      <c r="E61" s="232">
        <v>6228617</v>
      </c>
      <c r="F61" s="233">
        <v>11770</v>
      </c>
      <c r="G61" s="234">
        <v>2951</v>
      </c>
      <c r="H61" s="235">
        <v>37461378</v>
      </c>
      <c r="I61" s="234">
        <v>12649</v>
      </c>
      <c r="L61" s="140"/>
    </row>
    <row r="62" spans="2:12" x14ac:dyDescent="0.25">
      <c r="B62" s="144"/>
      <c r="L62" s="140"/>
    </row>
    <row r="63" spans="2:12" x14ac:dyDescent="0.25">
      <c r="B63" s="150"/>
      <c r="C63" s="151"/>
      <c r="D63" s="151"/>
      <c r="E63" s="151"/>
      <c r="F63" s="151"/>
      <c r="G63" s="151"/>
      <c r="H63" s="151"/>
      <c r="I63" s="151"/>
      <c r="J63" s="151"/>
      <c r="K63" s="151"/>
      <c r="L63" s="152"/>
    </row>
  </sheetData>
  <mergeCells count="3">
    <mergeCell ref="E47:F47"/>
    <mergeCell ref="G47:I47"/>
    <mergeCell ref="G48:H4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5B32-49E5-4AE2-85F7-FC690057B669}">
  <sheetPr>
    <tabColor theme="4" tint="0.59999389629810485"/>
  </sheetPr>
  <dimension ref="C2:F4"/>
  <sheetViews>
    <sheetView workbookViewId="0">
      <selection activeCell="Q58" sqref="Q58"/>
    </sheetView>
  </sheetViews>
  <sheetFormatPr defaultRowHeight="12.75" x14ac:dyDescent="0.2"/>
  <sheetData>
    <row r="2" spans="3:6" x14ac:dyDescent="0.2">
      <c r="C2" s="67" t="s">
        <v>521</v>
      </c>
    </row>
    <row r="3" spans="3:6" x14ac:dyDescent="0.2">
      <c r="F3" s="67"/>
    </row>
    <row r="4" spans="3:6" x14ac:dyDescent="0.2">
      <c r="F4" s="67" t="s">
        <v>520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8" customWidth="1"/>
    <col min="3" max="3" width="20.5703125" style="8" customWidth="1"/>
    <col min="4" max="4" width="8.7109375" style="8" customWidth="1"/>
    <col min="5" max="5" width="12.28515625" style="8" customWidth="1"/>
    <col min="6" max="7" width="12.140625" style="8" customWidth="1"/>
    <col min="8" max="8" width="10.7109375" style="8" customWidth="1"/>
    <col min="9" max="9" width="10.140625" customWidth="1"/>
    <col min="10" max="10" width="11.28515625" style="8" customWidth="1"/>
    <col min="11" max="11" width="11.140625" style="8" customWidth="1"/>
    <col min="12" max="12" width="12.85546875" style="8" customWidth="1"/>
    <col min="13" max="13" width="14" style="8" customWidth="1"/>
    <col min="14" max="14" width="13.42578125" style="8" customWidth="1"/>
    <col min="15" max="16" width="12.140625" style="8" customWidth="1"/>
    <col min="17" max="17" width="14.140625" style="8" customWidth="1"/>
    <col min="18" max="18" width="14.42578125" style="8" customWidth="1"/>
    <col min="19" max="19" width="17.42578125" style="8" customWidth="1"/>
    <col min="20" max="20" width="19.42578125" style="8" customWidth="1"/>
    <col min="21" max="21" width="19" style="8" customWidth="1"/>
    <col min="22" max="22" width="13.85546875" style="8" customWidth="1"/>
    <col min="23" max="23" width="13.7109375" style="8" customWidth="1"/>
    <col min="24" max="24" width="12.28515625" style="8" customWidth="1"/>
    <col min="25" max="25" width="10.28515625" style="8" customWidth="1"/>
    <col min="26" max="16384" width="9.140625" style="8"/>
  </cols>
  <sheetData>
    <row r="1" spans="1:24" s="9" customFormat="1" ht="11.25" x14ac:dyDescent="0.2">
      <c r="A1" s="11" t="s">
        <v>106</v>
      </c>
    </row>
    <row r="2" spans="1:24" s="9" customFormat="1" ht="11.25" customHeight="1" x14ac:dyDescent="0.2"/>
    <row r="3" spans="1:24" s="9" customFormat="1" ht="21.75" customHeight="1" x14ac:dyDescent="0.2">
      <c r="H3" s="21" t="s">
        <v>67</v>
      </c>
      <c r="I3" s="21" t="s">
        <v>68</v>
      </c>
      <c r="J3" s="21" t="s">
        <v>65</v>
      </c>
      <c r="K3" s="21" t="s">
        <v>66</v>
      </c>
      <c r="L3" s="21" t="s">
        <v>69</v>
      </c>
      <c r="M3" s="21" t="s">
        <v>70</v>
      </c>
      <c r="N3" s="22" t="s">
        <v>71</v>
      </c>
      <c r="O3" s="22" t="s">
        <v>73</v>
      </c>
      <c r="P3" s="22" t="s">
        <v>83</v>
      </c>
      <c r="Q3" s="22" t="s">
        <v>84</v>
      </c>
      <c r="R3" s="22" t="s">
        <v>85</v>
      </c>
      <c r="S3" s="22" t="s">
        <v>86</v>
      </c>
      <c r="T3" s="22" t="s">
        <v>87</v>
      </c>
      <c r="U3" s="22" t="s">
        <v>91</v>
      </c>
      <c r="V3" s="21" t="s">
        <v>88</v>
      </c>
      <c r="W3" s="21" t="s">
        <v>89</v>
      </c>
      <c r="X3" s="22" t="s">
        <v>90</v>
      </c>
    </row>
    <row r="4" spans="1:24" s="9" customFormat="1" ht="17.25" customHeight="1" x14ac:dyDescent="0.2">
      <c r="E4" s="20"/>
      <c r="F4" s="20"/>
      <c r="G4" s="20"/>
      <c r="H4" s="13" t="s">
        <v>48</v>
      </c>
      <c r="I4" s="16" t="s">
        <v>64</v>
      </c>
      <c r="J4" s="13" t="s">
        <v>60</v>
      </c>
      <c r="K4" s="13" t="s">
        <v>61</v>
      </c>
      <c r="L4" s="13" t="s">
        <v>49</v>
      </c>
      <c r="M4" s="16" t="s">
        <v>58</v>
      </c>
      <c r="N4" s="13" t="s">
        <v>53</v>
      </c>
      <c r="O4" s="16" t="s">
        <v>62</v>
      </c>
      <c r="P4" s="16" t="s">
        <v>55</v>
      </c>
      <c r="Q4" s="16" t="s">
        <v>72</v>
      </c>
      <c r="R4" s="16" t="s">
        <v>74</v>
      </c>
      <c r="S4" s="16" t="s">
        <v>75</v>
      </c>
      <c r="T4" s="16" t="s">
        <v>76</v>
      </c>
      <c r="U4" s="16" t="s">
        <v>78</v>
      </c>
      <c r="V4" s="13" t="s">
        <v>50</v>
      </c>
      <c r="W4" s="13" t="s">
        <v>52</v>
      </c>
      <c r="X4" s="13" t="s">
        <v>54</v>
      </c>
    </row>
    <row r="5" spans="1:24" s="9" customFormat="1" ht="17.25" customHeight="1" x14ac:dyDescent="0.2">
      <c r="H5" s="19"/>
      <c r="I5" s="19"/>
      <c r="J5" s="14" t="s">
        <v>59</v>
      </c>
      <c r="K5" s="14" t="s">
        <v>59</v>
      </c>
      <c r="L5" s="19"/>
      <c r="M5" s="14" t="s">
        <v>59</v>
      </c>
      <c r="N5" s="14" t="s">
        <v>59</v>
      </c>
      <c r="O5" s="17" t="s">
        <v>63</v>
      </c>
      <c r="P5" s="17" t="s">
        <v>63</v>
      </c>
      <c r="Q5" s="17" t="s">
        <v>63</v>
      </c>
      <c r="R5" s="17" t="s">
        <v>63</v>
      </c>
      <c r="S5" s="17" t="s">
        <v>63</v>
      </c>
      <c r="T5" s="17" t="s">
        <v>63</v>
      </c>
      <c r="U5" s="17" t="s">
        <v>63</v>
      </c>
    </row>
    <row r="6" spans="1:24" s="9" customFormat="1" ht="17.25" customHeight="1" x14ac:dyDescent="0.2">
      <c r="H6" s="19"/>
      <c r="I6" s="19"/>
      <c r="J6" s="19"/>
      <c r="K6" s="19"/>
      <c r="L6" s="19"/>
      <c r="M6" s="19"/>
      <c r="N6" s="19"/>
      <c r="O6" s="19"/>
      <c r="P6" s="17" t="s">
        <v>79</v>
      </c>
      <c r="Q6" s="19"/>
      <c r="R6" s="19"/>
      <c r="S6" s="19"/>
      <c r="T6" s="17" t="s">
        <v>77</v>
      </c>
      <c r="U6" s="25" t="s">
        <v>82</v>
      </c>
    </row>
    <row r="7" spans="1:24" s="9" customFormat="1" ht="17.25" customHeight="1" x14ac:dyDescent="0.2">
      <c r="B7" s="11" t="s">
        <v>46</v>
      </c>
      <c r="C7" s="11" t="s">
        <v>47</v>
      </c>
      <c r="D7" s="11" t="s">
        <v>43</v>
      </c>
      <c r="E7" s="11" t="s">
        <v>56</v>
      </c>
      <c r="F7" s="11" t="s">
        <v>40</v>
      </c>
      <c r="G7" s="11" t="s">
        <v>45</v>
      </c>
      <c r="H7" s="18" t="s">
        <v>44</v>
      </c>
      <c r="J7" s="18" t="s">
        <v>44</v>
      </c>
      <c r="K7" s="21"/>
      <c r="L7" s="18" t="s">
        <v>44</v>
      </c>
      <c r="M7" s="11"/>
      <c r="N7" s="21"/>
      <c r="O7" s="11"/>
      <c r="P7" s="16" t="s">
        <v>44</v>
      </c>
      <c r="Q7" s="16"/>
      <c r="R7" s="16"/>
      <c r="S7" s="16"/>
      <c r="T7" s="16"/>
      <c r="U7" s="16" t="s">
        <v>44</v>
      </c>
      <c r="V7" s="24" t="s">
        <v>51</v>
      </c>
      <c r="W7" s="24" t="s">
        <v>51</v>
      </c>
      <c r="X7" s="24" t="s">
        <v>51</v>
      </c>
    </row>
    <row r="9" spans="1:24" x14ac:dyDescent="0.2">
      <c r="A9" s="7"/>
      <c r="B9" s="7"/>
      <c r="C9" s="7"/>
      <c r="D9" s="7"/>
      <c r="E9" s="7"/>
      <c r="F9" s="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3" customWidth="1"/>
    <col min="2" max="3" width="9.140625" style="3"/>
    <col min="4" max="4" width="27.42578125" style="3" customWidth="1"/>
    <col min="5" max="5" width="10.140625" style="3" customWidth="1"/>
    <col min="6" max="6" width="28.7109375" style="3" customWidth="1"/>
    <col min="7" max="16384" width="9.140625" style="3"/>
  </cols>
  <sheetData>
    <row r="1" spans="1:7" x14ac:dyDescent="0.2">
      <c r="A1" s="2" t="s">
        <v>107</v>
      </c>
    </row>
    <row r="3" spans="1:7" ht="18.75" customHeight="1" x14ac:dyDescent="0.2"/>
    <row r="7" spans="1:7" x14ac:dyDescent="0.2">
      <c r="B7" s="2" t="s">
        <v>13</v>
      </c>
      <c r="C7" s="4" t="s">
        <v>14</v>
      </c>
      <c r="D7" s="2" t="s">
        <v>15</v>
      </c>
      <c r="E7" s="2" t="s">
        <v>20</v>
      </c>
      <c r="F7" s="2" t="s">
        <v>1</v>
      </c>
      <c r="G7" s="2" t="s">
        <v>0</v>
      </c>
    </row>
    <row r="9" spans="1:7" x14ac:dyDescent="0.2">
      <c r="A9" s="2" t="s">
        <v>25</v>
      </c>
    </row>
    <row r="10" spans="1:7" x14ac:dyDescent="0.2">
      <c r="B10" s="5" t="s">
        <v>26</v>
      </c>
      <c r="C10" s="3" t="s">
        <v>27</v>
      </c>
      <c r="D10" s="3" t="s">
        <v>28</v>
      </c>
      <c r="F10" s="5" t="s">
        <v>29</v>
      </c>
    </row>
    <row r="11" spans="1:7" x14ac:dyDescent="0.2">
      <c r="B11" s="5" t="s">
        <v>26</v>
      </c>
      <c r="C11" s="3" t="s">
        <v>30</v>
      </c>
      <c r="D11" s="3" t="s">
        <v>31</v>
      </c>
      <c r="F11" s="5" t="s">
        <v>29</v>
      </c>
    </row>
    <row r="12" spans="1:7" x14ac:dyDescent="0.2">
      <c r="B12" s="5" t="s">
        <v>26</v>
      </c>
      <c r="C12" s="3" t="s">
        <v>32</v>
      </c>
      <c r="D12" s="3" t="s">
        <v>33</v>
      </c>
      <c r="F12" s="5" t="s">
        <v>29</v>
      </c>
    </row>
    <row r="13" spans="1:7" x14ac:dyDescent="0.2">
      <c r="B13" s="5" t="s">
        <v>26</v>
      </c>
      <c r="C13" s="3" t="s">
        <v>34</v>
      </c>
      <c r="D13" s="3" t="s">
        <v>35</v>
      </c>
      <c r="F13" s="5" t="s">
        <v>29</v>
      </c>
    </row>
    <row r="14" spans="1:7" x14ac:dyDescent="0.2">
      <c r="B14" s="5" t="s">
        <v>26</v>
      </c>
      <c r="C14" s="3" t="s">
        <v>36</v>
      </c>
      <c r="D14" s="3" t="s">
        <v>37</v>
      </c>
      <c r="F14" s="5" t="s">
        <v>29</v>
      </c>
    </row>
    <row r="15" spans="1:7" x14ac:dyDescent="0.2">
      <c r="B15" s="5" t="s">
        <v>26</v>
      </c>
      <c r="C15" s="3" t="s">
        <v>38</v>
      </c>
      <c r="D15" s="3" t="s">
        <v>39</v>
      </c>
      <c r="F15" s="5" t="s">
        <v>29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3" customWidth="1"/>
    <col min="2" max="2" width="12.140625" style="3" customWidth="1"/>
    <col min="3" max="8" width="9.140625" style="3"/>
    <col min="9" max="9" width="6.7109375" style="3" customWidth="1"/>
    <col min="10" max="16384" width="9.140625" style="3"/>
  </cols>
  <sheetData>
    <row r="1" spans="1:18" x14ac:dyDescent="0.2">
      <c r="A1" s="2" t="s">
        <v>10</v>
      </c>
    </row>
    <row r="3" spans="1:18" ht="17.25" customHeight="1" x14ac:dyDescent="0.2"/>
    <row r="7" spans="1:18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/>
      <c r="K7" s="2"/>
      <c r="L7" s="2"/>
      <c r="M7" s="2"/>
      <c r="N7" s="2"/>
      <c r="O7" s="2"/>
      <c r="P7" s="2"/>
      <c r="Q7" s="2"/>
      <c r="R7" s="2"/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3" customWidth="1"/>
    <col min="2" max="2" width="12" style="3" customWidth="1"/>
    <col min="3" max="16384" width="9.140625" style="3"/>
  </cols>
  <sheetData>
    <row r="1" spans="1:9" x14ac:dyDescent="0.2">
      <c r="A1" s="2" t="s">
        <v>23</v>
      </c>
    </row>
    <row r="3" spans="1:9" ht="15.75" customHeight="1" x14ac:dyDescent="0.2"/>
    <row r="4" spans="1:9" ht="12.75" customHeight="1" x14ac:dyDescent="0.2"/>
    <row r="7" spans="1:9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21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3" customWidth="1"/>
    <col min="2" max="2" width="12" style="3" customWidth="1"/>
    <col min="3" max="3" width="9.140625" style="3"/>
    <col min="4" max="4" width="9.28515625" style="3" customWidth="1"/>
    <col min="5" max="8" width="9.140625" style="3"/>
    <col min="9" max="9" width="7.42578125" style="3" customWidth="1"/>
    <col min="10" max="16384" width="9.140625" style="3"/>
  </cols>
  <sheetData>
    <row r="1" spans="1:18" x14ac:dyDescent="0.2">
      <c r="A1" s="2" t="s">
        <v>108</v>
      </c>
    </row>
    <row r="3" spans="1:18" ht="15" customHeight="1" x14ac:dyDescent="0.2"/>
    <row r="7" spans="1:18" ht="22.5" customHeight="1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6" t="s">
        <v>22</v>
      </c>
      <c r="J7" s="2"/>
      <c r="K7" s="2"/>
      <c r="L7" s="2"/>
      <c r="M7" s="2"/>
      <c r="N7" s="2"/>
      <c r="O7" s="2"/>
      <c r="P7" s="2"/>
      <c r="Q7" s="2"/>
      <c r="R7" s="2"/>
    </row>
  </sheetData>
  <phoneticPr fontId="22" type="noConversion"/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3" customWidth="1"/>
    <col min="2" max="2" width="11.5703125" style="3" customWidth="1"/>
    <col min="3" max="3" width="11.85546875" style="3" customWidth="1"/>
    <col min="4" max="4" width="9.42578125" style="3" customWidth="1"/>
    <col min="5" max="5" width="9.28515625" style="3" customWidth="1"/>
    <col min="6" max="9" width="9.140625" style="3"/>
    <col min="10" max="10" width="7.140625" style="3" customWidth="1"/>
    <col min="11" max="16384" width="9.140625" style="3"/>
  </cols>
  <sheetData>
    <row r="1" spans="1:19" x14ac:dyDescent="0.2">
      <c r="A1" s="2" t="s">
        <v>11</v>
      </c>
    </row>
    <row r="3" spans="1:19" ht="18.75" customHeight="1" x14ac:dyDescent="0.2"/>
    <row r="7" spans="1:19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/>
      <c r="L7" s="2"/>
      <c r="M7" s="2"/>
      <c r="N7" s="2"/>
      <c r="O7" s="2"/>
      <c r="P7" s="2"/>
      <c r="Q7" s="2"/>
      <c r="R7" s="2"/>
      <c r="S7" s="2"/>
    </row>
    <row r="9" spans="1:19" x14ac:dyDescent="0.2">
      <c r="A9" s="2" t="s">
        <v>113</v>
      </c>
    </row>
  </sheetData>
  <phoneticPr fontId="2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021F-8424-4EF9-99FD-ED191968A350}">
  <sheetPr>
    <tabColor rgb="FF0000FF"/>
  </sheetPr>
  <dimension ref="A1:J15"/>
  <sheetViews>
    <sheetView zoomScaleNormal="100" workbookViewId="0">
      <selection activeCell="D29" sqref="D29"/>
    </sheetView>
  </sheetViews>
  <sheetFormatPr defaultRowHeight="12.75" x14ac:dyDescent="0.2"/>
  <cols>
    <col min="1" max="1" width="3.140625" style="294" customWidth="1"/>
    <col min="2" max="2" width="15.85546875" style="294" customWidth="1"/>
    <col min="3" max="3" width="13.5703125" style="294" customWidth="1"/>
    <col min="4" max="4" width="11.7109375" style="294" customWidth="1"/>
    <col min="5" max="5" width="25.5703125" style="294" customWidth="1"/>
    <col min="6" max="7" width="9.140625" style="294"/>
    <col min="8" max="8" width="14.5703125" style="294" customWidth="1"/>
    <col min="9" max="9" width="12.28515625" style="294" customWidth="1"/>
    <col min="10" max="16384" width="9.140625" style="294"/>
  </cols>
  <sheetData>
    <row r="1" spans="1:10" ht="26.25" x14ac:dyDescent="0.4">
      <c r="B1" s="282" t="s">
        <v>525</v>
      </c>
    </row>
    <row r="2" spans="1:10" ht="18" x14ac:dyDescent="0.25">
      <c r="A2" s="295"/>
    </row>
    <row r="3" spans="1:10" ht="18" x14ac:dyDescent="0.25">
      <c r="A3" s="295"/>
      <c r="B3" s="284" t="s">
        <v>542</v>
      </c>
    </row>
    <row r="5" spans="1:10" ht="22.5" customHeight="1" x14ac:dyDescent="0.25">
      <c r="A5" s="296"/>
      <c r="B5" s="297" t="s">
        <v>543</v>
      </c>
    </row>
    <row r="6" spans="1:10" ht="18" customHeight="1" x14ac:dyDescent="0.2">
      <c r="B6" s="298" t="s">
        <v>544</v>
      </c>
      <c r="C6" s="298"/>
    </row>
    <row r="7" spans="1:10" ht="18" customHeight="1" x14ac:dyDescent="0.2">
      <c r="B7" s="299" t="s">
        <v>545</v>
      </c>
      <c r="C7" s="299" t="s">
        <v>16</v>
      </c>
      <c r="D7" s="299" t="s">
        <v>546</v>
      </c>
      <c r="E7" s="299" t="s">
        <v>547</v>
      </c>
      <c r="F7" s="299" t="s">
        <v>548</v>
      </c>
      <c r="G7" s="299" t="s">
        <v>549</v>
      </c>
      <c r="H7" s="299" t="s">
        <v>550</v>
      </c>
      <c r="I7" s="299" t="s">
        <v>551</v>
      </c>
      <c r="J7" s="299" t="s">
        <v>552</v>
      </c>
    </row>
    <row r="8" spans="1:10" ht="39" thickBot="1" x14ac:dyDescent="0.25">
      <c r="B8" s="292" t="s">
        <v>553</v>
      </c>
      <c r="C8" s="292" t="s">
        <v>535</v>
      </c>
      <c r="D8" s="292" t="s">
        <v>554</v>
      </c>
      <c r="E8" s="292" t="s">
        <v>555</v>
      </c>
      <c r="F8" s="292" t="s">
        <v>556</v>
      </c>
      <c r="G8" s="292" t="s">
        <v>557</v>
      </c>
      <c r="H8" s="292" t="s">
        <v>558</v>
      </c>
      <c r="I8" s="292" t="s">
        <v>559</v>
      </c>
      <c r="J8" s="292" t="s">
        <v>560</v>
      </c>
    </row>
    <row r="9" spans="1:10" x14ac:dyDescent="0.2">
      <c r="B9" s="300" t="s">
        <v>575</v>
      </c>
      <c r="C9" s="300" t="s">
        <v>128</v>
      </c>
      <c r="D9" s="294" t="s">
        <v>216</v>
      </c>
      <c r="E9" s="294" t="s">
        <v>569</v>
      </c>
      <c r="F9" s="300" t="s">
        <v>116</v>
      </c>
      <c r="G9" s="300" t="s">
        <v>576</v>
      </c>
      <c r="H9" s="300" t="s">
        <v>124</v>
      </c>
      <c r="I9" s="300"/>
      <c r="J9" s="300"/>
    </row>
    <row r="10" spans="1:10" x14ac:dyDescent="0.2">
      <c r="B10" s="300" t="s">
        <v>575</v>
      </c>
      <c r="C10" s="300" t="s">
        <v>128</v>
      </c>
      <c r="D10" s="294" t="s">
        <v>215</v>
      </c>
      <c r="E10" s="294" t="s">
        <v>570</v>
      </c>
      <c r="F10" s="300" t="s">
        <v>116</v>
      </c>
      <c r="G10" s="300" t="s">
        <v>576</v>
      </c>
      <c r="H10" s="300" t="s">
        <v>124</v>
      </c>
      <c r="I10" s="300"/>
      <c r="J10" s="300"/>
    </row>
    <row r="11" spans="1:10" x14ac:dyDescent="0.2">
      <c r="B11" s="300" t="s">
        <v>575</v>
      </c>
      <c r="C11" s="300" t="s">
        <v>128</v>
      </c>
      <c r="D11" s="294" t="s">
        <v>217</v>
      </c>
      <c r="E11" s="294" t="s">
        <v>571</v>
      </c>
      <c r="F11" s="300" t="s">
        <v>116</v>
      </c>
      <c r="G11" s="300" t="s">
        <v>576</v>
      </c>
      <c r="H11" s="300" t="s">
        <v>124</v>
      </c>
      <c r="I11" s="300"/>
      <c r="J11" s="300"/>
    </row>
    <row r="12" spans="1:10" x14ac:dyDescent="0.2">
      <c r="B12" s="300" t="s">
        <v>575</v>
      </c>
      <c r="C12" s="300" t="s">
        <v>128</v>
      </c>
      <c r="D12" s="294" t="s">
        <v>462</v>
      </c>
      <c r="E12" s="294" t="s">
        <v>572</v>
      </c>
      <c r="F12" s="300" t="s">
        <v>116</v>
      </c>
      <c r="G12" s="300" t="s">
        <v>576</v>
      </c>
      <c r="H12" s="300" t="s">
        <v>124</v>
      </c>
      <c r="I12" s="300"/>
      <c r="J12" s="300"/>
    </row>
    <row r="13" spans="1:10" x14ac:dyDescent="0.2">
      <c r="B13" s="300" t="s">
        <v>575</v>
      </c>
      <c r="C13" s="300" t="s">
        <v>128</v>
      </c>
      <c r="D13" s="294" t="s">
        <v>464</v>
      </c>
      <c r="E13" s="294" t="s">
        <v>573</v>
      </c>
      <c r="F13" s="294" t="s">
        <v>116</v>
      </c>
      <c r="G13" s="294" t="s">
        <v>576</v>
      </c>
      <c r="H13" s="300" t="s">
        <v>124</v>
      </c>
      <c r="I13" s="300"/>
      <c r="J13" s="300"/>
    </row>
    <row r="14" spans="1:10" x14ac:dyDescent="0.2">
      <c r="B14" s="300" t="s">
        <v>575</v>
      </c>
      <c r="C14" s="300" t="s">
        <v>128</v>
      </c>
      <c r="D14" s="294" t="s">
        <v>466</v>
      </c>
      <c r="E14" s="294" t="s">
        <v>574</v>
      </c>
      <c r="F14" s="294" t="s">
        <v>116</v>
      </c>
      <c r="G14" s="294" t="s">
        <v>576</v>
      </c>
      <c r="H14" s="300" t="s">
        <v>124</v>
      </c>
    </row>
    <row r="15" spans="1:10" x14ac:dyDescent="0.2">
      <c r="B15" s="300" t="s">
        <v>575</v>
      </c>
      <c r="C15" s="300" t="s">
        <v>128</v>
      </c>
      <c r="D15" s="294" t="s">
        <v>211</v>
      </c>
      <c r="E15" s="294" t="s">
        <v>208</v>
      </c>
      <c r="F15" s="294" t="s">
        <v>116</v>
      </c>
      <c r="G15" s="294" t="s">
        <v>576</v>
      </c>
      <c r="H15" s="300" t="s">
        <v>124</v>
      </c>
    </row>
  </sheetData>
  <phoneticPr fontId="2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3" customWidth="1"/>
    <col min="2" max="2" width="10.7109375" style="3" customWidth="1"/>
    <col min="3" max="3" width="11.85546875" style="3" customWidth="1"/>
    <col min="4" max="4" width="9.42578125" style="3" customWidth="1"/>
    <col min="5" max="5" width="9.28515625" style="3" customWidth="1"/>
    <col min="6" max="16384" width="9.140625" style="3"/>
  </cols>
  <sheetData>
    <row r="1" spans="1:10" x14ac:dyDescent="0.2">
      <c r="A1" s="2" t="s">
        <v>12</v>
      </c>
    </row>
    <row r="3" spans="1:10" ht="15.75" customHeight="1" x14ac:dyDescent="0.2"/>
    <row r="7" spans="1:10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21</v>
      </c>
    </row>
    <row r="9" spans="1:10" x14ac:dyDescent="0.2">
      <c r="A9" s="2" t="s">
        <v>112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5703125" style="3" customWidth="1"/>
    <col min="2" max="2" width="9.140625" style="3"/>
    <col min="3" max="3" width="12.28515625" style="3" customWidth="1"/>
    <col min="4" max="9" width="9.140625" style="3"/>
    <col min="10" max="10" width="7.42578125" style="3" customWidth="1"/>
    <col min="11" max="16384" width="9.140625" style="3"/>
  </cols>
  <sheetData>
    <row r="1" spans="1:19" ht="13.5" customHeight="1" x14ac:dyDescent="0.2">
      <c r="A1" s="2" t="s">
        <v>109</v>
      </c>
    </row>
    <row r="3" spans="1:19" ht="20.25" customHeight="1" x14ac:dyDescent="0.2"/>
    <row r="7" spans="1:19" ht="23.25" customHeight="1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6" t="s">
        <v>22</v>
      </c>
      <c r="K7" s="2"/>
      <c r="L7" s="2"/>
      <c r="M7" s="2"/>
      <c r="N7" s="2"/>
      <c r="O7" s="2"/>
      <c r="P7" s="2"/>
      <c r="Q7" s="2"/>
      <c r="R7" s="2"/>
      <c r="S7" s="2"/>
    </row>
    <row r="9" spans="1:19" ht="13.5" customHeight="1" x14ac:dyDescent="0.2">
      <c r="A9" s="2" t="s">
        <v>111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rgb="FF0000FF"/>
  </sheetPr>
  <dimension ref="A1:Z36"/>
  <sheetViews>
    <sheetView tabSelected="1" zoomScale="115" zoomScaleNormal="115" workbookViewId="0">
      <pane xSplit="6" ySplit="7" topLeftCell="G8" activePane="bottomRight" state="frozen"/>
      <selection pane="topRight" activeCell="J1" sqref="J1"/>
      <selection pane="bottomLeft" activeCell="A8" sqref="A8"/>
      <selection pane="bottomRight" activeCell="C23" sqref="C23:S26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9" width="9.140625" style="3"/>
    <col min="10" max="10" width="24.85546875" style="3" customWidth="1"/>
    <col min="11" max="17" width="9.140625" style="3"/>
    <col min="18" max="18" width="7.85546875" style="3" customWidth="1"/>
    <col min="19" max="16384" width="9.140625" style="3"/>
  </cols>
  <sheetData>
    <row r="1" spans="1:20" ht="11.25" customHeight="1" x14ac:dyDescent="0.2">
      <c r="A1" s="2"/>
      <c r="B1" s="9"/>
      <c r="G1" s="31"/>
    </row>
    <row r="2" spans="1:20" ht="11.25" customHeight="1" x14ac:dyDescent="0.2">
      <c r="A2"/>
      <c r="G2" s="31"/>
      <c r="H2" s="31"/>
      <c r="I2" s="31"/>
      <c r="J2" s="31"/>
      <c r="K2" s="31"/>
      <c r="L2" s="31"/>
    </row>
    <row r="3" spans="1:20" ht="34.5" customHeight="1" x14ac:dyDescent="0.2">
      <c r="G3" s="92" t="s">
        <v>148</v>
      </c>
      <c r="H3" s="92" t="s">
        <v>146</v>
      </c>
      <c r="I3" s="92" t="s">
        <v>146</v>
      </c>
      <c r="J3" s="92" t="s">
        <v>146</v>
      </c>
      <c r="K3" s="92" t="s">
        <v>146</v>
      </c>
      <c r="L3" s="92" t="s">
        <v>146</v>
      </c>
      <c r="M3" s="92" t="s">
        <v>150</v>
      </c>
      <c r="N3" s="92" t="s">
        <v>192</v>
      </c>
      <c r="O3" s="92"/>
      <c r="P3" s="92" t="s">
        <v>194</v>
      </c>
      <c r="Q3" s="92" t="s">
        <v>194</v>
      </c>
      <c r="R3" s="3" t="s">
        <v>147</v>
      </c>
    </row>
    <row r="4" spans="1:20" ht="21.75" customHeight="1" x14ac:dyDescent="0.2">
      <c r="E4" s="27"/>
      <c r="F4" s="27"/>
      <c r="G4" s="39" t="s">
        <v>123</v>
      </c>
      <c r="H4" s="39" t="s">
        <v>149</v>
      </c>
      <c r="I4" s="39" t="s">
        <v>149</v>
      </c>
      <c r="J4" s="39" t="s">
        <v>149</v>
      </c>
      <c r="K4" s="39" t="s">
        <v>149</v>
      </c>
      <c r="L4" s="39" t="s">
        <v>149</v>
      </c>
      <c r="M4" s="39" t="s">
        <v>151</v>
      </c>
      <c r="N4" s="39" t="s">
        <v>193</v>
      </c>
      <c r="O4" s="39"/>
      <c r="P4" s="39" t="s">
        <v>195</v>
      </c>
      <c r="Q4" s="39" t="s">
        <v>195</v>
      </c>
      <c r="R4" s="90" t="s">
        <v>145</v>
      </c>
    </row>
    <row r="5" spans="1:20" ht="16.5" customHeight="1" x14ac:dyDescent="0.2">
      <c r="G5" s="39" t="s">
        <v>27</v>
      </c>
      <c r="H5" s="39">
        <v>2017</v>
      </c>
      <c r="I5" s="39"/>
      <c r="J5" s="39"/>
      <c r="K5" s="39"/>
      <c r="L5" s="39"/>
      <c r="P5" s="3" t="s">
        <v>228</v>
      </c>
      <c r="Q5" s="3" t="s">
        <v>509</v>
      </c>
    </row>
    <row r="6" spans="1:20" ht="17.25" customHeight="1" x14ac:dyDescent="0.2">
      <c r="F6" s="303" t="s">
        <v>585</v>
      </c>
      <c r="G6" s="39" t="s">
        <v>124</v>
      </c>
      <c r="H6" s="39"/>
      <c r="I6" s="39"/>
      <c r="J6" s="39"/>
      <c r="K6" s="39"/>
      <c r="L6" s="39"/>
      <c r="P6" s="31" t="s">
        <v>124</v>
      </c>
      <c r="Q6" s="31" t="s">
        <v>124</v>
      </c>
    </row>
    <row r="7" spans="1:20" ht="21.75" customHeight="1" x14ac:dyDescent="0.2">
      <c r="B7" s="2" t="s">
        <v>546</v>
      </c>
      <c r="C7" s="2" t="s">
        <v>586</v>
      </c>
      <c r="D7" s="6" t="s">
        <v>577</v>
      </c>
      <c r="E7" s="302" t="s">
        <v>561</v>
      </c>
      <c r="F7" s="302" t="s">
        <v>562</v>
      </c>
      <c r="G7" s="39" t="s">
        <v>123</v>
      </c>
      <c r="H7" s="301" t="s">
        <v>578</v>
      </c>
      <c r="I7" s="301" t="s">
        <v>579</v>
      </c>
      <c r="J7" s="301" t="s">
        <v>580</v>
      </c>
      <c r="K7" s="301" t="s">
        <v>581</v>
      </c>
      <c r="L7" s="301" t="s">
        <v>582</v>
      </c>
      <c r="M7" s="31" t="str">
        <f t="shared" ref="M7" si="0">IFERROR(REPLACE(M4,SEARCH("-",M4),1,"~"),M4)</f>
        <v>NCAP_FOM</v>
      </c>
      <c r="N7" s="39" t="s">
        <v>193</v>
      </c>
      <c r="O7" s="39" t="s">
        <v>631</v>
      </c>
      <c r="P7" s="92" t="str">
        <f>"ENV_ACT~"&amp;P5</f>
        <v>ENV_ACT~CO2SPIFC</v>
      </c>
      <c r="Q7" s="92" t="str">
        <f>"ENV_ACT~"&amp;Q5</f>
        <v>ENV_ACT~CO2SPIFM</v>
      </c>
      <c r="R7" s="31" t="s">
        <v>145</v>
      </c>
      <c r="S7" s="3" t="s">
        <v>219</v>
      </c>
      <c r="T7" s="3" t="s">
        <v>593</v>
      </c>
    </row>
    <row r="8" spans="1:20" x14ac:dyDescent="0.2">
      <c r="B8" s="3" t="str">
        <f>Processes_BASE!B9</f>
        <v>XINDBIO</v>
      </c>
      <c r="C8" s="3" t="str">
        <f>Processes_BASE!C9</f>
        <v>Industry Biochar</v>
      </c>
      <c r="D8" s="126" t="s">
        <v>122</v>
      </c>
      <c r="E8" s="99" t="s">
        <v>584</v>
      </c>
      <c r="F8" s="99" t="str">
        <f>Commodities_BASE!B14</f>
        <v>IFACHA</v>
      </c>
      <c r="G8" s="30">
        <v>0.35</v>
      </c>
      <c r="H8" s="30"/>
      <c r="I8" s="30"/>
      <c r="J8" s="30"/>
      <c r="K8" s="30"/>
      <c r="L8" s="30"/>
      <c r="N8" s="3">
        <v>43</v>
      </c>
    </row>
    <row r="9" spans="1:20" s="26" customFormat="1" ht="11.25" customHeight="1" x14ac:dyDescent="0.2">
      <c r="A9" s="3"/>
      <c r="B9" s="31" t="str">
        <f>Processes_BASE!B10</f>
        <v>IFCEAF-E</v>
      </c>
      <c r="C9" s="31" t="str">
        <f>Processes_BASE!C10</f>
        <v>FerroChrome existing</v>
      </c>
      <c r="D9" s="31" t="str">
        <f>Processes_BASE!D10</f>
        <v>PJ,PJa</v>
      </c>
      <c r="E9" s="99" t="str">
        <f>RES_Cr!D2</f>
        <v>IISCKE</v>
      </c>
      <c r="F9" s="99"/>
      <c r="G9" s="93"/>
      <c r="M9" s="89"/>
      <c r="N9" s="89"/>
      <c r="O9" s="89"/>
      <c r="R9" s="94">
        <f>EB_Exist!K6/EB_Exist!F5</f>
        <v>20.407577497129733</v>
      </c>
    </row>
    <row r="10" spans="1:20" s="26" customFormat="1" ht="11.25" customHeight="1" x14ac:dyDescent="0.2">
      <c r="A10" s="3"/>
      <c r="E10" s="99" t="str">
        <f>RES_Cr!E2</f>
        <v>INDCMU</v>
      </c>
      <c r="F10" s="99"/>
      <c r="G10" s="93"/>
      <c r="H10" s="93"/>
      <c r="I10" s="93"/>
      <c r="J10" s="93"/>
      <c r="K10" s="93"/>
      <c r="L10" s="93"/>
      <c r="M10" s="3"/>
      <c r="N10" s="3"/>
      <c r="O10" s="3"/>
      <c r="P10" s="3"/>
      <c r="Q10" s="3"/>
      <c r="R10" s="130">
        <f>EB_Exist!K7/EB_Exist!F5</f>
        <v>4.0379205223880605</v>
      </c>
    </row>
    <row r="11" spans="1:20" s="26" customFormat="1" ht="11.25" customHeight="1" x14ac:dyDescent="0.2">
      <c r="A11" s="3"/>
      <c r="E11" s="98" t="str">
        <f>RES_Cr!F2</f>
        <v>IFAELC</v>
      </c>
      <c r="G11" s="93"/>
      <c r="H11" s="93"/>
      <c r="I11" s="93"/>
      <c r="J11" s="93"/>
      <c r="K11" s="93"/>
      <c r="L11" s="93"/>
      <c r="M11" s="3"/>
      <c r="N11" s="3"/>
      <c r="O11" s="3"/>
      <c r="P11" s="3"/>
      <c r="Q11" s="3"/>
      <c r="R11" s="130">
        <f>EB_Exist!K8/EB_Exist!F5</f>
        <v>12.360988518943744</v>
      </c>
    </row>
    <row r="12" spans="1:20" s="26" customFormat="1" ht="11.25" customHeight="1" x14ac:dyDescent="0.2">
      <c r="A12" s="3"/>
      <c r="B12" s="3"/>
      <c r="C12" s="3"/>
      <c r="D12" s="3"/>
      <c r="E12" s="99"/>
      <c r="F12" s="98" t="str">
        <f>RES_Cr!T2</f>
        <v>IFACR</v>
      </c>
      <c r="G12" s="93"/>
      <c r="H12" s="93"/>
      <c r="I12" s="93"/>
      <c r="J12" s="93"/>
      <c r="K12" s="93"/>
      <c r="L12" s="93"/>
      <c r="M12" s="3"/>
      <c r="N12" s="3"/>
      <c r="O12" s="3"/>
      <c r="P12" s="89">
        <f>EB_Exist!F9</f>
        <v>3225</v>
      </c>
      <c r="Q12" s="89"/>
      <c r="T12" s="26">
        <v>1</v>
      </c>
    </row>
    <row r="13" spans="1:20" s="26" customFormat="1" ht="11.25" customHeight="1" x14ac:dyDescent="0.25">
      <c r="A13" s="3"/>
      <c r="B13" s="31" t="str">
        <f>RES_Cr!R15</f>
        <v>IFCEAF-N</v>
      </c>
      <c r="C13" s="31" t="str">
        <f>RES_Cr!R12</f>
        <v>FerrChrome New</v>
      </c>
      <c r="D13" s="31" t="str">
        <f>Processes_BASE!D11</f>
        <v>PJ,PJa</v>
      </c>
      <c r="E13" s="99" t="str">
        <f>RES_Cr!D2</f>
        <v>IISCKE</v>
      </c>
      <c r="F13" s="98"/>
      <c r="G13" s="93"/>
      <c r="H13" s="93"/>
      <c r="I13" s="93"/>
      <c r="J13" s="93"/>
      <c r="K13" s="93"/>
      <c r="L13" s="93"/>
      <c r="M13" s="3"/>
      <c r="N13" s="3"/>
      <c r="O13" s="3"/>
      <c r="P13" s="3"/>
      <c r="Q13" s="3"/>
      <c r="R13" s="127">
        <v>4.4800000000000004</v>
      </c>
    </row>
    <row r="14" spans="1:20" s="26" customFormat="1" ht="11.25" customHeight="1" x14ac:dyDescent="0.25">
      <c r="A14" s="3"/>
      <c r="B14" s="3"/>
      <c r="C14" s="3"/>
      <c r="D14" s="3"/>
      <c r="E14" s="99" t="str">
        <f>RES_Cr!E2</f>
        <v>INDCMU</v>
      </c>
      <c r="F14" s="9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27">
        <v>3.89</v>
      </c>
    </row>
    <row r="15" spans="1:20" s="26" customFormat="1" ht="11.25" customHeight="1" x14ac:dyDescent="0.25">
      <c r="A15" s="3"/>
      <c r="B15" s="3"/>
      <c r="C15" s="3"/>
      <c r="D15" s="3"/>
      <c r="E15" s="99" t="str">
        <f>RES_Cr!F2</f>
        <v>IFAELC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27">
        <v>8.64</v>
      </c>
    </row>
    <row r="16" spans="1:20" s="26" customFormat="1" ht="11.25" customHeight="1" x14ac:dyDescent="0.25">
      <c r="A16" s="3"/>
      <c r="B16" s="3"/>
      <c r="C16" s="3"/>
      <c r="D16" s="3"/>
      <c r="E16" s="99" t="str">
        <f>RES_Cr!G2</f>
        <v>IFACHA</v>
      </c>
      <c r="F16" s="3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27">
        <v>7.72</v>
      </c>
    </row>
    <row r="17" spans="2:26" ht="11.25" customHeight="1" x14ac:dyDescent="0.25">
      <c r="F17" s="99" t="str">
        <f>RES_Cr!T2</f>
        <v>IFACR</v>
      </c>
      <c r="M17" s="128">
        <f>2%*N17</f>
        <v>201.44</v>
      </c>
      <c r="N17" s="128">
        <v>10072</v>
      </c>
      <c r="O17" s="128">
        <v>20</v>
      </c>
      <c r="P17" s="128">
        <v>2102</v>
      </c>
      <c r="Q17" s="128"/>
      <c r="S17" s="26">
        <v>2025</v>
      </c>
      <c r="T17" s="3">
        <v>1</v>
      </c>
    </row>
    <row r="18" spans="2:26" ht="11.25" customHeight="1" x14ac:dyDescent="0.25">
      <c r="B18" s="31" t="str">
        <f>RES_Cr!R22</f>
        <v>IFCEAFB-N</v>
      </c>
      <c r="C18" s="31" t="str">
        <f>RES_Cr!R18</f>
        <v>FerroChrome with biomass</v>
      </c>
      <c r="D18" s="31" t="str">
        <f>D13</f>
        <v>PJ,PJa</v>
      </c>
      <c r="E18" s="99" t="str">
        <f>E13</f>
        <v>IISCKE</v>
      </c>
      <c r="F18" s="98"/>
      <c r="G18" s="93"/>
      <c r="H18" s="93"/>
      <c r="I18" s="93"/>
      <c r="J18" s="93"/>
      <c r="K18" s="93"/>
      <c r="L18" s="93"/>
      <c r="R18" s="127">
        <v>1.55</v>
      </c>
    </row>
    <row r="19" spans="2:26" ht="11.25" customHeight="1" x14ac:dyDescent="0.25">
      <c r="E19" s="99" t="str">
        <f t="shared" ref="E19:E21" si="1">E14</f>
        <v>INDCMU</v>
      </c>
      <c r="F19" s="98"/>
      <c r="R19" s="127">
        <v>2.33</v>
      </c>
    </row>
    <row r="20" spans="2:26" ht="11.25" customHeight="1" x14ac:dyDescent="0.25">
      <c r="E20" s="99" t="str">
        <f t="shared" si="1"/>
        <v>IFAELC</v>
      </c>
      <c r="F20" s="26"/>
      <c r="R20" s="127">
        <v>8.64</v>
      </c>
    </row>
    <row r="21" spans="2:26" ht="11.25" customHeight="1" x14ac:dyDescent="0.25">
      <c r="E21" s="99" t="str">
        <f t="shared" si="1"/>
        <v>IFACHA</v>
      </c>
      <c r="F21" s="38"/>
      <c r="R21" s="127">
        <v>13</v>
      </c>
    </row>
    <row r="22" spans="2:26" ht="11.25" customHeight="1" x14ac:dyDescent="0.25">
      <c r="F22" s="99" t="str">
        <f>F17</f>
        <v>IFACR</v>
      </c>
      <c r="M22" s="128">
        <f>2%*N22</f>
        <v>221.58</v>
      </c>
      <c r="N22" s="128">
        <v>11079</v>
      </c>
      <c r="O22" s="128">
        <v>20</v>
      </c>
      <c r="P22" s="128">
        <v>933</v>
      </c>
      <c r="Q22" s="128"/>
      <c r="S22" s="26">
        <v>2025</v>
      </c>
      <c r="T22" s="3">
        <v>1</v>
      </c>
    </row>
    <row r="23" spans="2:26" ht="11.25" customHeight="1" x14ac:dyDescent="0.2">
      <c r="B23" s="31" t="str">
        <f>Processes_BASE!B13</f>
        <v>IFMEAF-E</v>
      </c>
      <c r="C23" s="31" t="str">
        <f>Processes_BASE!C13</f>
        <v>FerroMn existing</v>
      </c>
      <c r="D23" s="31" t="str">
        <f>Processes_BASE!D13</f>
        <v>PJ,PJa</v>
      </c>
      <c r="E23" s="99" t="str">
        <f>RES_Mn!D2</f>
        <v>IISCKE</v>
      </c>
      <c r="F23" s="99"/>
      <c r="G23" s="93"/>
      <c r="H23" s="26"/>
      <c r="I23" s="26"/>
      <c r="J23" s="26"/>
      <c r="K23" s="26"/>
      <c r="L23" s="26"/>
      <c r="M23" s="89"/>
      <c r="N23" s="89"/>
      <c r="O23" s="89"/>
      <c r="P23" s="26"/>
      <c r="Q23" s="26"/>
      <c r="R23" s="94">
        <f>EB_Exist!K23/EB_Exist!F22</f>
        <v>9.8455813953488391</v>
      </c>
      <c r="S23" s="26"/>
      <c r="T23" s="26"/>
      <c r="U23" s="26"/>
      <c r="V23" s="26"/>
      <c r="W23" s="26"/>
      <c r="X23" s="26"/>
      <c r="Y23" s="26"/>
      <c r="Z23" s="26"/>
    </row>
    <row r="24" spans="2:26" ht="11.25" customHeight="1" x14ac:dyDescent="0.2">
      <c r="B24" s="26"/>
      <c r="C24" s="26"/>
      <c r="D24" s="26"/>
      <c r="E24" s="99" t="str">
        <f>RES_Mn!E2</f>
        <v>INDCMU</v>
      </c>
      <c r="F24" s="99"/>
      <c r="G24" s="93"/>
      <c r="H24" s="93"/>
      <c r="I24" s="93"/>
      <c r="J24" s="93"/>
      <c r="K24" s="93"/>
      <c r="L24" s="93"/>
      <c r="R24" s="130">
        <f>EB_Exist!K24/EB_Exist!F22</f>
        <v>3.2818604651162797</v>
      </c>
      <c r="S24" s="26"/>
      <c r="T24" s="26"/>
      <c r="U24" s="26"/>
      <c r="V24" s="26"/>
      <c r="W24" s="26"/>
      <c r="X24" s="26"/>
      <c r="Y24" s="26"/>
      <c r="Z24" s="26"/>
    </row>
    <row r="25" spans="2:26" ht="11.25" customHeight="1" x14ac:dyDescent="0.2">
      <c r="B25" s="26"/>
      <c r="C25" s="26"/>
      <c r="D25" s="26"/>
      <c r="E25" s="98" t="str">
        <f>RES_Mn!F2</f>
        <v>IFAELC</v>
      </c>
      <c r="F25" s="26"/>
      <c r="G25" s="93"/>
      <c r="H25" s="93"/>
      <c r="I25" s="93"/>
      <c r="J25" s="93"/>
      <c r="K25" s="93"/>
      <c r="L25" s="93"/>
      <c r="R25" s="130">
        <f>EB_Exist!K25/EB_Exist!F22</f>
        <v>12.96</v>
      </c>
      <c r="S25" s="26"/>
      <c r="T25" s="26"/>
      <c r="U25" s="26"/>
      <c r="V25" s="26"/>
      <c r="W25" s="26"/>
      <c r="X25" s="26"/>
      <c r="Y25" s="26"/>
      <c r="Z25" s="26"/>
    </row>
    <row r="26" spans="2:26" ht="11.25" customHeight="1" x14ac:dyDescent="0.2">
      <c r="E26" s="99"/>
      <c r="F26" s="98" t="str">
        <f>RES_Mn!O2</f>
        <v>IFAMN</v>
      </c>
      <c r="G26" s="93"/>
      <c r="H26" s="93">
        <f>EB_Exist!K22*0.9</f>
        <v>0.68490000000000006</v>
      </c>
      <c r="I26" s="93">
        <f>H26</f>
        <v>0.68490000000000006</v>
      </c>
      <c r="J26" s="93">
        <v>0.3</v>
      </c>
      <c r="K26" s="93">
        <v>0.1</v>
      </c>
      <c r="L26" s="93">
        <v>0</v>
      </c>
      <c r="Q26" s="89">
        <f>EB_Exist!F26</f>
        <v>3225</v>
      </c>
      <c r="R26" s="26"/>
      <c r="T26" s="26">
        <v>1</v>
      </c>
      <c r="U26" s="26"/>
      <c r="V26" s="26"/>
      <c r="W26" s="26"/>
      <c r="X26" s="26"/>
      <c r="Y26" s="26"/>
      <c r="Z26" s="26"/>
    </row>
    <row r="27" spans="2:26" ht="11.25" customHeight="1" x14ac:dyDescent="0.25">
      <c r="B27" s="31" t="str">
        <f>RES_Mn!M15</f>
        <v>IFMEAF-N</v>
      </c>
      <c r="C27" s="31" t="str">
        <f>RES_Mn!M12</f>
        <v>FerroMn New</v>
      </c>
      <c r="D27" s="31" t="str">
        <f>Processes_BASE!D14</f>
        <v>PJ,PJa</v>
      </c>
      <c r="E27" s="99" t="str">
        <f>RES_Mn!D2</f>
        <v>IISCKE</v>
      </c>
      <c r="F27" s="98"/>
      <c r="G27" s="93"/>
      <c r="H27" s="93"/>
      <c r="I27" s="93"/>
      <c r="J27" s="93"/>
      <c r="K27" s="93"/>
      <c r="L27" s="93"/>
      <c r="R27" s="127">
        <f>R23/2</f>
        <v>4.9227906976744196</v>
      </c>
      <c r="T27" s="26"/>
      <c r="U27" s="26"/>
      <c r="V27" s="26"/>
      <c r="W27" s="26"/>
      <c r="X27" s="26"/>
      <c r="Y27" s="26"/>
      <c r="Z27" s="26"/>
    </row>
    <row r="28" spans="2:26" ht="11.25" customHeight="1" x14ac:dyDescent="0.25">
      <c r="E28" s="99" t="str">
        <f>RES_Mn!E2</f>
        <v>INDCMU</v>
      </c>
      <c r="F28" s="98"/>
      <c r="R28" s="250">
        <f>R24</f>
        <v>3.2818604651162797</v>
      </c>
      <c r="S28" s="26"/>
      <c r="T28" s="26"/>
      <c r="U28" s="26"/>
      <c r="V28" s="26"/>
      <c r="W28" s="26"/>
      <c r="X28" s="26"/>
      <c r="Y28" s="26"/>
      <c r="Z28" s="26"/>
    </row>
    <row r="29" spans="2:26" ht="11.25" customHeight="1" x14ac:dyDescent="0.25">
      <c r="E29" s="99" t="str">
        <f>RES_Mn!F2</f>
        <v>IFAELC</v>
      </c>
      <c r="F29" s="26"/>
      <c r="R29" s="127">
        <f>EB_Exist!U55</f>
        <v>10.08</v>
      </c>
      <c r="S29" s="26"/>
      <c r="T29" s="26"/>
      <c r="U29" s="26"/>
      <c r="V29" s="26"/>
      <c r="W29" s="26"/>
      <c r="X29" s="26"/>
      <c r="Y29" s="26"/>
      <c r="Z29" s="26"/>
    </row>
    <row r="30" spans="2:26" ht="11.25" customHeight="1" x14ac:dyDescent="0.25">
      <c r="E30" s="99" t="str">
        <f>RES_Mn!G2</f>
        <v>IFACHA</v>
      </c>
      <c r="F30" s="38"/>
      <c r="R30" s="127">
        <f>R27*1.1</f>
        <v>5.415069767441862</v>
      </c>
      <c r="S30" s="26"/>
      <c r="T30" s="26"/>
      <c r="U30" s="26"/>
      <c r="V30" s="26"/>
      <c r="W30" s="26"/>
      <c r="X30" s="26"/>
      <c r="Y30" s="26"/>
      <c r="Z30" s="26"/>
    </row>
    <row r="31" spans="2:26" ht="11.25" customHeight="1" x14ac:dyDescent="0.25">
      <c r="F31" s="99" t="str">
        <f>RES_Mn!O2</f>
        <v>IFAMN</v>
      </c>
      <c r="M31" s="128">
        <f>2%*N31</f>
        <v>201.44</v>
      </c>
      <c r="N31" s="128">
        <v>10072</v>
      </c>
      <c r="O31" s="128">
        <v>20</v>
      </c>
      <c r="P31" s="128"/>
      <c r="Q31" s="128">
        <v>2102</v>
      </c>
      <c r="S31" s="26">
        <v>2025</v>
      </c>
      <c r="T31" s="3">
        <v>1</v>
      </c>
    </row>
    <row r="32" spans="2:26" ht="11.25" customHeight="1" x14ac:dyDescent="0.25">
      <c r="B32" s="31" t="str">
        <f>RES_Mn!M22</f>
        <v>IFMEAFB-N</v>
      </c>
      <c r="C32" s="31" t="str">
        <f>RES_Mn!M18</f>
        <v>FerroMn with biomass</v>
      </c>
      <c r="D32" s="31" t="str">
        <f>D27</f>
        <v>PJ,PJa</v>
      </c>
      <c r="E32" s="99" t="str">
        <f>E27</f>
        <v>IISCKE</v>
      </c>
      <c r="F32" s="98"/>
      <c r="G32" s="93"/>
      <c r="H32" s="93"/>
      <c r="I32" s="93"/>
      <c r="J32" s="93"/>
      <c r="K32" s="93"/>
      <c r="L32" s="93"/>
      <c r="R32" s="127">
        <f>R23*0.25</f>
        <v>2.4613953488372098</v>
      </c>
    </row>
    <row r="33" spans="5:20" ht="11.25" customHeight="1" x14ac:dyDescent="0.25">
      <c r="E33" s="99" t="str">
        <f>E28</f>
        <v>INDCMU</v>
      </c>
      <c r="F33" s="98"/>
      <c r="R33" s="250">
        <f>R24</f>
        <v>3.2818604651162797</v>
      </c>
    </row>
    <row r="34" spans="5:20" ht="11.25" customHeight="1" x14ac:dyDescent="0.25">
      <c r="E34" s="99" t="str">
        <f>E29</f>
        <v>IFAELC</v>
      </c>
      <c r="F34" s="26"/>
      <c r="R34" s="127">
        <f>R29</f>
        <v>10.08</v>
      </c>
    </row>
    <row r="35" spans="5:20" ht="11.25" customHeight="1" x14ac:dyDescent="0.25">
      <c r="E35" s="99" t="str">
        <f>E30</f>
        <v>IFACHA</v>
      </c>
      <c r="F35" s="38"/>
      <c r="R35" s="127">
        <f>R23*0.75*1.1</f>
        <v>8.1226046511627938</v>
      </c>
    </row>
    <row r="36" spans="5:20" ht="11.25" customHeight="1" x14ac:dyDescent="0.25">
      <c r="F36" s="99" t="str">
        <f>F31</f>
        <v>IFAMN</v>
      </c>
      <c r="M36" s="128">
        <f>2%*N36</f>
        <v>221.58</v>
      </c>
      <c r="N36" s="128">
        <v>11079</v>
      </c>
      <c r="O36" s="128">
        <v>20</v>
      </c>
      <c r="P36" s="128"/>
      <c r="Q36" s="128">
        <v>933</v>
      </c>
      <c r="S36" s="26">
        <v>2025</v>
      </c>
      <c r="T36" s="3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N27"/>
  <sheetViews>
    <sheetView workbookViewId="0">
      <selection activeCell="G36" sqref="G36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4" ht="18" thickBot="1" x14ac:dyDescent="0.35">
      <c r="B3" s="70" t="s">
        <v>152</v>
      </c>
      <c r="C3" s="70"/>
      <c r="D3" s="70"/>
      <c r="E3" s="67" t="s">
        <v>155</v>
      </c>
      <c r="I3" s="80" t="s">
        <v>230</v>
      </c>
      <c r="J3" s="75"/>
      <c r="K3" s="75"/>
      <c r="L3" s="75"/>
    </row>
    <row r="4" spans="2:14" ht="13.5" thickTop="1" x14ac:dyDescent="0.2"/>
    <row r="5" spans="2:14" x14ac:dyDescent="0.2">
      <c r="B5" s="67" t="s">
        <v>153</v>
      </c>
      <c r="C5" s="67" t="s">
        <v>15</v>
      </c>
      <c r="D5" s="67" t="s">
        <v>156</v>
      </c>
      <c r="I5" t="s">
        <v>231</v>
      </c>
      <c r="J5" t="b">
        <v>0</v>
      </c>
    </row>
    <row r="6" spans="2:14" ht="15" x14ac:dyDescent="0.25">
      <c r="B6" s="67" t="s">
        <v>154</v>
      </c>
      <c r="C6" s="67" t="s">
        <v>157</v>
      </c>
      <c r="E6" s="95">
        <v>1</v>
      </c>
      <c r="I6" t="s">
        <v>232</v>
      </c>
      <c r="J6" t="s">
        <v>233</v>
      </c>
    </row>
    <row r="7" spans="2:14" x14ac:dyDescent="0.2">
      <c r="D7" t="str">
        <f ca="1">Commodities_BASE!A2</f>
        <v>Commodities_BASE</v>
      </c>
      <c r="E7" s="96">
        <f t="shared" ref="E7:E11" si="0">$E$6</f>
        <v>1</v>
      </c>
    </row>
    <row r="8" spans="2:14" x14ac:dyDescent="0.2">
      <c r="D8" t="str">
        <f ca="1">CommData_BASE!A2</f>
        <v>CommData_BASE</v>
      </c>
      <c r="E8" s="96">
        <f t="shared" si="0"/>
        <v>1</v>
      </c>
      <c r="M8" s="67" t="s">
        <v>236</v>
      </c>
    </row>
    <row r="9" spans="2:14" x14ac:dyDescent="0.2">
      <c r="D9" t="str">
        <f ca="1">Processes_BASE!A2</f>
        <v>Processes_BASE</v>
      </c>
      <c r="E9" s="96">
        <f t="shared" si="0"/>
        <v>1</v>
      </c>
      <c r="I9" t="s">
        <v>233</v>
      </c>
      <c r="J9" t="s">
        <v>235</v>
      </c>
      <c r="M9" s="132">
        <v>0.05</v>
      </c>
      <c r="N9" s="67" t="s">
        <v>237</v>
      </c>
    </row>
    <row r="10" spans="2:14" x14ac:dyDescent="0.2">
      <c r="D10" t="str">
        <f ca="1">'ProcData_F_Mn_Cr - PAMS'!A2</f>
        <v>ProcData_F_Mn_Cr - PAMS</v>
      </c>
      <c r="E10" s="96">
        <f>IF(FA_PAMS_index=TRUE,1,0)</f>
        <v>0</v>
      </c>
      <c r="G10" s="67" t="s">
        <v>513</v>
      </c>
      <c r="I10" t="s">
        <v>234</v>
      </c>
      <c r="J10" t="s">
        <v>235</v>
      </c>
      <c r="M10" s="133">
        <v>2.5000000000000001E-2</v>
      </c>
      <c r="N10" s="67" t="s">
        <v>237</v>
      </c>
    </row>
    <row r="11" spans="2:14" x14ac:dyDescent="0.2">
      <c r="D11">
        <f>'Process Input'!A2</f>
        <v>0</v>
      </c>
      <c r="E11" s="96">
        <f t="shared" si="0"/>
        <v>1</v>
      </c>
      <c r="M11">
        <f>INDEX(M9:M10,MATCH(J6,I9:I10,0))</f>
        <v>0.05</v>
      </c>
    </row>
    <row r="12" spans="2:14" x14ac:dyDescent="0.2">
      <c r="E12" s="96"/>
    </row>
    <row r="13" spans="2:14" x14ac:dyDescent="0.2">
      <c r="E13" s="96"/>
    </row>
    <row r="14" spans="2:14" x14ac:dyDescent="0.2">
      <c r="E14" s="96"/>
    </row>
    <row r="15" spans="2:14" x14ac:dyDescent="0.2">
      <c r="E15" s="96"/>
    </row>
    <row r="16" spans="2:14" x14ac:dyDescent="0.2">
      <c r="E16" s="96"/>
    </row>
    <row r="17" spans="5:5" x14ac:dyDescent="0.2">
      <c r="E17" s="96"/>
    </row>
    <row r="18" spans="5:5" x14ac:dyDescent="0.2">
      <c r="E18" s="96"/>
    </row>
    <row r="19" spans="5:5" x14ac:dyDescent="0.2">
      <c r="E19" s="96"/>
    </row>
    <row r="20" spans="5:5" x14ac:dyDescent="0.2">
      <c r="E20" s="96"/>
    </row>
    <row r="21" spans="5:5" x14ac:dyDescent="0.2">
      <c r="E21" s="96"/>
    </row>
    <row r="22" spans="5:5" x14ac:dyDescent="0.2">
      <c r="E22" s="96"/>
    </row>
    <row r="23" spans="5:5" x14ac:dyDescent="0.2">
      <c r="E23" s="96"/>
    </row>
    <row r="24" spans="5:5" x14ac:dyDescent="0.2">
      <c r="E24" s="96"/>
    </row>
    <row r="25" spans="5:5" x14ac:dyDescent="0.2">
      <c r="E25" s="96"/>
    </row>
    <row r="26" spans="5:5" x14ac:dyDescent="0.2">
      <c r="E26" s="96"/>
    </row>
    <row r="27" spans="5:5" x14ac:dyDescent="0.2">
      <c r="E27" s="96"/>
    </row>
  </sheetData>
  <dataValidations count="1">
    <dataValidation type="list" allowBlank="1" showInputMessage="1" showErrorMessage="1" sqref="J6" xr:uid="{500CD5B8-8189-4BE3-97D6-B1FEF71A1652}">
      <formula1>$I$9:$I$10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O83"/>
  <sheetViews>
    <sheetView zoomScale="115" zoomScaleNormal="115" workbookViewId="0">
      <selection activeCell="J3" sqref="J3"/>
    </sheetView>
  </sheetViews>
  <sheetFormatPr defaultColWidth="9.140625" defaultRowHeight="15" x14ac:dyDescent="0.25"/>
  <cols>
    <col min="1" max="1" width="9.140625" style="40"/>
    <col min="2" max="2" width="9.140625" style="40" customWidth="1"/>
    <col min="3" max="3" width="20.7109375" style="40" customWidth="1"/>
    <col min="4" max="15" width="3.5703125" style="40" customWidth="1"/>
    <col min="16" max="16" width="4" style="40" customWidth="1"/>
    <col min="17" max="17" width="4.5703125" style="40" customWidth="1"/>
    <col min="18" max="18" width="29.85546875" style="40" customWidth="1"/>
    <col min="19" max="19" width="4" style="40" customWidth="1"/>
    <col min="20" max="23" width="3.5703125" style="40" customWidth="1"/>
    <col min="24" max="24" width="3.7109375" style="40" customWidth="1"/>
    <col min="25" max="25" width="3.85546875" style="40" customWidth="1"/>
    <col min="26" max="26" width="4" style="40" customWidth="1"/>
    <col min="27" max="27" width="25.5703125" style="40" customWidth="1"/>
    <col min="28" max="37" width="3.5703125" style="40" customWidth="1"/>
    <col min="38" max="16384" width="9.140625" style="40"/>
  </cols>
  <sheetData>
    <row r="1" spans="3:41" x14ac:dyDescent="0.25">
      <c r="S1" s="40" t="s">
        <v>127</v>
      </c>
      <c r="AB1" s="111" t="s">
        <v>162</v>
      </c>
    </row>
    <row r="2" spans="3:41" ht="84" customHeight="1" x14ac:dyDescent="0.25">
      <c r="C2" s="43"/>
      <c r="D2" s="121" t="s">
        <v>204</v>
      </c>
      <c r="E2" s="339" t="s">
        <v>628</v>
      </c>
      <c r="F2" s="121" t="s">
        <v>202</v>
      </c>
      <c r="G2" s="236" t="s">
        <v>583</v>
      </c>
      <c r="H2" s="112"/>
      <c r="I2" s="236" t="s">
        <v>204</v>
      </c>
      <c r="J2" s="305" t="str">
        <f>E2</f>
        <v>INDCMU</v>
      </c>
      <c r="K2" s="236" t="s">
        <v>202</v>
      </c>
      <c r="L2" s="236" t="s">
        <v>583</v>
      </c>
      <c r="M2" s="112"/>
      <c r="N2" s="252" t="s">
        <v>212</v>
      </c>
      <c r="O2" s="64"/>
      <c r="P2" s="65"/>
      <c r="Q2" s="66"/>
      <c r="R2" s="43"/>
      <c r="T2" s="131" t="s">
        <v>220</v>
      </c>
      <c r="U2" s="131"/>
      <c r="V2" s="236" t="s">
        <v>467</v>
      </c>
      <c r="W2" s="112"/>
      <c r="AB2" s="112"/>
      <c r="AC2" s="112"/>
      <c r="AD2" s="112"/>
      <c r="AE2" s="68"/>
      <c r="AF2" s="68"/>
      <c r="AG2" s="68"/>
      <c r="AH2" s="68"/>
      <c r="AI2" s="64"/>
      <c r="AJ2" s="101"/>
      <c r="AK2" s="103"/>
    </row>
    <row r="3" spans="3:41" ht="141" customHeight="1" x14ac:dyDescent="0.25">
      <c r="C3" s="43" t="s">
        <v>126</v>
      </c>
      <c r="D3" s="121" t="s">
        <v>205</v>
      </c>
      <c r="E3" s="339" t="s">
        <v>629</v>
      </c>
      <c r="F3" s="121" t="s">
        <v>203</v>
      </c>
      <c r="G3" s="122" t="s">
        <v>208</v>
      </c>
      <c r="H3" s="112"/>
      <c r="I3" s="236" t="s">
        <v>205</v>
      </c>
      <c r="J3" s="236" t="str">
        <f>E3</f>
        <v>Feedstock coal (no emissions associated)</v>
      </c>
      <c r="K3" s="236" t="s">
        <v>203</v>
      </c>
      <c r="L3" s="236" t="s">
        <v>208</v>
      </c>
      <c r="M3" s="112"/>
      <c r="N3" s="112"/>
      <c r="O3" s="64"/>
      <c r="P3" s="65"/>
      <c r="Q3" s="66"/>
      <c r="R3" s="43" t="s">
        <v>125</v>
      </c>
      <c r="T3" s="122" t="s">
        <v>210</v>
      </c>
      <c r="U3" s="122"/>
      <c r="V3" s="236" t="s">
        <v>210</v>
      </c>
      <c r="W3" s="112"/>
      <c r="AB3" s="112"/>
      <c r="AC3" s="112"/>
      <c r="AD3" s="112"/>
      <c r="AE3" s="112"/>
      <c r="AF3" s="112"/>
      <c r="AG3" s="112"/>
      <c r="AH3" s="112"/>
      <c r="AI3" s="64"/>
      <c r="AJ3" s="103"/>
      <c r="AK3" s="109"/>
    </row>
    <row r="4" spans="3:41" x14ac:dyDescent="0.25"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5"/>
      <c r="Q4" s="43"/>
      <c r="T4" s="42"/>
      <c r="U4" s="42"/>
      <c r="V4" s="42"/>
      <c r="W4" s="42"/>
      <c r="AB4" s="42"/>
      <c r="AC4" s="42"/>
      <c r="AD4" s="42"/>
      <c r="AE4" s="42"/>
      <c r="AF4" s="42"/>
      <c r="AG4" s="42"/>
      <c r="AH4" s="42"/>
      <c r="AI4" s="42"/>
      <c r="AJ4" s="42"/>
      <c r="AK4" s="42"/>
    </row>
    <row r="5" spans="3:41" x14ac:dyDescent="0.25">
      <c r="D5" s="42"/>
      <c r="E5" s="46"/>
      <c r="F5" s="49"/>
      <c r="G5" s="46"/>
      <c r="H5" s="46"/>
      <c r="I5" s="46"/>
      <c r="J5" s="46"/>
      <c r="K5" s="46"/>
      <c r="L5" s="46"/>
      <c r="M5" s="46"/>
      <c r="N5" s="46"/>
      <c r="O5" s="49"/>
      <c r="P5" s="53"/>
      <c r="Q5" s="49"/>
      <c r="R5" s="54" t="s">
        <v>213</v>
      </c>
      <c r="S5" s="53"/>
      <c r="T5" s="49"/>
      <c r="U5" s="42"/>
      <c r="V5" s="42"/>
      <c r="W5" s="55"/>
      <c r="AB5" s="42"/>
      <c r="AC5" s="42"/>
      <c r="AD5" s="42"/>
      <c r="AE5" s="42"/>
      <c r="AF5" s="42"/>
      <c r="AG5" s="42"/>
      <c r="AH5" s="42"/>
      <c r="AI5" s="42"/>
      <c r="AJ5" s="42"/>
      <c r="AK5" s="42"/>
      <c r="AN5" s="111"/>
      <c r="AO5" s="63"/>
    </row>
    <row r="6" spans="3:41" x14ac:dyDescent="0.25">
      <c r="C6" s="43"/>
      <c r="D6" s="42"/>
      <c r="E6" s="42"/>
      <c r="F6" s="50"/>
      <c r="G6" s="50"/>
      <c r="H6" s="57"/>
      <c r="I6" s="57"/>
      <c r="J6" s="57"/>
      <c r="K6" s="57"/>
      <c r="L6" s="57"/>
      <c r="M6" s="57"/>
      <c r="N6" s="50"/>
      <c r="O6" s="57"/>
      <c r="P6" s="104"/>
      <c r="Q6" s="57"/>
      <c r="R6" s="62"/>
      <c r="S6" s="52"/>
      <c r="T6" s="51"/>
      <c r="U6" s="42"/>
      <c r="V6" s="42"/>
      <c r="W6" s="44"/>
      <c r="AB6" s="42"/>
      <c r="AC6" s="42"/>
      <c r="AD6" s="42"/>
      <c r="AE6" s="42"/>
      <c r="AF6" s="42"/>
      <c r="AG6" s="42"/>
      <c r="AH6" s="42"/>
      <c r="AI6" s="42"/>
      <c r="AJ6" s="42"/>
      <c r="AK6" s="42"/>
      <c r="AN6" s="111"/>
      <c r="AO6" s="59"/>
    </row>
    <row r="7" spans="3:41" x14ac:dyDescent="0.25">
      <c r="C7" s="43"/>
      <c r="D7" s="42"/>
      <c r="E7" s="42"/>
      <c r="F7" s="42"/>
      <c r="G7" s="50"/>
      <c r="H7" s="57"/>
      <c r="I7" s="57"/>
      <c r="J7" s="57"/>
      <c r="K7" s="57"/>
      <c r="L7" s="57"/>
      <c r="M7" s="57"/>
      <c r="N7" s="50"/>
      <c r="O7" s="57"/>
      <c r="P7" s="104"/>
      <c r="Q7" s="57"/>
      <c r="R7" s="123" t="s">
        <v>209</v>
      </c>
      <c r="T7" s="55"/>
      <c r="U7" s="42"/>
      <c r="W7" s="44"/>
      <c r="AB7" s="42"/>
      <c r="AC7" s="42"/>
      <c r="AD7" s="42"/>
      <c r="AE7" s="42"/>
      <c r="AF7" s="42"/>
      <c r="AG7" s="42"/>
      <c r="AH7" s="42"/>
      <c r="AI7" s="42"/>
      <c r="AJ7" s="42"/>
      <c r="AK7" s="42"/>
      <c r="AN7" s="111"/>
      <c r="AO7" s="61"/>
    </row>
    <row r="8" spans="3:41" x14ac:dyDescent="0.25">
      <c r="C8" s="4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6"/>
      <c r="P8" s="52"/>
      <c r="Q8" s="51"/>
      <c r="R8" s="48"/>
      <c r="S8" s="43"/>
      <c r="T8" s="42"/>
      <c r="U8" s="42"/>
      <c r="V8" s="43"/>
      <c r="W8" s="44"/>
      <c r="AB8" s="42"/>
      <c r="AC8" s="42"/>
      <c r="AD8" s="42"/>
      <c r="AE8" s="44"/>
      <c r="AF8" s="42"/>
      <c r="AG8" s="42"/>
      <c r="AH8" s="42"/>
      <c r="AI8" s="42"/>
      <c r="AJ8" s="42"/>
      <c r="AK8" s="42"/>
      <c r="AN8" s="111"/>
      <c r="AO8" s="58"/>
    </row>
    <row r="9" spans="3:41" x14ac:dyDescent="0.25">
      <c r="C9" s="4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/>
      <c r="Q9" s="43"/>
      <c r="R9" s="129" t="s">
        <v>216</v>
      </c>
      <c r="S9" s="43"/>
      <c r="T9" s="42"/>
      <c r="U9" s="42"/>
      <c r="V9" s="42"/>
      <c r="W9" s="44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7"/>
      <c r="AN9" s="111"/>
      <c r="AO9" s="60"/>
    </row>
    <row r="10" spans="3:41" x14ac:dyDescent="0.25">
      <c r="C10" s="43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/>
      <c r="Q10" s="43"/>
      <c r="S10" s="43"/>
      <c r="T10" s="42"/>
      <c r="U10" s="42"/>
      <c r="V10" s="42"/>
      <c r="W10" s="44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3:41" x14ac:dyDescent="0.25">
      <c r="C11" s="4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/>
      <c r="Q11" s="43"/>
      <c r="S11" s="43"/>
      <c r="T11" s="42"/>
      <c r="U11" s="42"/>
      <c r="V11" s="42"/>
      <c r="W11" s="44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3:41" x14ac:dyDescent="0.25">
      <c r="C12" s="43"/>
      <c r="D12" s="42"/>
      <c r="E12" s="46"/>
      <c r="F12" s="49"/>
      <c r="G12" s="46"/>
      <c r="H12" s="46"/>
      <c r="I12" s="46"/>
      <c r="J12" s="46"/>
      <c r="K12" s="46"/>
      <c r="L12" s="46"/>
      <c r="M12" s="46"/>
      <c r="N12" s="46"/>
      <c r="O12" s="49"/>
      <c r="P12" s="53"/>
      <c r="Q12" s="49"/>
      <c r="R12" s="54" t="s">
        <v>214</v>
      </c>
      <c r="S12" s="53"/>
      <c r="T12" s="49"/>
      <c r="U12" s="42"/>
      <c r="V12" s="42"/>
      <c r="W12" s="44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3:41" x14ac:dyDescent="0.25">
      <c r="C13" s="43"/>
      <c r="D13" s="42"/>
      <c r="E13" s="42"/>
      <c r="F13" s="50"/>
      <c r="G13" s="50"/>
      <c r="H13" s="57"/>
      <c r="I13" s="57"/>
      <c r="J13" s="57"/>
      <c r="K13" s="57"/>
      <c r="L13" s="57"/>
      <c r="M13" s="57"/>
      <c r="N13" s="50"/>
      <c r="O13" s="57"/>
      <c r="P13" s="104"/>
      <c r="Q13" s="57"/>
      <c r="R13" s="62"/>
      <c r="S13" s="52"/>
      <c r="T13" s="51"/>
      <c r="U13" s="42"/>
      <c r="V13" s="42"/>
      <c r="W13" s="44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N13" s="41"/>
    </row>
    <row r="14" spans="3:41" x14ac:dyDescent="0.25">
      <c r="C14" s="43"/>
      <c r="D14" s="42"/>
      <c r="E14" s="42"/>
      <c r="F14" s="42"/>
      <c r="G14" s="50"/>
      <c r="H14" s="57"/>
      <c r="I14" s="57"/>
      <c r="J14" s="57"/>
      <c r="K14" s="57"/>
      <c r="L14" s="57"/>
      <c r="M14" s="57"/>
      <c r="N14" s="50"/>
      <c r="O14" s="57"/>
      <c r="P14" s="104"/>
      <c r="Q14" s="57"/>
      <c r="R14" s="48"/>
      <c r="T14" s="55"/>
      <c r="U14" s="42"/>
      <c r="W14" s="44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3:41" x14ac:dyDescent="0.25">
      <c r="C15" s="43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/>
      <c r="Q15" s="43"/>
      <c r="R15" s="129" t="s">
        <v>215</v>
      </c>
      <c r="S15" s="43"/>
      <c r="T15" s="42"/>
      <c r="U15" s="42"/>
      <c r="V15" s="43"/>
      <c r="W15" s="44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3:41" x14ac:dyDescent="0.25">
      <c r="C16" s="4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/>
      <c r="Q16" s="43"/>
      <c r="S16" s="43"/>
      <c r="T16" s="42"/>
      <c r="U16" s="42"/>
      <c r="V16" s="42"/>
      <c r="W16" s="44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3:40" x14ac:dyDescent="0.25">
      <c r="C17" s="4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/>
      <c r="Q17" s="43"/>
      <c r="S17" s="43"/>
      <c r="T17" s="42"/>
      <c r="U17" s="42"/>
      <c r="V17" s="42"/>
      <c r="W17" s="44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N17" s="41"/>
    </row>
    <row r="18" spans="3:40" x14ac:dyDescent="0.25">
      <c r="C18" s="43"/>
      <c r="D18" s="42"/>
      <c r="E18" s="46"/>
      <c r="F18" s="49"/>
      <c r="G18" s="46"/>
      <c r="H18" s="46"/>
      <c r="I18" s="46"/>
      <c r="J18" s="46"/>
      <c r="K18" s="46"/>
      <c r="L18" s="46"/>
      <c r="M18" s="46"/>
      <c r="N18" s="46"/>
      <c r="O18" s="49"/>
      <c r="P18" s="53"/>
      <c r="Q18" s="49"/>
      <c r="R18" s="54" t="s">
        <v>218</v>
      </c>
      <c r="S18" s="53"/>
      <c r="T18" s="49"/>
      <c r="U18" s="42"/>
      <c r="V18" s="42"/>
      <c r="W18" s="44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N18" s="59"/>
    </row>
    <row r="19" spans="3:40" x14ac:dyDescent="0.25">
      <c r="C19" s="43"/>
      <c r="D19" s="42"/>
      <c r="E19" s="42"/>
      <c r="F19" s="50"/>
      <c r="G19" s="50"/>
      <c r="H19" s="57"/>
      <c r="I19" s="57"/>
      <c r="J19" s="57"/>
      <c r="K19" s="57"/>
      <c r="L19" s="57"/>
      <c r="M19" s="57"/>
      <c r="N19" s="50"/>
      <c r="O19" s="57"/>
      <c r="P19" s="104"/>
      <c r="Q19" s="57"/>
      <c r="R19" s="62"/>
      <c r="S19" s="52"/>
      <c r="T19" s="51"/>
      <c r="U19" s="42"/>
      <c r="V19" s="42"/>
      <c r="W19" s="44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N19" s="59"/>
    </row>
    <row r="20" spans="3:40" x14ac:dyDescent="0.25">
      <c r="C20" s="43"/>
      <c r="D20" s="42"/>
      <c r="E20" s="42"/>
      <c r="F20" s="42"/>
      <c r="G20" s="50"/>
      <c r="H20" s="57"/>
      <c r="I20" s="57"/>
      <c r="J20" s="57"/>
      <c r="K20" s="57"/>
      <c r="L20" s="57"/>
      <c r="M20" s="57"/>
      <c r="N20" s="50"/>
      <c r="O20" s="57"/>
      <c r="P20" s="104"/>
      <c r="Q20" s="57"/>
      <c r="R20" s="48"/>
      <c r="T20" s="55"/>
      <c r="U20" s="42"/>
      <c r="W20" s="44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N20" s="59"/>
    </row>
    <row r="21" spans="3:40" x14ac:dyDescent="0.25">
      <c r="C21" s="43"/>
      <c r="D21" s="42"/>
      <c r="E21" s="42"/>
      <c r="F21" s="42"/>
      <c r="G21" s="42"/>
      <c r="H21" s="50"/>
      <c r="I21" s="57"/>
      <c r="J21" s="57"/>
      <c r="K21" s="57"/>
      <c r="L21" s="57"/>
      <c r="M21" s="57"/>
      <c r="N21" s="57"/>
      <c r="O21" s="57"/>
      <c r="P21" s="104"/>
      <c r="Q21" s="57"/>
      <c r="R21" s="48"/>
      <c r="S21" s="43"/>
      <c r="T21" s="42"/>
      <c r="U21" s="42"/>
      <c r="V21" s="43"/>
      <c r="W21" s="44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N21" s="58"/>
    </row>
    <row r="22" spans="3:40" x14ac:dyDescent="0.25">
      <c r="C22" s="4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/>
      <c r="Q22" s="43"/>
      <c r="R22" s="129" t="s">
        <v>217</v>
      </c>
      <c r="S22" s="43"/>
      <c r="T22" s="42"/>
      <c r="U22" s="42"/>
      <c r="V22" s="42"/>
      <c r="W22" s="44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3:40" x14ac:dyDescent="0.25">
      <c r="C23" s="43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/>
      <c r="Q23" s="43"/>
      <c r="S23" s="43"/>
      <c r="T23" s="42"/>
      <c r="U23" s="42"/>
      <c r="V23" s="42"/>
      <c r="W23" s="44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3:40" x14ac:dyDescent="0.25">
      <c r="C24" s="43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/>
      <c r="Q24" s="43"/>
      <c r="T24" s="42"/>
      <c r="U24" s="42"/>
      <c r="V24" s="42"/>
      <c r="W24" s="44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N24" s="58"/>
    </row>
    <row r="25" spans="3:40" x14ac:dyDescent="0.25"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/>
      <c r="Q25" s="43"/>
      <c r="S25" s="43"/>
      <c r="T25" s="42"/>
      <c r="U25" s="42"/>
      <c r="V25" s="42"/>
      <c r="W25" s="44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3:40" x14ac:dyDescent="0.25"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/>
      <c r="Q26" s="43"/>
      <c r="S26" s="43"/>
      <c r="T26" s="42"/>
      <c r="U26" s="42"/>
      <c r="V26" s="42"/>
      <c r="W26" s="44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3:40" x14ac:dyDescent="0.25"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/>
      <c r="Q27" s="43"/>
      <c r="S27" s="43"/>
      <c r="T27" s="42"/>
      <c r="U27" s="42"/>
      <c r="V27" s="42"/>
      <c r="W27" s="44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3:40" x14ac:dyDescent="0.25"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/>
      <c r="Q28" s="43"/>
      <c r="S28" s="43"/>
      <c r="T28" s="42"/>
      <c r="U28" s="42"/>
      <c r="V28" s="42"/>
      <c r="W28" s="44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3:40" x14ac:dyDescent="0.25"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5"/>
      <c r="Q29" s="43"/>
      <c r="S29" s="43"/>
      <c r="T29" s="42"/>
      <c r="U29" s="42"/>
      <c r="V29" s="42"/>
      <c r="W29" s="44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3:40" x14ac:dyDescent="0.25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5"/>
      <c r="Q30" s="43"/>
      <c r="S30" s="43"/>
      <c r="T30" s="42"/>
      <c r="U30" s="42"/>
      <c r="V30" s="42"/>
      <c r="W30" s="44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3:40" x14ac:dyDescent="0.25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5"/>
      <c r="Q31" s="43"/>
      <c r="S31" s="43"/>
      <c r="T31" s="42"/>
      <c r="U31" s="42"/>
      <c r="V31" s="42"/>
      <c r="W31" s="44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3:40" x14ac:dyDescent="0.25"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5"/>
      <c r="Q32" s="43"/>
      <c r="S32" s="43"/>
      <c r="T32" s="42"/>
      <c r="U32" s="42"/>
      <c r="V32" s="42"/>
      <c r="W32" s="44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4:37" x14ac:dyDescent="0.25"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5"/>
      <c r="Q33" s="43"/>
      <c r="S33" s="43"/>
      <c r="T33" s="42"/>
      <c r="U33" s="42"/>
      <c r="V33" s="42"/>
      <c r="W33" s="44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4:37" x14ac:dyDescent="0.25"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5"/>
      <c r="Q34" s="43"/>
      <c r="S34" s="43"/>
      <c r="T34" s="42"/>
      <c r="U34" s="42"/>
      <c r="V34" s="42"/>
      <c r="W34" s="44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4:37" x14ac:dyDescent="0.25"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5"/>
      <c r="Q35" s="43"/>
      <c r="S35" s="43"/>
      <c r="T35" s="42"/>
      <c r="U35" s="42"/>
      <c r="V35" s="42"/>
      <c r="W35" s="44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4:37" x14ac:dyDescent="0.25"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5"/>
      <c r="Q36" s="43"/>
      <c r="S36" s="43"/>
      <c r="T36" s="42"/>
      <c r="U36" s="42"/>
      <c r="V36" s="42"/>
      <c r="W36" s="44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4:37" x14ac:dyDescent="0.25"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5"/>
      <c r="Q37" s="43"/>
      <c r="S37" s="43"/>
      <c r="T37" s="42"/>
      <c r="U37" s="42"/>
      <c r="V37" s="42"/>
      <c r="W37" s="44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4:37" x14ac:dyDescent="0.25"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5"/>
      <c r="Q38" s="43"/>
      <c r="S38" s="43"/>
      <c r="T38" s="42"/>
      <c r="U38" s="42"/>
      <c r="V38" s="42"/>
      <c r="W38" s="44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4:37" x14ac:dyDescent="0.25"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5"/>
      <c r="Q39" s="43"/>
      <c r="S39" s="43"/>
      <c r="T39" s="42"/>
      <c r="U39" s="42"/>
      <c r="V39" s="42"/>
      <c r="W39" s="44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4:37" x14ac:dyDescent="0.25"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5"/>
      <c r="Q40" s="43"/>
      <c r="S40" s="43"/>
      <c r="T40" s="42"/>
      <c r="U40" s="42"/>
      <c r="V40" s="42"/>
      <c r="W40" s="44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4:37" x14ac:dyDescent="0.25"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5"/>
      <c r="Q41" s="43"/>
      <c r="S41" s="43"/>
      <c r="T41" s="42"/>
      <c r="U41" s="42"/>
      <c r="V41" s="42"/>
      <c r="W41" s="44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4:37" x14ac:dyDescent="0.25"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5"/>
      <c r="Q42" s="43"/>
      <c r="S42" s="43"/>
      <c r="T42" s="42"/>
      <c r="U42" s="42"/>
      <c r="V42" s="42"/>
      <c r="W42" s="44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4:37" x14ac:dyDescent="0.25"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5"/>
      <c r="Q43" s="43"/>
      <c r="S43" s="43"/>
      <c r="T43" s="42"/>
      <c r="U43" s="42"/>
      <c r="V43" s="42"/>
      <c r="W43" s="44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4:37" x14ac:dyDescent="0.25"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5"/>
      <c r="Q44" s="43"/>
      <c r="S44" s="43"/>
      <c r="T44" s="42"/>
      <c r="U44" s="42"/>
      <c r="V44" s="42"/>
      <c r="W44" s="44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4:37" x14ac:dyDescent="0.25"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5"/>
      <c r="Q45" s="43"/>
      <c r="S45" s="43"/>
      <c r="T45" s="42"/>
      <c r="U45" s="42"/>
      <c r="V45" s="42"/>
      <c r="W45" s="44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4:37" x14ac:dyDescent="0.25"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5"/>
      <c r="Q46" s="43"/>
      <c r="S46" s="43"/>
      <c r="T46" s="42"/>
      <c r="U46" s="42"/>
      <c r="V46" s="42"/>
      <c r="W46" s="44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4:37" x14ac:dyDescent="0.25"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5"/>
      <c r="Q47" s="43"/>
      <c r="S47" s="43"/>
      <c r="T47" s="42"/>
      <c r="U47" s="42"/>
      <c r="V47" s="42"/>
      <c r="W47" s="44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4:37" x14ac:dyDescent="0.25"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5"/>
      <c r="Q48" s="43"/>
      <c r="S48" s="43"/>
      <c r="T48" s="42"/>
      <c r="U48" s="42"/>
      <c r="V48" s="42"/>
      <c r="W48" s="44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4:37" x14ac:dyDescent="0.25"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5"/>
      <c r="Q49" s="43"/>
      <c r="S49" s="43"/>
      <c r="T49" s="42"/>
      <c r="U49" s="42"/>
      <c r="V49" s="42"/>
      <c r="W49" s="44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4:37" x14ac:dyDescent="0.25"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5"/>
      <c r="Q50" s="43"/>
      <c r="S50" s="43"/>
      <c r="T50" s="42"/>
      <c r="U50" s="42"/>
      <c r="V50" s="42"/>
      <c r="W50" s="44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4:37" x14ac:dyDescent="0.25"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5"/>
      <c r="Q51" s="43"/>
      <c r="S51" s="43"/>
      <c r="T51" s="42"/>
      <c r="U51" s="42"/>
      <c r="V51" s="42"/>
      <c r="W51" s="44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4:37" x14ac:dyDescent="0.25"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5"/>
      <c r="Q52" s="43"/>
      <c r="S52" s="43"/>
      <c r="T52" s="42"/>
      <c r="U52" s="42"/>
      <c r="V52" s="42"/>
      <c r="W52" s="44"/>
      <c r="AB52" s="42"/>
      <c r="AC52" s="42"/>
      <c r="AD52" s="42"/>
      <c r="AE52" s="42"/>
      <c r="AF52" s="42"/>
      <c r="AG52" s="42"/>
      <c r="AH52" s="42"/>
      <c r="AI52" s="42"/>
      <c r="AJ52" s="42"/>
      <c r="AK52" s="42"/>
    </row>
    <row r="53" spans="4:37" x14ac:dyDescent="0.25"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5"/>
      <c r="Q53" s="43"/>
      <c r="S53" s="43"/>
      <c r="T53" s="42"/>
      <c r="U53" s="42"/>
      <c r="V53" s="42"/>
      <c r="W53" s="44"/>
      <c r="AB53" s="42"/>
      <c r="AC53" s="42"/>
      <c r="AD53" s="42"/>
      <c r="AE53" s="42"/>
      <c r="AF53" s="42"/>
      <c r="AG53" s="42"/>
      <c r="AH53" s="42"/>
      <c r="AI53" s="42"/>
      <c r="AJ53" s="42"/>
      <c r="AK53" s="42"/>
    </row>
    <row r="54" spans="4:37" x14ac:dyDescent="0.25"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5"/>
      <c r="Q54" s="43"/>
      <c r="S54" s="43"/>
      <c r="T54" s="42"/>
      <c r="U54" s="42"/>
      <c r="V54" s="42"/>
      <c r="W54" s="44"/>
      <c r="AB54" s="42"/>
      <c r="AC54" s="42"/>
      <c r="AD54" s="42"/>
      <c r="AE54" s="42"/>
      <c r="AF54" s="42"/>
      <c r="AG54" s="42"/>
      <c r="AH54" s="42"/>
      <c r="AI54" s="42"/>
      <c r="AJ54" s="42"/>
      <c r="AK54" s="42"/>
    </row>
    <row r="55" spans="4:37" x14ac:dyDescent="0.25"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5"/>
      <c r="Q55" s="43"/>
      <c r="S55" s="43"/>
      <c r="T55" s="42"/>
      <c r="U55" s="42"/>
      <c r="V55" s="42"/>
      <c r="W55" s="44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 spans="4:37" x14ac:dyDescent="0.25"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5"/>
      <c r="Q56" s="43"/>
      <c r="S56" s="43"/>
      <c r="T56" s="42"/>
      <c r="U56" s="42"/>
      <c r="V56" s="42"/>
      <c r="W56" s="44"/>
      <c r="AB56" s="42"/>
      <c r="AC56" s="42"/>
      <c r="AD56" s="42"/>
      <c r="AE56" s="42"/>
      <c r="AF56" s="42"/>
      <c r="AG56" s="42"/>
      <c r="AH56" s="42"/>
      <c r="AI56" s="42"/>
      <c r="AJ56" s="42"/>
      <c r="AK56" s="42"/>
    </row>
    <row r="57" spans="4:37" x14ac:dyDescent="0.25"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5"/>
      <c r="Q57" s="43"/>
      <c r="S57" s="43"/>
      <c r="T57" s="42"/>
      <c r="U57" s="42"/>
      <c r="V57" s="42"/>
      <c r="W57" s="44"/>
      <c r="AB57" s="42"/>
      <c r="AC57" s="42"/>
      <c r="AD57" s="42"/>
      <c r="AE57" s="42"/>
      <c r="AF57" s="42"/>
      <c r="AG57" s="42"/>
      <c r="AH57" s="42"/>
      <c r="AI57" s="42"/>
      <c r="AJ57" s="42"/>
      <c r="AK57" s="42"/>
    </row>
    <row r="58" spans="4:37" x14ac:dyDescent="0.25"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5"/>
      <c r="Q58" s="43"/>
      <c r="S58" s="43"/>
      <c r="T58" s="42"/>
      <c r="U58" s="42"/>
      <c r="V58" s="42"/>
      <c r="W58" s="44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4:37" x14ac:dyDescent="0.25"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5"/>
      <c r="Q59" s="43"/>
      <c r="S59" s="43"/>
      <c r="T59" s="42"/>
      <c r="U59" s="42"/>
      <c r="V59" s="42"/>
      <c r="W59" s="44"/>
      <c r="AB59" s="42"/>
      <c r="AC59" s="42"/>
      <c r="AD59" s="42"/>
      <c r="AE59" s="42"/>
      <c r="AF59" s="42"/>
      <c r="AG59" s="42"/>
      <c r="AH59" s="42"/>
      <c r="AI59" s="42"/>
      <c r="AJ59" s="42"/>
      <c r="AK59" s="42"/>
    </row>
    <row r="60" spans="4:37" x14ac:dyDescent="0.25"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5"/>
      <c r="Q60" s="43"/>
      <c r="S60" s="43"/>
      <c r="T60" s="42"/>
      <c r="U60" s="42"/>
      <c r="V60" s="42"/>
      <c r="W60" s="44"/>
      <c r="AB60" s="42"/>
      <c r="AC60" s="42"/>
      <c r="AD60" s="42"/>
      <c r="AE60" s="42"/>
      <c r="AF60" s="42"/>
      <c r="AG60" s="42"/>
      <c r="AH60" s="42"/>
      <c r="AI60" s="42"/>
      <c r="AJ60" s="42"/>
      <c r="AK60" s="42"/>
    </row>
    <row r="61" spans="4:37" x14ac:dyDescent="0.25"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5"/>
      <c r="Q61" s="43"/>
      <c r="S61" s="43"/>
      <c r="T61" s="42"/>
      <c r="U61" s="42"/>
      <c r="V61" s="42"/>
      <c r="W61" s="44"/>
      <c r="AB61" s="42"/>
      <c r="AC61" s="42"/>
      <c r="AD61" s="42"/>
      <c r="AE61" s="42"/>
      <c r="AF61" s="42"/>
      <c r="AG61" s="42"/>
      <c r="AH61" s="42"/>
      <c r="AI61" s="42"/>
      <c r="AJ61" s="42"/>
      <c r="AK61" s="42"/>
    </row>
    <row r="62" spans="4:37" x14ac:dyDescent="0.25"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5"/>
      <c r="Q62" s="43"/>
      <c r="S62" s="43"/>
      <c r="T62" s="42"/>
      <c r="U62" s="42"/>
      <c r="V62" s="42"/>
      <c r="W62" s="44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4:37" x14ac:dyDescent="0.25"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5"/>
      <c r="Q63" s="43"/>
      <c r="S63" s="43"/>
      <c r="T63" s="42"/>
      <c r="U63" s="42"/>
      <c r="V63" s="42"/>
      <c r="W63" s="44"/>
      <c r="AB63" s="42"/>
      <c r="AC63" s="42"/>
      <c r="AD63" s="42"/>
      <c r="AE63" s="42"/>
      <c r="AF63" s="42"/>
      <c r="AG63" s="42"/>
      <c r="AH63" s="42"/>
      <c r="AI63" s="42"/>
      <c r="AJ63" s="42"/>
      <c r="AK63" s="42"/>
    </row>
    <row r="64" spans="4:37" x14ac:dyDescent="0.25"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5"/>
      <c r="Q64" s="43"/>
      <c r="S64" s="43"/>
      <c r="T64" s="42"/>
      <c r="U64" s="42"/>
      <c r="V64" s="42"/>
      <c r="W64" s="44"/>
      <c r="AB64" s="42"/>
      <c r="AC64" s="42"/>
      <c r="AD64" s="42"/>
      <c r="AE64" s="42"/>
      <c r="AF64" s="42"/>
      <c r="AG64" s="42"/>
      <c r="AH64" s="42"/>
      <c r="AI64" s="42"/>
      <c r="AJ64" s="42"/>
      <c r="AK64" s="42"/>
    </row>
    <row r="65" spans="4:37" x14ac:dyDescent="0.25"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5"/>
      <c r="Q65" s="43"/>
      <c r="S65" s="43"/>
      <c r="T65" s="42"/>
      <c r="U65" s="42"/>
      <c r="V65" s="42"/>
      <c r="W65" s="44"/>
      <c r="AB65" s="42"/>
      <c r="AC65" s="42"/>
      <c r="AD65" s="42"/>
      <c r="AE65" s="42"/>
      <c r="AF65" s="42"/>
      <c r="AG65" s="42"/>
      <c r="AH65" s="42"/>
      <c r="AI65" s="42"/>
      <c r="AJ65" s="42"/>
      <c r="AK65" s="42"/>
    </row>
    <row r="66" spans="4:37" x14ac:dyDescent="0.25"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5"/>
      <c r="Q66" s="43"/>
      <c r="S66" s="43"/>
      <c r="T66" s="42"/>
      <c r="U66" s="42"/>
      <c r="V66" s="42"/>
      <c r="W66" s="44"/>
      <c r="AB66" s="42"/>
      <c r="AC66" s="42"/>
      <c r="AD66" s="42"/>
      <c r="AE66" s="42"/>
      <c r="AF66" s="42"/>
      <c r="AG66" s="42"/>
      <c r="AH66" s="42"/>
      <c r="AI66" s="42"/>
      <c r="AJ66" s="42"/>
      <c r="AK66" s="42"/>
    </row>
    <row r="67" spans="4:37" x14ac:dyDescent="0.25"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5"/>
      <c r="Q67" s="43"/>
      <c r="S67" s="43"/>
      <c r="T67" s="42"/>
      <c r="U67" s="42"/>
      <c r="V67" s="42"/>
      <c r="W67" s="44"/>
      <c r="AB67" s="42"/>
      <c r="AC67" s="42"/>
      <c r="AD67" s="42"/>
      <c r="AE67" s="42"/>
      <c r="AF67" s="42"/>
      <c r="AG67" s="42"/>
      <c r="AH67" s="42"/>
      <c r="AI67" s="42"/>
      <c r="AJ67" s="42"/>
      <c r="AK67" s="42"/>
    </row>
    <row r="68" spans="4:37" x14ac:dyDescent="0.25"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5"/>
      <c r="Q68" s="43"/>
      <c r="S68" s="43"/>
      <c r="T68" s="42"/>
      <c r="U68" s="42"/>
      <c r="V68" s="42"/>
      <c r="W68" s="44"/>
      <c r="AB68" s="42"/>
      <c r="AC68" s="42"/>
      <c r="AD68" s="42"/>
      <c r="AE68" s="42"/>
      <c r="AF68" s="42"/>
      <c r="AG68" s="42"/>
      <c r="AH68" s="42"/>
      <c r="AI68" s="42"/>
      <c r="AJ68" s="42"/>
      <c r="AK68" s="42"/>
    </row>
    <row r="69" spans="4:37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5"/>
      <c r="Q69" s="43"/>
      <c r="S69" s="43"/>
      <c r="T69" s="42"/>
      <c r="U69" s="42"/>
      <c r="V69" s="42"/>
      <c r="W69" s="44"/>
      <c r="AB69" s="42"/>
      <c r="AC69" s="42"/>
      <c r="AD69" s="42"/>
      <c r="AE69" s="42"/>
      <c r="AF69" s="42"/>
      <c r="AG69" s="42"/>
      <c r="AH69" s="42"/>
      <c r="AI69" s="42"/>
      <c r="AJ69" s="42"/>
      <c r="AK69" s="42"/>
    </row>
    <row r="70" spans="4:37" x14ac:dyDescent="0.25"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5"/>
      <c r="Q70" s="43"/>
      <c r="S70" s="43"/>
      <c r="T70" s="42"/>
      <c r="U70" s="42"/>
      <c r="V70" s="42"/>
      <c r="W70" s="44"/>
      <c r="AB70" s="42"/>
      <c r="AC70" s="42"/>
      <c r="AD70" s="42"/>
      <c r="AE70" s="42"/>
      <c r="AF70" s="42"/>
      <c r="AG70" s="42"/>
      <c r="AH70" s="42"/>
      <c r="AI70" s="42"/>
      <c r="AJ70" s="42"/>
      <c r="AK70" s="42"/>
    </row>
    <row r="71" spans="4:37" x14ac:dyDescent="0.25"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5"/>
      <c r="Q71" s="43"/>
      <c r="S71" s="43"/>
      <c r="T71" s="42"/>
      <c r="U71" s="42"/>
      <c r="V71" s="42"/>
      <c r="W71" s="44"/>
      <c r="AB71" s="42"/>
      <c r="AC71" s="42"/>
      <c r="AD71" s="42"/>
      <c r="AE71" s="42"/>
      <c r="AF71" s="42"/>
      <c r="AG71" s="42"/>
      <c r="AH71" s="42"/>
      <c r="AI71" s="42"/>
      <c r="AJ71" s="42"/>
      <c r="AK71" s="42"/>
    </row>
    <row r="72" spans="4:37" x14ac:dyDescent="0.25"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5"/>
      <c r="Q72" s="43"/>
      <c r="S72" s="43"/>
      <c r="T72" s="42"/>
      <c r="U72" s="42"/>
      <c r="V72" s="42"/>
      <c r="W72" s="44"/>
      <c r="AB72" s="42"/>
      <c r="AC72" s="42"/>
      <c r="AD72" s="42"/>
      <c r="AE72" s="42"/>
      <c r="AF72" s="42"/>
      <c r="AG72" s="42"/>
      <c r="AH72" s="42"/>
      <c r="AI72" s="42"/>
      <c r="AJ72" s="42"/>
      <c r="AK72" s="42"/>
    </row>
    <row r="73" spans="4:37" x14ac:dyDescent="0.25"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5"/>
      <c r="Q73" s="43"/>
      <c r="S73" s="43"/>
      <c r="T73" s="42"/>
      <c r="U73" s="42"/>
      <c r="V73" s="42"/>
      <c r="W73" s="44"/>
      <c r="AB73" s="42"/>
      <c r="AC73" s="42"/>
      <c r="AD73" s="42"/>
      <c r="AE73" s="42"/>
      <c r="AF73" s="42"/>
      <c r="AG73" s="42"/>
      <c r="AH73" s="42"/>
      <c r="AI73" s="42"/>
      <c r="AJ73" s="42"/>
      <c r="AK73" s="42"/>
    </row>
    <row r="74" spans="4:37" x14ac:dyDescent="0.25"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5"/>
      <c r="Q74" s="43"/>
      <c r="S74" s="43"/>
      <c r="T74" s="42"/>
      <c r="U74" s="42"/>
      <c r="V74" s="42"/>
      <c r="W74" s="44"/>
      <c r="AB74" s="42"/>
      <c r="AC74" s="42"/>
      <c r="AD74" s="42"/>
      <c r="AE74" s="42"/>
      <c r="AF74" s="42"/>
      <c r="AG74" s="42"/>
      <c r="AH74" s="42"/>
      <c r="AI74" s="42"/>
      <c r="AJ74" s="42"/>
      <c r="AK74" s="42"/>
    </row>
    <row r="75" spans="4:37" x14ac:dyDescent="0.25"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5"/>
      <c r="Q75" s="43"/>
      <c r="S75" s="43"/>
      <c r="T75" s="42"/>
      <c r="U75" s="42"/>
      <c r="V75" s="42"/>
      <c r="W75" s="44"/>
      <c r="AB75" s="42"/>
      <c r="AC75" s="42"/>
      <c r="AD75" s="42"/>
      <c r="AE75" s="42"/>
      <c r="AF75" s="42"/>
      <c r="AG75" s="42"/>
      <c r="AH75" s="42"/>
      <c r="AI75" s="42"/>
      <c r="AJ75" s="42"/>
      <c r="AK75" s="42"/>
    </row>
    <row r="76" spans="4:37" x14ac:dyDescent="0.25"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5"/>
      <c r="Q76" s="43"/>
      <c r="S76" s="43"/>
      <c r="T76" s="42"/>
      <c r="U76" s="42"/>
      <c r="V76" s="42"/>
      <c r="W76" s="44"/>
      <c r="AB76" s="42"/>
      <c r="AC76" s="42"/>
      <c r="AD76" s="42"/>
      <c r="AE76" s="42"/>
      <c r="AF76" s="42"/>
      <c r="AG76" s="42"/>
      <c r="AH76" s="42"/>
      <c r="AI76" s="42"/>
      <c r="AJ76" s="42"/>
      <c r="AK76" s="42"/>
    </row>
    <row r="77" spans="4:37" x14ac:dyDescent="0.25"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5"/>
      <c r="Q77" s="43"/>
      <c r="S77" s="43"/>
      <c r="T77" s="42"/>
      <c r="U77" s="42"/>
      <c r="V77" s="42"/>
      <c r="W77" s="44"/>
      <c r="AB77" s="42"/>
      <c r="AC77" s="42"/>
      <c r="AD77" s="42"/>
      <c r="AE77" s="42"/>
      <c r="AF77" s="42"/>
      <c r="AG77" s="42"/>
      <c r="AH77" s="42"/>
      <c r="AI77" s="42"/>
      <c r="AJ77" s="42"/>
      <c r="AK77" s="42"/>
    </row>
    <row r="78" spans="4:37" x14ac:dyDescent="0.25"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5"/>
      <c r="Q78" s="43"/>
      <c r="S78" s="43"/>
      <c r="T78" s="42"/>
      <c r="U78" s="42"/>
      <c r="V78" s="42"/>
      <c r="W78" s="44"/>
      <c r="AB78" s="42"/>
      <c r="AC78" s="42"/>
      <c r="AD78" s="42"/>
      <c r="AE78" s="42"/>
      <c r="AF78" s="42"/>
      <c r="AG78" s="42"/>
      <c r="AH78" s="42"/>
      <c r="AI78" s="42"/>
      <c r="AJ78" s="42"/>
      <c r="AK78" s="42"/>
    </row>
    <row r="79" spans="4:37" x14ac:dyDescent="0.25"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5"/>
      <c r="Q79" s="43"/>
      <c r="S79" s="43"/>
      <c r="T79" s="42"/>
      <c r="U79" s="42"/>
      <c r="V79" s="42"/>
      <c r="W79" s="44"/>
      <c r="AB79" s="42"/>
      <c r="AC79" s="42"/>
      <c r="AD79" s="42"/>
      <c r="AE79" s="42"/>
      <c r="AF79" s="42"/>
      <c r="AG79" s="42"/>
      <c r="AH79" s="42"/>
      <c r="AI79" s="42"/>
      <c r="AJ79" s="42"/>
      <c r="AK79" s="42"/>
    </row>
    <row r="80" spans="4:37" x14ac:dyDescent="0.25"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5"/>
      <c r="Q80" s="43"/>
      <c r="S80" s="43"/>
      <c r="T80" s="42"/>
      <c r="U80" s="42"/>
      <c r="V80" s="42"/>
      <c r="W80" s="44"/>
      <c r="AB80" s="42"/>
      <c r="AC80" s="42"/>
      <c r="AD80" s="42"/>
      <c r="AE80" s="42"/>
      <c r="AF80" s="42"/>
      <c r="AG80" s="42"/>
      <c r="AH80" s="42"/>
      <c r="AI80" s="42"/>
      <c r="AJ80" s="42"/>
      <c r="AK80" s="42"/>
    </row>
    <row r="81" spans="4:37" x14ac:dyDescent="0.25"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5"/>
      <c r="Q81" s="43"/>
      <c r="S81" s="43"/>
      <c r="T81" s="42"/>
      <c r="U81" s="42"/>
      <c r="V81" s="42"/>
      <c r="W81" s="44"/>
      <c r="AB81" s="42"/>
      <c r="AC81" s="42"/>
      <c r="AD81" s="42"/>
      <c r="AE81" s="42"/>
      <c r="AF81" s="42"/>
      <c r="AG81" s="42"/>
      <c r="AH81" s="42"/>
      <c r="AI81" s="42"/>
      <c r="AJ81" s="42"/>
      <c r="AK81" s="42"/>
    </row>
    <row r="82" spans="4:37" x14ac:dyDescent="0.25"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5"/>
      <c r="Q82" s="43"/>
      <c r="S82" s="43"/>
      <c r="T82" s="42"/>
      <c r="U82" s="42"/>
      <c r="V82" s="42"/>
      <c r="W82" s="44"/>
      <c r="AB82" s="42"/>
      <c r="AC82" s="42"/>
      <c r="AD82" s="42"/>
      <c r="AE82" s="42"/>
      <c r="AF82" s="42"/>
      <c r="AG82" s="42"/>
      <c r="AH82" s="42"/>
      <c r="AI82" s="42"/>
      <c r="AJ82" s="42"/>
      <c r="AK82" s="42"/>
    </row>
    <row r="83" spans="4:37" x14ac:dyDescent="0.25"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5"/>
      <c r="Q83" s="43"/>
      <c r="S83" s="43"/>
      <c r="T83" s="42"/>
      <c r="U83" s="42"/>
      <c r="V83" s="42"/>
      <c r="W83" s="44"/>
      <c r="AB83" s="42"/>
      <c r="AC83" s="42"/>
      <c r="AD83" s="42"/>
      <c r="AE83" s="42"/>
      <c r="AF83" s="42"/>
      <c r="AG83" s="42"/>
      <c r="AH83" s="42"/>
      <c r="AI83" s="42"/>
      <c r="AJ83" s="42"/>
      <c r="AK83" s="4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7E5E-5DC1-46CC-BBDE-15661EBBEDFD}">
  <sheetPr>
    <tabColor theme="9"/>
  </sheetPr>
  <dimension ref="C1:AE105"/>
  <sheetViews>
    <sheetView zoomScaleNormal="100" workbookViewId="0">
      <selection activeCell="E4" sqref="E4"/>
    </sheetView>
  </sheetViews>
  <sheetFormatPr defaultColWidth="9.140625" defaultRowHeight="15" x14ac:dyDescent="0.25"/>
  <cols>
    <col min="1" max="1" width="9.140625" style="254"/>
    <col min="2" max="2" width="9.140625" style="254" customWidth="1"/>
    <col min="3" max="3" width="20.7109375" style="254" customWidth="1"/>
    <col min="4" max="10" width="3.42578125" style="254" customWidth="1"/>
    <col min="11" max="11" width="4" style="254" customWidth="1"/>
    <col min="12" max="12" width="4.42578125" style="254" customWidth="1"/>
    <col min="13" max="13" width="29.85546875" style="254" customWidth="1"/>
    <col min="14" max="14" width="4" style="254" customWidth="1"/>
    <col min="15" max="16" width="3.42578125" style="254" customWidth="1"/>
    <col min="17" max="17" width="3.7109375" style="254" customWidth="1"/>
    <col min="18" max="18" width="3.85546875" style="254" customWidth="1"/>
    <col min="19" max="19" width="4" style="254" customWidth="1"/>
    <col min="20" max="20" width="25.42578125" style="254" customWidth="1"/>
    <col min="21" max="27" width="3.42578125" style="254" customWidth="1"/>
    <col min="28" max="16384" width="9.140625" style="254"/>
  </cols>
  <sheetData>
    <row r="1" spans="3:31" x14ac:dyDescent="0.25">
      <c r="N1" s="254" t="s">
        <v>127</v>
      </c>
      <c r="U1" s="254" t="s">
        <v>162</v>
      </c>
    </row>
    <row r="2" spans="3:31" ht="84" customHeight="1" x14ac:dyDescent="0.25">
      <c r="C2" s="257"/>
      <c r="D2" s="279" t="s">
        <v>204</v>
      </c>
      <c r="E2" s="340" t="s">
        <v>628</v>
      </c>
      <c r="F2" s="279" t="s">
        <v>202</v>
      </c>
      <c r="G2" s="236" t="s">
        <v>583</v>
      </c>
      <c r="H2" s="279"/>
      <c r="I2" s="279"/>
      <c r="J2" s="279"/>
      <c r="K2" s="281"/>
      <c r="L2" s="280"/>
      <c r="M2" s="257"/>
      <c r="O2" s="279" t="s">
        <v>467</v>
      </c>
      <c r="P2" s="279"/>
      <c r="U2" s="279"/>
      <c r="V2" s="279"/>
      <c r="W2" s="279"/>
      <c r="X2" s="279"/>
      <c r="Y2" s="279"/>
      <c r="Z2" s="279"/>
      <c r="AA2" s="279"/>
    </row>
    <row r="3" spans="3:31" ht="141" customHeight="1" x14ac:dyDescent="0.25">
      <c r="C3" s="257" t="s">
        <v>126</v>
      </c>
      <c r="D3" s="279" t="s">
        <v>205</v>
      </c>
      <c r="E3" s="340" t="s">
        <v>630</v>
      </c>
      <c r="F3" s="279" t="s">
        <v>203</v>
      </c>
      <c r="G3" s="279" t="s">
        <v>208</v>
      </c>
      <c r="H3" s="279"/>
      <c r="I3" s="279"/>
      <c r="J3" s="279"/>
      <c r="K3" s="281"/>
      <c r="L3" s="280"/>
      <c r="M3" s="257" t="s">
        <v>125</v>
      </c>
      <c r="O3" s="279" t="s">
        <v>210</v>
      </c>
      <c r="P3" s="279"/>
      <c r="U3" s="279"/>
      <c r="V3" s="279"/>
      <c r="W3" s="279"/>
      <c r="X3" s="279"/>
      <c r="Y3" s="279"/>
      <c r="Z3" s="279"/>
      <c r="AA3" s="279"/>
    </row>
    <row r="4" spans="3:31" x14ac:dyDescent="0.25">
      <c r="D4" s="255"/>
      <c r="E4" s="255"/>
      <c r="F4" s="255"/>
      <c r="G4" s="255"/>
      <c r="H4" s="255"/>
      <c r="I4" s="255"/>
      <c r="J4" s="255"/>
      <c r="K4" s="258"/>
      <c r="L4" s="257"/>
      <c r="O4" s="255"/>
      <c r="P4" s="255"/>
      <c r="U4" s="255"/>
      <c r="V4" s="255"/>
      <c r="W4" s="255"/>
      <c r="X4" s="255"/>
      <c r="Y4" s="255"/>
      <c r="Z4" s="255"/>
      <c r="AA4" s="255"/>
    </row>
    <row r="5" spans="3:31" x14ac:dyDescent="0.25">
      <c r="D5" s="255"/>
      <c r="E5" s="260"/>
      <c r="F5" s="269"/>
      <c r="G5" s="260"/>
      <c r="H5" s="260"/>
      <c r="I5" s="260"/>
      <c r="J5" s="269"/>
      <c r="K5" s="270"/>
      <c r="L5" s="269"/>
      <c r="M5" s="271" t="s">
        <v>461</v>
      </c>
      <c r="N5" s="270"/>
      <c r="O5" s="269"/>
      <c r="P5" s="278"/>
      <c r="U5" s="255"/>
      <c r="V5" s="255"/>
      <c r="W5" s="255"/>
      <c r="X5" s="255"/>
      <c r="Y5" s="255"/>
      <c r="Z5" s="255"/>
      <c r="AA5" s="255"/>
      <c r="AE5" s="277"/>
    </row>
    <row r="6" spans="3:31" x14ac:dyDescent="0.25">
      <c r="C6" s="257"/>
      <c r="D6" s="255"/>
      <c r="E6" s="255"/>
      <c r="F6" s="264"/>
      <c r="G6" s="264"/>
      <c r="H6" s="262"/>
      <c r="I6" s="264"/>
      <c r="J6" s="262"/>
      <c r="K6" s="263"/>
      <c r="L6" s="262"/>
      <c r="M6" s="268"/>
      <c r="N6" s="267"/>
      <c r="O6" s="266"/>
      <c r="P6" s="256"/>
      <c r="U6" s="255"/>
      <c r="V6" s="255"/>
      <c r="W6" s="255"/>
      <c r="X6" s="255"/>
      <c r="Y6" s="255"/>
      <c r="Z6" s="255"/>
      <c r="AA6" s="255"/>
      <c r="AE6" s="265"/>
    </row>
    <row r="7" spans="3:31" x14ac:dyDescent="0.25">
      <c r="C7" s="257"/>
      <c r="D7" s="255"/>
      <c r="E7" s="255"/>
      <c r="F7" s="255"/>
      <c r="G7" s="264"/>
      <c r="H7" s="262"/>
      <c r="I7" s="264"/>
      <c r="J7" s="262"/>
      <c r="K7" s="263"/>
      <c r="L7" s="262"/>
      <c r="M7" s="256" t="s">
        <v>209</v>
      </c>
      <c r="P7" s="256"/>
      <c r="U7" s="255"/>
      <c r="V7" s="255"/>
      <c r="W7" s="255"/>
      <c r="X7" s="255"/>
      <c r="Y7" s="255"/>
      <c r="Z7" s="255"/>
      <c r="AA7" s="255"/>
      <c r="AE7" s="276"/>
    </row>
    <row r="8" spans="3:31" x14ac:dyDescent="0.25">
      <c r="C8" s="257"/>
      <c r="D8" s="255"/>
      <c r="E8" s="255"/>
      <c r="F8" s="255"/>
      <c r="G8" s="255"/>
      <c r="H8" s="255"/>
      <c r="I8" s="255"/>
      <c r="J8" s="275"/>
      <c r="K8" s="267"/>
      <c r="L8" s="266"/>
      <c r="M8" s="261"/>
      <c r="N8" s="257"/>
      <c r="O8" s="257"/>
      <c r="P8" s="256"/>
      <c r="U8" s="255"/>
      <c r="V8" s="255"/>
      <c r="W8" s="255"/>
      <c r="X8" s="256"/>
      <c r="Y8" s="255"/>
      <c r="Z8" s="255"/>
      <c r="AA8" s="255"/>
      <c r="AE8" s="259"/>
    </row>
    <row r="9" spans="3:31" x14ac:dyDescent="0.25">
      <c r="C9" s="257"/>
      <c r="D9" s="255"/>
      <c r="E9" s="255"/>
      <c r="F9" s="255"/>
      <c r="G9" s="255"/>
      <c r="H9" s="255"/>
      <c r="I9" s="255"/>
      <c r="J9" s="255"/>
      <c r="K9" s="258"/>
      <c r="L9" s="257"/>
      <c r="M9" s="260" t="s">
        <v>462</v>
      </c>
      <c r="N9" s="257"/>
      <c r="O9" s="255"/>
      <c r="P9" s="256"/>
      <c r="U9" s="255"/>
      <c r="V9" s="255"/>
      <c r="W9" s="255"/>
      <c r="X9" s="255"/>
      <c r="Y9" s="255"/>
      <c r="Z9" s="255"/>
      <c r="AA9" s="255"/>
      <c r="AB9" s="274"/>
      <c r="AE9" s="273"/>
    </row>
    <row r="10" spans="3:31" x14ac:dyDescent="0.25">
      <c r="C10" s="257"/>
      <c r="D10" s="255"/>
      <c r="E10" s="255"/>
      <c r="F10" s="255"/>
      <c r="G10" s="255"/>
      <c r="H10" s="255"/>
      <c r="I10" s="255"/>
      <c r="J10" s="255"/>
      <c r="K10" s="258"/>
      <c r="L10" s="257"/>
      <c r="N10" s="257"/>
      <c r="O10" s="255"/>
      <c r="P10" s="256"/>
      <c r="U10" s="255"/>
      <c r="V10" s="255"/>
      <c r="W10" s="255"/>
      <c r="X10" s="255"/>
      <c r="Y10" s="255"/>
      <c r="Z10" s="255"/>
      <c r="AA10" s="255"/>
    </row>
    <row r="11" spans="3:31" x14ac:dyDescent="0.25">
      <c r="C11" s="257"/>
      <c r="D11" s="255"/>
      <c r="E11" s="255"/>
      <c r="F11" s="255"/>
      <c r="G11" s="255"/>
      <c r="H11" s="255"/>
      <c r="I11" s="255"/>
      <c r="J11" s="255"/>
      <c r="K11" s="258"/>
      <c r="L11" s="257"/>
      <c r="N11" s="257"/>
      <c r="O11" s="255"/>
      <c r="P11" s="256"/>
      <c r="U11" s="255"/>
      <c r="V11" s="255"/>
      <c r="W11" s="255"/>
      <c r="X11" s="255"/>
      <c r="Y11" s="255"/>
      <c r="Z11" s="255"/>
      <c r="AA11" s="255"/>
    </row>
    <row r="12" spans="3:31" x14ac:dyDescent="0.25">
      <c r="C12" s="257"/>
      <c r="D12" s="255"/>
      <c r="E12" s="260"/>
      <c r="F12" s="269"/>
      <c r="G12" s="260"/>
      <c r="H12" s="260"/>
      <c r="I12" s="260"/>
      <c r="J12" s="269"/>
      <c r="K12" s="270"/>
      <c r="L12" s="269"/>
      <c r="M12" s="271" t="s">
        <v>463</v>
      </c>
      <c r="N12" s="270"/>
      <c r="O12" s="269"/>
      <c r="P12" s="256"/>
      <c r="U12" s="255"/>
      <c r="V12" s="255"/>
      <c r="W12" s="255"/>
      <c r="X12" s="255"/>
      <c r="Y12" s="255"/>
      <c r="Z12" s="255"/>
      <c r="AA12" s="255"/>
    </row>
    <row r="13" spans="3:31" x14ac:dyDescent="0.25">
      <c r="C13" s="257"/>
      <c r="D13" s="255"/>
      <c r="E13" s="255"/>
      <c r="F13" s="264"/>
      <c r="G13" s="264"/>
      <c r="H13" s="262"/>
      <c r="I13" s="264"/>
      <c r="J13" s="262"/>
      <c r="K13" s="263"/>
      <c r="L13" s="262"/>
      <c r="M13" s="268"/>
      <c r="N13" s="267"/>
      <c r="O13" s="266"/>
      <c r="P13" s="256"/>
      <c r="U13" s="255"/>
      <c r="V13" s="255"/>
      <c r="W13" s="255"/>
      <c r="X13" s="255"/>
      <c r="Y13" s="255"/>
      <c r="Z13" s="255"/>
      <c r="AA13" s="255"/>
      <c r="AD13" s="272"/>
    </row>
    <row r="14" spans="3:31" x14ac:dyDescent="0.25">
      <c r="C14" s="257"/>
      <c r="D14" s="255"/>
      <c r="E14" s="255"/>
      <c r="F14" s="255"/>
      <c r="G14" s="264"/>
      <c r="H14" s="262"/>
      <c r="I14" s="264"/>
      <c r="J14" s="262"/>
      <c r="K14" s="263"/>
      <c r="L14" s="262"/>
      <c r="M14" s="261"/>
      <c r="P14" s="256"/>
      <c r="U14" s="255"/>
      <c r="V14" s="255"/>
      <c r="W14" s="255"/>
      <c r="X14" s="255"/>
      <c r="Y14" s="255"/>
      <c r="Z14" s="255"/>
      <c r="AA14" s="255"/>
    </row>
    <row r="15" spans="3:31" x14ac:dyDescent="0.25">
      <c r="C15" s="257"/>
      <c r="D15" s="255"/>
      <c r="E15" s="255"/>
      <c r="F15" s="255"/>
      <c r="G15" s="255"/>
      <c r="H15" s="255"/>
      <c r="I15" s="255"/>
      <c r="J15" s="255"/>
      <c r="K15" s="258"/>
      <c r="L15" s="257"/>
      <c r="M15" s="260" t="s">
        <v>464</v>
      </c>
      <c r="N15" s="257"/>
      <c r="O15" s="257"/>
      <c r="P15" s="256"/>
      <c r="U15" s="255"/>
      <c r="V15" s="255"/>
      <c r="W15" s="255"/>
      <c r="X15" s="255"/>
      <c r="Y15" s="255"/>
      <c r="Z15" s="255"/>
      <c r="AA15" s="255"/>
    </row>
    <row r="16" spans="3:31" x14ac:dyDescent="0.25">
      <c r="C16" s="257"/>
      <c r="D16" s="255"/>
      <c r="E16" s="255"/>
      <c r="F16" s="255"/>
      <c r="G16" s="255"/>
      <c r="H16" s="255"/>
      <c r="I16" s="255"/>
      <c r="J16" s="255"/>
      <c r="K16" s="258"/>
      <c r="L16" s="257"/>
      <c r="N16" s="257"/>
      <c r="O16" s="255"/>
      <c r="P16" s="256"/>
      <c r="U16" s="255"/>
      <c r="V16" s="255"/>
      <c r="W16" s="255"/>
      <c r="X16" s="255"/>
      <c r="Y16" s="255"/>
      <c r="Z16" s="255"/>
      <c r="AA16" s="255"/>
    </row>
    <row r="17" spans="3:30" x14ac:dyDescent="0.25">
      <c r="C17" s="257"/>
      <c r="D17" s="255"/>
      <c r="E17" s="255"/>
      <c r="F17" s="255"/>
      <c r="G17" s="255"/>
      <c r="H17" s="255"/>
      <c r="I17" s="255"/>
      <c r="J17" s="255"/>
      <c r="K17" s="258"/>
      <c r="L17" s="257"/>
      <c r="N17" s="257"/>
      <c r="O17" s="255"/>
      <c r="P17" s="256"/>
      <c r="U17" s="255"/>
      <c r="V17" s="255"/>
      <c r="W17" s="255"/>
      <c r="X17" s="255"/>
      <c r="Y17" s="255"/>
      <c r="Z17" s="255"/>
      <c r="AA17" s="255"/>
      <c r="AD17" s="272"/>
    </row>
    <row r="18" spans="3:30" x14ac:dyDescent="0.25">
      <c r="C18" s="257"/>
      <c r="D18" s="255"/>
      <c r="E18" s="260"/>
      <c r="F18" s="269"/>
      <c r="G18" s="260"/>
      <c r="H18" s="260"/>
      <c r="I18" s="260"/>
      <c r="J18" s="269"/>
      <c r="K18" s="270"/>
      <c r="L18" s="269"/>
      <c r="M18" s="271" t="s">
        <v>465</v>
      </c>
      <c r="N18" s="270"/>
      <c r="O18" s="269"/>
      <c r="P18" s="256"/>
      <c r="U18" s="255"/>
      <c r="V18" s="255"/>
      <c r="W18" s="255"/>
      <c r="X18" s="255"/>
      <c r="Y18" s="255"/>
      <c r="Z18" s="255"/>
      <c r="AA18" s="255"/>
      <c r="AD18" s="265"/>
    </row>
    <row r="19" spans="3:30" x14ac:dyDescent="0.25">
      <c r="C19" s="257"/>
      <c r="D19" s="255"/>
      <c r="E19" s="255"/>
      <c r="F19" s="264"/>
      <c r="G19" s="264"/>
      <c r="H19" s="262"/>
      <c r="I19" s="264"/>
      <c r="J19" s="262"/>
      <c r="K19" s="263"/>
      <c r="L19" s="262"/>
      <c r="M19" s="268"/>
      <c r="N19" s="267"/>
      <c r="O19" s="266"/>
      <c r="P19" s="256"/>
      <c r="U19" s="255"/>
      <c r="V19" s="255"/>
      <c r="W19" s="255"/>
      <c r="X19" s="255"/>
      <c r="Y19" s="255"/>
      <c r="Z19" s="255"/>
      <c r="AA19" s="255"/>
      <c r="AD19" s="265"/>
    </row>
    <row r="20" spans="3:30" x14ac:dyDescent="0.25">
      <c r="C20" s="257"/>
      <c r="D20" s="255"/>
      <c r="E20" s="255"/>
      <c r="F20" s="255"/>
      <c r="G20" s="264"/>
      <c r="H20" s="262"/>
      <c r="I20" s="264"/>
      <c r="J20" s="262"/>
      <c r="K20" s="263"/>
      <c r="L20" s="262"/>
      <c r="M20" s="261"/>
      <c r="P20" s="256"/>
      <c r="U20" s="255"/>
      <c r="V20" s="255"/>
      <c r="W20" s="255"/>
      <c r="X20" s="255"/>
      <c r="Y20" s="255"/>
      <c r="Z20" s="255"/>
      <c r="AA20" s="255"/>
      <c r="AD20" s="265"/>
    </row>
    <row r="21" spans="3:30" x14ac:dyDescent="0.25">
      <c r="C21" s="257"/>
      <c r="D21" s="255"/>
      <c r="E21" s="255"/>
      <c r="F21" s="255"/>
      <c r="G21" s="255"/>
      <c r="H21" s="264"/>
      <c r="I21" s="262"/>
      <c r="J21" s="262"/>
      <c r="K21" s="263"/>
      <c r="L21" s="262"/>
      <c r="M21" s="261"/>
      <c r="N21" s="257"/>
      <c r="O21" s="257"/>
      <c r="P21" s="256"/>
      <c r="U21" s="255"/>
      <c r="V21" s="255"/>
      <c r="W21" s="255"/>
      <c r="X21" s="255"/>
      <c r="Y21" s="255"/>
      <c r="Z21" s="255"/>
      <c r="AA21" s="255"/>
      <c r="AD21" s="259"/>
    </row>
    <row r="22" spans="3:30" x14ac:dyDescent="0.25">
      <c r="C22" s="257"/>
      <c r="D22" s="255"/>
      <c r="E22" s="255"/>
      <c r="F22" s="255"/>
      <c r="G22" s="255"/>
      <c r="H22" s="255"/>
      <c r="I22" s="255"/>
      <c r="J22" s="255"/>
      <c r="K22" s="258"/>
      <c r="L22" s="257"/>
      <c r="M22" s="260" t="s">
        <v>466</v>
      </c>
      <c r="N22" s="257"/>
      <c r="O22" s="255"/>
      <c r="P22" s="256"/>
      <c r="U22" s="255"/>
      <c r="V22" s="255"/>
      <c r="W22" s="255"/>
      <c r="X22" s="255"/>
      <c r="Y22" s="255"/>
      <c r="Z22" s="255"/>
      <c r="AA22" s="255"/>
    </row>
    <row r="23" spans="3:30" x14ac:dyDescent="0.25">
      <c r="C23" s="257"/>
      <c r="D23" s="255"/>
      <c r="E23" s="255"/>
      <c r="F23" s="255"/>
      <c r="G23" s="255"/>
      <c r="H23" s="255"/>
      <c r="I23" s="255"/>
      <c r="J23" s="255"/>
      <c r="K23" s="258"/>
      <c r="L23" s="257"/>
      <c r="N23" s="257"/>
      <c r="O23" s="255"/>
      <c r="P23" s="256"/>
      <c r="U23" s="255"/>
      <c r="V23" s="255"/>
      <c r="W23" s="255"/>
      <c r="X23" s="255"/>
      <c r="Y23" s="255"/>
      <c r="Z23" s="255"/>
      <c r="AA23" s="255"/>
    </row>
    <row r="24" spans="3:30" x14ac:dyDescent="0.25">
      <c r="C24" s="257"/>
      <c r="D24" s="255"/>
      <c r="E24" s="255"/>
      <c r="F24" s="255"/>
      <c r="G24" s="255"/>
      <c r="H24" s="255"/>
      <c r="I24" s="255"/>
      <c r="J24" s="255"/>
      <c r="K24" s="258"/>
      <c r="L24" s="257"/>
      <c r="N24" s="257"/>
      <c r="O24" s="255"/>
      <c r="P24" s="256"/>
      <c r="U24" s="255"/>
      <c r="V24" s="255"/>
      <c r="W24" s="255"/>
      <c r="X24" s="255"/>
      <c r="Y24" s="255"/>
      <c r="Z24" s="255"/>
      <c r="AA24" s="255"/>
      <c r="AD24" s="259"/>
    </row>
    <row r="25" spans="3:30" x14ac:dyDescent="0.25">
      <c r="C25" s="257"/>
      <c r="D25" s="255"/>
      <c r="E25" s="255"/>
      <c r="F25" s="255"/>
      <c r="G25" s="255"/>
      <c r="H25" s="255"/>
      <c r="I25" s="255"/>
      <c r="J25" s="255"/>
      <c r="K25" s="258"/>
      <c r="L25" s="257"/>
      <c r="N25" s="257"/>
      <c r="O25" s="255"/>
      <c r="P25" s="256"/>
      <c r="U25" s="255"/>
      <c r="V25" s="255"/>
      <c r="W25" s="255"/>
      <c r="X25" s="255"/>
      <c r="Y25" s="255"/>
      <c r="Z25" s="255"/>
      <c r="AA25" s="255"/>
    </row>
    <row r="26" spans="3:30" x14ac:dyDescent="0.25">
      <c r="C26" s="257"/>
      <c r="D26" s="255"/>
      <c r="E26" s="255"/>
      <c r="F26" s="255"/>
      <c r="G26" s="255"/>
      <c r="H26" s="255"/>
      <c r="I26" s="255"/>
      <c r="J26" s="255"/>
      <c r="K26" s="258"/>
      <c r="L26" s="257"/>
      <c r="N26" s="257"/>
      <c r="O26" s="255"/>
      <c r="P26" s="256"/>
      <c r="U26" s="255"/>
      <c r="V26" s="255"/>
      <c r="W26" s="255"/>
      <c r="X26" s="255"/>
      <c r="Y26" s="255"/>
      <c r="Z26" s="255"/>
      <c r="AA26" s="255"/>
    </row>
    <row r="27" spans="3:30" x14ac:dyDescent="0.25">
      <c r="C27" s="257"/>
      <c r="D27" s="255"/>
      <c r="E27" s="255"/>
      <c r="F27" s="255"/>
      <c r="G27" s="255"/>
      <c r="H27" s="255"/>
      <c r="I27" s="255"/>
      <c r="J27" s="255"/>
      <c r="K27" s="258"/>
      <c r="L27" s="257"/>
      <c r="N27" s="257"/>
      <c r="O27" s="255"/>
      <c r="P27" s="256"/>
      <c r="U27" s="255"/>
      <c r="V27" s="255"/>
      <c r="W27" s="255"/>
      <c r="X27" s="255"/>
      <c r="Y27" s="255"/>
      <c r="Z27" s="255"/>
      <c r="AA27" s="255"/>
    </row>
    <row r="28" spans="3:30" x14ac:dyDescent="0.25">
      <c r="C28" s="257"/>
      <c r="D28" s="255"/>
      <c r="E28" s="255"/>
      <c r="F28" s="255"/>
      <c r="G28" s="255"/>
      <c r="H28" s="255"/>
      <c r="I28" s="255"/>
      <c r="J28" s="255"/>
      <c r="K28" s="258"/>
      <c r="L28" s="257"/>
      <c r="N28" s="257"/>
      <c r="O28" s="255"/>
      <c r="P28" s="256"/>
      <c r="U28" s="255"/>
      <c r="V28" s="255"/>
      <c r="W28" s="255"/>
      <c r="X28" s="255"/>
      <c r="Y28" s="255"/>
      <c r="Z28" s="255"/>
      <c r="AA28" s="255"/>
    </row>
    <row r="29" spans="3:30" x14ac:dyDescent="0.25">
      <c r="C29" s="257"/>
      <c r="D29" s="255"/>
      <c r="E29" s="255"/>
      <c r="F29" s="255"/>
      <c r="G29" s="255"/>
      <c r="H29" s="255"/>
      <c r="I29" s="255"/>
      <c r="J29" s="255"/>
      <c r="K29" s="258"/>
      <c r="L29" s="257"/>
      <c r="N29" s="257"/>
      <c r="O29" s="255"/>
      <c r="P29" s="256"/>
      <c r="U29" s="255"/>
      <c r="V29" s="255"/>
      <c r="W29" s="255"/>
      <c r="X29" s="255"/>
      <c r="Y29" s="255"/>
      <c r="Z29" s="255"/>
      <c r="AA29" s="255"/>
    </row>
    <row r="30" spans="3:30" x14ac:dyDescent="0.25">
      <c r="C30" s="257"/>
      <c r="D30" s="255"/>
      <c r="E30" s="255"/>
      <c r="F30" s="255"/>
      <c r="G30" s="255"/>
      <c r="H30" s="255"/>
      <c r="I30" s="255"/>
      <c r="J30" s="255"/>
      <c r="K30" s="258"/>
      <c r="L30" s="257"/>
      <c r="N30" s="257"/>
      <c r="O30" s="255"/>
      <c r="P30" s="256"/>
      <c r="U30" s="255"/>
      <c r="V30" s="255"/>
      <c r="W30" s="255"/>
      <c r="X30" s="255"/>
      <c r="Y30" s="255"/>
      <c r="Z30" s="255"/>
      <c r="AA30" s="255"/>
    </row>
    <row r="31" spans="3:30" x14ac:dyDescent="0.25">
      <c r="C31" s="257"/>
      <c r="D31" s="255"/>
      <c r="E31" s="255"/>
      <c r="F31" s="255"/>
      <c r="G31" s="255"/>
      <c r="H31" s="255"/>
      <c r="I31" s="255"/>
      <c r="J31" s="255"/>
      <c r="K31" s="258"/>
      <c r="L31" s="257"/>
      <c r="N31" s="257"/>
      <c r="O31" s="255"/>
      <c r="P31" s="256"/>
      <c r="U31" s="255"/>
      <c r="V31" s="255"/>
      <c r="W31" s="255"/>
      <c r="X31" s="255"/>
      <c r="Y31" s="255"/>
      <c r="Z31" s="255"/>
      <c r="AA31" s="255"/>
    </row>
    <row r="32" spans="3:30" x14ac:dyDescent="0.25">
      <c r="C32" s="257"/>
      <c r="D32" s="255"/>
      <c r="E32" s="255"/>
      <c r="F32" s="255"/>
      <c r="G32" s="255"/>
      <c r="H32" s="255"/>
      <c r="I32" s="255"/>
      <c r="J32" s="255"/>
      <c r="K32" s="258"/>
      <c r="L32" s="257"/>
      <c r="N32" s="257"/>
      <c r="O32" s="255"/>
      <c r="P32" s="256"/>
      <c r="U32" s="255"/>
      <c r="V32" s="255"/>
      <c r="W32" s="255"/>
      <c r="X32" s="255"/>
      <c r="Y32" s="255"/>
      <c r="Z32" s="255"/>
      <c r="AA32" s="255"/>
    </row>
    <row r="33" spans="3:27" x14ac:dyDescent="0.25">
      <c r="C33" s="257"/>
      <c r="D33" s="255"/>
      <c r="E33" s="255"/>
      <c r="F33" s="255"/>
      <c r="G33" s="255"/>
      <c r="H33" s="255"/>
      <c r="I33" s="255"/>
      <c r="J33" s="255"/>
      <c r="K33" s="258"/>
      <c r="L33" s="257"/>
      <c r="N33" s="257"/>
      <c r="O33" s="255"/>
      <c r="P33" s="256"/>
      <c r="U33" s="255"/>
      <c r="V33" s="255"/>
      <c r="W33" s="255"/>
      <c r="X33" s="255"/>
      <c r="Y33" s="255"/>
      <c r="Z33" s="255"/>
      <c r="AA33" s="255"/>
    </row>
    <row r="34" spans="3:27" x14ac:dyDescent="0.25">
      <c r="C34" s="257"/>
      <c r="D34" s="255"/>
      <c r="E34" s="255"/>
      <c r="F34" s="255"/>
      <c r="G34" s="255"/>
      <c r="H34" s="255"/>
      <c r="I34" s="255"/>
      <c r="J34" s="255"/>
      <c r="K34" s="258"/>
      <c r="L34" s="257"/>
      <c r="N34" s="257"/>
      <c r="O34" s="255"/>
      <c r="P34" s="256"/>
      <c r="U34" s="255"/>
      <c r="V34" s="255"/>
      <c r="W34" s="255"/>
      <c r="X34" s="255"/>
      <c r="Y34" s="255"/>
      <c r="Z34" s="255"/>
      <c r="AA34" s="255"/>
    </row>
    <row r="35" spans="3:27" x14ac:dyDescent="0.25">
      <c r="C35" s="257"/>
      <c r="D35" s="255"/>
      <c r="E35" s="255"/>
      <c r="F35" s="255"/>
      <c r="G35" s="255"/>
      <c r="H35" s="255"/>
      <c r="I35" s="255"/>
      <c r="J35" s="255"/>
      <c r="K35" s="258"/>
      <c r="L35" s="257"/>
      <c r="N35" s="257"/>
      <c r="O35" s="255"/>
      <c r="P35" s="256"/>
      <c r="U35" s="255"/>
      <c r="V35" s="255"/>
      <c r="W35" s="255"/>
      <c r="X35" s="255"/>
      <c r="Y35" s="255"/>
      <c r="Z35" s="255"/>
      <c r="AA35" s="255"/>
    </row>
    <row r="36" spans="3:27" x14ac:dyDescent="0.25">
      <c r="C36" s="257"/>
      <c r="D36" s="255"/>
      <c r="E36" s="255"/>
      <c r="F36" s="255"/>
      <c r="G36" s="255"/>
      <c r="H36" s="255"/>
      <c r="I36" s="255"/>
      <c r="J36" s="255"/>
      <c r="K36" s="258"/>
      <c r="L36" s="257"/>
      <c r="N36" s="257"/>
      <c r="O36" s="255"/>
      <c r="P36" s="256"/>
      <c r="U36" s="255"/>
      <c r="V36" s="255"/>
      <c r="W36" s="255"/>
      <c r="X36" s="255"/>
      <c r="Y36" s="255"/>
      <c r="Z36" s="255"/>
      <c r="AA36" s="255"/>
    </row>
    <row r="37" spans="3:27" x14ac:dyDescent="0.25">
      <c r="C37" s="257"/>
      <c r="D37" s="255"/>
      <c r="E37" s="255"/>
      <c r="F37" s="255"/>
      <c r="G37" s="255"/>
      <c r="H37" s="255"/>
      <c r="I37" s="255"/>
      <c r="J37" s="255"/>
      <c r="K37" s="258"/>
      <c r="L37" s="257"/>
      <c r="N37" s="257"/>
      <c r="O37" s="255"/>
      <c r="P37" s="256"/>
      <c r="U37" s="255"/>
      <c r="V37" s="255"/>
      <c r="W37" s="255"/>
      <c r="X37" s="255"/>
      <c r="Y37" s="255"/>
      <c r="Z37" s="255"/>
      <c r="AA37" s="255"/>
    </row>
    <row r="38" spans="3:27" x14ac:dyDescent="0.25">
      <c r="D38" s="255"/>
      <c r="E38" s="255"/>
      <c r="F38" s="255"/>
      <c r="G38" s="255"/>
      <c r="H38" s="255"/>
      <c r="I38" s="255"/>
      <c r="J38" s="255"/>
      <c r="K38" s="258"/>
      <c r="L38" s="257"/>
      <c r="N38" s="257"/>
      <c r="O38" s="255"/>
      <c r="P38" s="256"/>
      <c r="U38" s="255"/>
      <c r="V38" s="255"/>
      <c r="W38" s="255"/>
      <c r="X38" s="255"/>
      <c r="Y38" s="255"/>
      <c r="Z38" s="255"/>
      <c r="AA38" s="255"/>
    </row>
    <row r="39" spans="3:27" x14ac:dyDescent="0.25">
      <c r="D39" s="255"/>
      <c r="E39" s="255"/>
      <c r="F39" s="255"/>
      <c r="G39" s="255"/>
      <c r="H39" s="255"/>
      <c r="I39" s="255"/>
      <c r="J39" s="255"/>
      <c r="K39" s="258"/>
      <c r="L39" s="257"/>
      <c r="N39" s="257"/>
      <c r="O39" s="255"/>
      <c r="P39" s="256"/>
      <c r="U39" s="255"/>
      <c r="V39" s="255"/>
      <c r="W39" s="255"/>
      <c r="X39" s="255"/>
      <c r="Y39" s="255"/>
      <c r="Z39" s="255"/>
      <c r="AA39" s="255"/>
    </row>
    <row r="40" spans="3:27" x14ac:dyDescent="0.25">
      <c r="D40" s="255"/>
      <c r="E40" s="255"/>
      <c r="F40" s="255"/>
      <c r="G40" s="255"/>
      <c r="H40" s="255"/>
      <c r="I40" s="255"/>
      <c r="J40" s="255"/>
      <c r="K40" s="258"/>
      <c r="L40" s="257"/>
      <c r="N40" s="257"/>
      <c r="O40" s="255"/>
      <c r="P40" s="256"/>
      <c r="U40" s="255"/>
      <c r="V40" s="255"/>
      <c r="W40" s="255"/>
      <c r="X40" s="255"/>
      <c r="Y40" s="255"/>
      <c r="Z40" s="255"/>
      <c r="AA40" s="255"/>
    </row>
    <row r="41" spans="3:27" x14ac:dyDescent="0.25">
      <c r="D41" s="255"/>
      <c r="E41" s="255"/>
      <c r="F41" s="255"/>
      <c r="G41" s="255"/>
      <c r="H41" s="255"/>
      <c r="I41" s="255"/>
      <c r="J41" s="255"/>
      <c r="K41" s="258"/>
      <c r="L41" s="257"/>
      <c r="N41" s="257"/>
      <c r="O41" s="255"/>
      <c r="P41" s="256"/>
      <c r="U41" s="255"/>
      <c r="V41" s="255"/>
      <c r="W41" s="255"/>
      <c r="X41" s="255"/>
      <c r="Y41" s="255"/>
      <c r="Z41" s="255"/>
      <c r="AA41" s="255"/>
    </row>
    <row r="42" spans="3:27" x14ac:dyDescent="0.25">
      <c r="D42" s="255"/>
      <c r="E42" s="255"/>
      <c r="F42" s="255"/>
      <c r="G42" s="255"/>
      <c r="H42" s="255"/>
      <c r="I42" s="255"/>
      <c r="J42" s="255"/>
      <c r="K42" s="258"/>
      <c r="L42" s="257"/>
      <c r="N42" s="257"/>
      <c r="O42" s="255"/>
      <c r="P42" s="256"/>
      <c r="U42" s="255"/>
      <c r="V42" s="255"/>
      <c r="W42" s="255"/>
      <c r="X42" s="255"/>
      <c r="Y42" s="255"/>
      <c r="Z42" s="255"/>
      <c r="AA42" s="255"/>
    </row>
    <row r="43" spans="3:27" x14ac:dyDescent="0.25">
      <c r="D43" s="255"/>
      <c r="E43" s="255"/>
      <c r="F43" s="255"/>
      <c r="G43" s="255"/>
      <c r="H43" s="255"/>
      <c r="I43" s="255"/>
      <c r="J43" s="255"/>
      <c r="K43" s="258"/>
      <c r="L43" s="257"/>
      <c r="N43" s="257"/>
      <c r="O43" s="255"/>
      <c r="P43" s="256"/>
      <c r="U43" s="255"/>
      <c r="V43" s="255"/>
      <c r="W43" s="255"/>
      <c r="X43" s="255"/>
      <c r="Y43" s="255"/>
      <c r="Z43" s="255"/>
      <c r="AA43" s="255"/>
    </row>
    <row r="44" spans="3:27" x14ac:dyDescent="0.25">
      <c r="D44" s="255"/>
      <c r="E44" s="255"/>
      <c r="F44" s="255"/>
      <c r="G44" s="255"/>
      <c r="H44" s="255"/>
      <c r="I44" s="255"/>
      <c r="J44" s="255"/>
      <c r="K44" s="258"/>
      <c r="L44" s="257"/>
      <c r="N44" s="257"/>
      <c r="O44" s="255"/>
      <c r="P44" s="256"/>
      <c r="U44" s="255"/>
      <c r="V44" s="255"/>
      <c r="W44" s="255"/>
      <c r="X44" s="255"/>
      <c r="Y44" s="255"/>
      <c r="Z44" s="255"/>
      <c r="AA44" s="255"/>
    </row>
    <row r="45" spans="3:27" x14ac:dyDescent="0.25">
      <c r="D45" s="255"/>
      <c r="E45" s="255"/>
      <c r="F45" s="255"/>
      <c r="G45" s="255"/>
      <c r="H45" s="255"/>
      <c r="I45" s="255"/>
      <c r="J45" s="255"/>
      <c r="K45" s="258"/>
      <c r="L45" s="257"/>
      <c r="N45" s="257"/>
      <c r="O45" s="255"/>
      <c r="P45" s="256"/>
      <c r="U45" s="255"/>
      <c r="V45" s="255"/>
      <c r="W45" s="255"/>
      <c r="X45" s="255"/>
      <c r="Y45" s="255"/>
      <c r="Z45" s="255"/>
      <c r="AA45" s="255"/>
    </row>
    <row r="46" spans="3:27" x14ac:dyDescent="0.25">
      <c r="D46" s="255"/>
      <c r="E46" s="255"/>
      <c r="F46" s="255"/>
      <c r="G46" s="255"/>
      <c r="H46" s="255"/>
      <c r="I46" s="255"/>
      <c r="J46" s="255"/>
      <c r="K46" s="258"/>
      <c r="L46" s="257"/>
      <c r="N46" s="257"/>
      <c r="O46" s="255"/>
      <c r="P46" s="256"/>
      <c r="U46" s="255"/>
      <c r="V46" s="255"/>
      <c r="W46" s="255"/>
      <c r="X46" s="255"/>
      <c r="Y46" s="255"/>
      <c r="Z46" s="255"/>
      <c r="AA46" s="255"/>
    </row>
    <row r="47" spans="3:27" x14ac:dyDescent="0.25">
      <c r="D47" s="255"/>
      <c r="E47" s="255"/>
      <c r="F47" s="255"/>
      <c r="G47" s="255"/>
      <c r="H47" s="255"/>
      <c r="I47" s="255"/>
      <c r="J47" s="255"/>
      <c r="K47" s="258"/>
      <c r="L47" s="257"/>
      <c r="N47" s="257"/>
      <c r="O47" s="255"/>
      <c r="P47" s="256"/>
      <c r="U47" s="255"/>
      <c r="V47" s="255"/>
      <c r="W47" s="255"/>
      <c r="X47" s="255"/>
      <c r="Y47" s="255"/>
      <c r="Z47" s="255"/>
      <c r="AA47" s="255"/>
    </row>
    <row r="48" spans="3:27" x14ac:dyDescent="0.25">
      <c r="D48" s="255"/>
      <c r="E48" s="255"/>
      <c r="F48" s="255"/>
      <c r="G48" s="255"/>
      <c r="H48" s="255"/>
      <c r="I48" s="255"/>
      <c r="J48" s="255"/>
      <c r="K48" s="258"/>
      <c r="L48" s="257"/>
      <c r="N48" s="257"/>
      <c r="O48" s="255"/>
      <c r="P48" s="256"/>
      <c r="U48" s="255"/>
      <c r="V48" s="255"/>
      <c r="W48" s="255"/>
      <c r="X48" s="255"/>
      <c r="Y48" s="255"/>
      <c r="Z48" s="255"/>
      <c r="AA48" s="255"/>
    </row>
    <row r="49" spans="4:27" x14ac:dyDescent="0.25">
      <c r="D49" s="255"/>
      <c r="E49" s="255"/>
      <c r="F49" s="255"/>
      <c r="G49" s="255"/>
      <c r="H49" s="255"/>
      <c r="I49" s="255"/>
      <c r="J49" s="255"/>
      <c r="K49" s="258"/>
      <c r="L49" s="257"/>
      <c r="N49" s="257"/>
      <c r="O49" s="255"/>
      <c r="P49" s="256"/>
      <c r="U49" s="255"/>
      <c r="V49" s="255"/>
      <c r="W49" s="255"/>
      <c r="X49" s="255"/>
      <c r="Y49" s="255"/>
      <c r="Z49" s="255"/>
      <c r="AA49" s="255"/>
    </row>
    <row r="50" spans="4:27" x14ac:dyDescent="0.25">
      <c r="D50" s="255"/>
      <c r="E50" s="255"/>
      <c r="F50" s="255"/>
      <c r="G50" s="255"/>
      <c r="H50" s="255"/>
      <c r="I50" s="255"/>
      <c r="J50" s="255"/>
      <c r="K50" s="258"/>
      <c r="L50" s="257"/>
      <c r="N50" s="257"/>
      <c r="O50" s="255"/>
      <c r="P50" s="256"/>
      <c r="U50" s="255"/>
      <c r="V50" s="255"/>
      <c r="W50" s="255"/>
      <c r="X50" s="255"/>
      <c r="Y50" s="255"/>
      <c r="Z50" s="255"/>
      <c r="AA50" s="255"/>
    </row>
    <row r="51" spans="4:27" x14ac:dyDescent="0.25">
      <c r="D51" s="255"/>
      <c r="E51" s="255"/>
      <c r="F51" s="255"/>
      <c r="G51" s="255"/>
      <c r="H51" s="255"/>
      <c r="I51" s="255"/>
      <c r="J51" s="255"/>
      <c r="K51" s="258"/>
      <c r="L51" s="257"/>
      <c r="N51" s="257"/>
      <c r="O51" s="255"/>
      <c r="P51" s="256"/>
      <c r="U51" s="255"/>
      <c r="V51" s="255"/>
      <c r="W51" s="255"/>
      <c r="X51" s="255"/>
      <c r="Y51" s="255"/>
      <c r="Z51" s="255"/>
      <c r="AA51" s="255"/>
    </row>
    <row r="52" spans="4:27" x14ac:dyDescent="0.25">
      <c r="D52" s="255"/>
      <c r="E52" s="255"/>
      <c r="F52" s="255"/>
      <c r="G52" s="255"/>
      <c r="H52" s="255"/>
      <c r="I52" s="255"/>
      <c r="J52" s="255"/>
      <c r="K52" s="258"/>
      <c r="L52" s="257"/>
      <c r="N52" s="257"/>
      <c r="O52" s="255"/>
      <c r="P52" s="256"/>
      <c r="U52" s="255"/>
      <c r="V52" s="255"/>
      <c r="W52" s="255"/>
      <c r="X52" s="255"/>
      <c r="Y52" s="255"/>
      <c r="Z52" s="255"/>
      <c r="AA52" s="255"/>
    </row>
    <row r="53" spans="4:27" x14ac:dyDescent="0.25">
      <c r="D53" s="255"/>
      <c r="E53" s="255"/>
      <c r="F53" s="255"/>
      <c r="G53" s="255"/>
      <c r="H53" s="255"/>
      <c r="I53" s="255"/>
      <c r="J53" s="255"/>
      <c r="K53" s="258"/>
      <c r="L53" s="257"/>
      <c r="N53" s="257"/>
      <c r="O53" s="255"/>
      <c r="P53" s="256"/>
      <c r="U53" s="255"/>
      <c r="V53" s="255"/>
      <c r="W53" s="255"/>
      <c r="X53" s="255"/>
      <c r="Y53" s="255"/>
      <c r="Z53" s="255"/>
      <c r="AA53" s="255"/>
    </row>
    <row r="54" spans="4:27" x14ac:dyDescent="0.25">
      <c r="D54" s="255"/>
      <c r="E54" s="255"/>
      <c r="F54" s="255"/>
      <c r="G54" s="255"/>
      <c r="H54" s="255"/>
      <c r="I54" s="255"/>
      <c r="J54" s="255"/>
      <c r="K54" s="258"/>
      <c r="L54" s="257"/>
      <c r="N54" s="257"/>
      <c r="O54" s="255"/>
      <c r="P54" s="256"/>
      <c r="U54" s="255"/>
      <c r="V54" s="255"/>
      <c r="W54" s="255"/>
      <c r="X54" s="255"/>
      <c r="Y54" s="255"/>
      <c r="Z54" s="255"/>
      <c r="AA54" s="255"/>
    </row>
    <row r="55" spans="4:27" x14ac:dyDescent="0.25">
      <c r="D55" s="255"/>
      <c r="E55" s="255"/>
      <c r="F55" s="255"/>
      <c r="G55" s="255"/>
      <c r="H55" s="255"/>
      <c r="I55" s="255"/>
      <c r="J55" s="255"/>
      <c r="K55" s="258"/>
      <c r="L55" s="257"/>
      <c r="N55" s="257"/>
      <c r="O55" s="255"/>
      <c r="P55" s="256"/>
      <c r="U55" s="255"/>
      <c r="V55" s="255"/>
      <c r="W55" s="255"/>
      <c r="X55" s="255"/>
      <c r="Y55" s="255"/>
      <c r="Z55" s="255"/>
      <c r="AA55" s="255"/>
    </row>
    <row r="56" spans="4:27" x14ac:dyDescent="0.25">
      <c r="D56" s="255"/>
      <c r="E56" s="255"/>
      <c r="F56" s="255"/>
      <c r="G56" s="255"/>
      <c r="H56" s="255"/>
      <c r="I56" s="255"/>
      <c r="J56" s="255"/>
      <c r="K56" s="258"/>
      <c r="L56" s="257"/>
      <c r="N56" s="257"/>
      <c r="O56" s="255"/>
      <c r="P56" s="256"/>
      <c r="U56" s="255"/>
      <c r="V56" s="255"/>
      <c r="W56" s="255"/>
      <c r="X56" s="255"/>
      <c r="Y56" s="255"/>
      <c r="Z56" s="255"/>
      <c r="AA56" s="255"/>
    </row>
    <row r="57" spans="4:27" x14ac:dyDescent="0.25">
      <c r="D57" s="255"/>
      <c r="E57" s="255"/>
      <c r="F57" s="255"/>
      <c r="G57" s="255"/>
      <c r="H57" s="255"/>
      <c r="I57" s="255"/>
      <c r="J57" s="255"/>
      <c r="K57" s="258"/>
      <c r="L57" s="257"/>
      <c r="N57" s="257"/>
      <c r="O57" s="255"/>
      <c r="P57" s="256"/>
      <c r="U57" s="255"/>
      <c r="V57" s="255"/>
      <c r="W57" s="255"/>
      <c r="X57" s="255"/>
      <c r="Y57" s="255"/>
      <c r="Z57" s="255"/>
      <c r="AA57" s="255"/>
    </row>
    <row r="58" spans="4:27" x14ac:dyDescent="0.25">
      <c r="D58" s="255"/>
      <c r="E58" s="255"/>
      <c r="F58" s="255"/>
      <c r="G58" s="255"/>
      <c r="H58" s="255"/>
      <c r="I58" s="255"/>
      <c r="J58" s="255"/>
      <c r="K58" s="258"/>
      <c r="L58" s="257"/>
      <c r="N58" s="257"/>
      <c r="O58" s="255"/>
      <c r="P58" s="256"/>
      <c r="U58" s="255"/>
      <c r="V58" s="255"/>
      <c r="W58" s="255"/>
      <c r="X58" s="255"/>
      <c r="Y58" s="255"/>
      <c r="Z58" s="255"/>
      <c r="AA58" s="255"/>
    </row>
    <row r="59" spans="4:27" x14ac:dyDescent="0.25">
      <c r="D59" s="255"/>
      <c r="E59" s="255"/>
      <c r="F59" s="255"/>
      <c r="G59" s="255"/>
      <c r="H59" s="255"/>
      <c r="I59" s="255"/>
      <c r="J59" s="255"/>
      <c r="K59" s="258"/>
      <c r="L59" s="257"/>
      <c r="N59" s="257"/>
      <c r="O59" s="255"/>
      <c r="P59" s="256"/>
      <c r="U59" s="255"/>
      <c r="V59" s="255"/>
      <c r="W59" s="255"/>
      <c r="X59" s="255"/>
      <c r="Y59" s="255"/>
      <c r="Z59" s="255"/>
      <c r="AA59" s="255"/>
    </row>
    <row r="60" spans="4:27" x14ac:dyDescent="0.25">
      <c r="D60" s="255"/>
      <c r="E60" s="255"/>
      <c r="F60" s="255"/>
      <c r="G60" s="255"/>
      <c r="H60" s="255"/>
      <c r="I60" s="255"/>
      <c r="J60" s="255"/>
      <c r="K60" s="258"/>
      <c r="L60" s="257"/>
      <c r="N60" s="257"/>
      <c r="O60" s="255"/>
      <c r="P60" s="256"/>
      <c r="U60" s="255"/>
      <c r="V60" s="255"/>
      <c r="W60" s="255"/>
      <c r="X60" s="255"/>
      <c r="Y60" s="255"/>
      <c r="Z60" s="255"/>
      <c r="AA60" s="255"/>
    </row>
    <row r="61" spans="4:27" x14ac:dyDescent="0.25">
      <c r="D61" s="255"/>
      <c r="E61" s="255"/>
      <c r="F61" s="255"/>
      <c r="G61" s="255"/>
      <c r="H61" s="255"/>
      <c r="I61" s="255"/>
      <c r="J61" s="255"/>
      <c r="K61" s="258"/>
      <c r="L61" s="257"/>
      <c r="N61" s="257"/>
      <c r="O61" s="255"/>
      <c r="P61" s="256"/>
      <c r="U61" s="255"/>
      <c r="V61" s="255"/>
      <c r="W61" s="255"/>
      <c r="X61" s="255"/>
      <c r="Y61" s="255"/>
      <c r="Z61" s="255"/>
      <c r="AA61" s="255"/>
    </row>
    <row r="62" spans="4:27" x14ac:dyDescent="0.25">
      <c r="D62" s="255"/>
      <c r="E62" s="255"/>
      <c r="F62" s="255"/>
      <c r="G62" s="255"/>
      <c r="H62" s="255"/>
      <c r="I62" s="255"/>
      <c r="J62" s="255"/>
      <c r="K62" s="258"/>
      <c r="L62" s="257"/>
      <c r="N62" s="257"/>
      <c r="O62" s="255"/>
      <c r="P62" s="256"/>
      <c r="U62" s="255"/>
      <c r="V62" s="255"/>
      <c r="W62" s="255"/>
      <c r="X62" s="255"/>
      <c r="Y62" s="255"/>
      <c r="Z62" s="255"/>
      <c r="AA62" s="255"/>
    </row>
    <row r="63" spans="4:27" x14ac:dyDescent="0.25">
      <c r="D63" s="255"/>
      <c r="E63" s="255"/>
      <c r="F63" s="255"/>
      <c r="G63" s="255"/>
      <c r="H63" s="255"/>
      <c r="I63" s="255"/>
      <c r="J63" s="255"/>
      <c r="K63" s="258"/>
      <c r="L63" s="257"/>
      <c r="N63" s="257"/>
      <c r="O63" s="255"/>
      <c r="P63" s="256"/>
      <c r="U63" s="255"/>
      <c r="V63" s="255"/>
      <c r="W63" s="255"/>
      <c r="X63" s="255"/>
      <c r="Y63" s="255"/>
      <c r="Z63" s="255"/>
      <c r="AA63" s="255"/>
    </row>
    <row r="64" spans="4:27" x14ac:dyDescent="0.25">
      <c r="D64" s="255"/>
      <c r="E64" s="255"/>
      <c r="F64" s="255"/>
      <c r="G64" s="255"/>
      <c r="H64" s="255"/>
      <c r="I64" s="255"/>
      <c r="J64" s="255"/>
      <c r="K64" s="258"/>
      <c r="L64" s="257"/>
      <c r="N64" s="257"/>
      <c r="O64" s="255"/>
      <c r="P64" s="256"/>
      <c r="U64" s="255"/>
      <c r="V64" s="255"/>
      <c r="W64" s="255"/>
      <c r="X64" s="255"/>
      <c r="Y64" s="255"/>
      <c r="Z64" s="255"/>
      <c r="AA64" s="255"/>
    </row>
    <row r="65" spans="4:27" x14ac:dyDescent="0.25">
      <c r="D65" s="255"/>
      <c r="E65" s="255"/>
      <c r="F65" s="255"/>
      <c r="G65" s="255"/>
      <c r="H65" s="255"/>
      <c r="I65" s="255"/>
      <c r="J65" s="255"/>
      <c r="K65" s="258"/>
      <c r="L65" s="257"/>
      <c r="N65" s="257"/>
      <c r="O65" s="255"/>
      <c r="P65" s="256"/>
      <c r="U65" s="255"/>
      <c r="V65" s="255"/>
      <c r="W65" s="255"/>
      <c r="X65" s="255"/>
      <c r="Y65" s="255"/>
      <c r="Z65" s="255"/>
      <c r="AA65" s="255"/>
    </row>
    <row r="66" spans="4:27" x14ac:dyDescent="0.25">
      <c r="D66" s="255"/>
      <c r="E66" s="255"/>
      <c r="F66" s="255"/>
      <c r="G66" s="255"/>
      <c r="H66" s="255"/>
      <c r="I66" s="255"/>
      <c r="J66" s="255"/>
      <c r="K66" s="258"/>
      <c r="L66" s="257"/>
      <c r="N66" s="257"/>
      <c r="O66" s="255"/>
      <c r="P66" s="256"/>
      <c r="U66" s="255"/>
      <c r="V66" s="255"/>
      <c r="W66" s="255"/>
      <c r="X66" s="255"/>
      <c r="Y66" s="255"/>
      <c r="Z66" s="255"/>
      <c r="AA66" s="255"/>
    </row>
    <row r="67" spans="4:27" x14ac:dyDescent="0.25">
      <c r="D67" s="255"/>
      <c r="E67" s="255"/>
      <c r="F67" s="255"/>
      <c r="G67" s="255"/>
      <c r="H67" s="255"/>
      <c r="I67" s="255"/>
      <c r="J67" s="255"/>
      <c r="K67" s="258"/>
      <c r="L67" s="257"/>
      <c r="N67" s="257"/>
      <c r="O67" s="255"/>
      <c r="P67" s="256"/>
      <c r="U67" s="255"/>
      <c r="V67" s="255"/>
      <c r="W67" s="255"/>
      <c r="X67" s="255"/>
      <c r="Y67" s="255"/>
      <c r="Z67" s="255"/>
      <c r="AA67" s="255"/>
    </row>
    <row r="68" spans="4:27" x14ac:dyDescent="0.25">
      <c r="D68" s="255"/>
      <c r="E68" s="255"/>
      <c r="F68" s="255"/>
      <c r="G68" s="255"/>
      <c r="H68" s="255"/>
      <c r="I68" s="255"/>
      <c r="J68" s="255"/>
      <c r="K68" s="258"/>
      <c r="L68" s="257"/>
      <c r="N68" s="257"/>
      <c r="O68" s="255"/>
      <c r="P68" s="256"/>
      <c r="U68" s="255"/>
      <c r="V68" s="255"/>
      <c r="W68" s="255"/>
      <c r="X68" s="255"/>
      <c r="Y68" s="255"/>
      <c r="Z68" s="255"/>
      <c r="AA68" s="255"/>
    </row>
    <row r="69" spans="4:27" x14ac:dyDescent="0.25">
      <c r="D69" s="255"/>
      <c r="E69" s="255"/>
      <c r="F69" s="255"/>
      <c r="G69" s="255"/>
      <c r="H69" s="255"/>
      <c r="I69" s="255"/>
      <c r="J69" s="255"/>
      <c r="K69" s="258"/>
      <c r="L69" s="257"/>
      <c r="N69" s="257"/>
      <c r="O69" s="255"/>
      <c r="P69" s="256"/>
      <c r="U69" s="255"/>
      <c r="V69" s="255"/>
      <c r="W69" s="255"/>
      <c r="X69" s="255"/>
      <c r="Y69" s="255"/>
      <c r="Z69" s="255"/>
      <c r="AA69" s="255"/>
    </row>
    <row r="70" spans="4:27" x14ac:dyDescent="0.25">
      <c r="D70" s="255"/>
      <c r="E70" s="255"/>
      <c r="F70" s="255"/>
      <c r="G70" s="255"/>
      <c r="H70" s="255"/>
      <c r="I70" s="255"/>
      <c r="J70" s="255"/>
      <c r="K70" s="258"/>
      <c r="L70" s="257"/>
      <c r="N70" s="257"/>
      <c r="O70" s="255"/>
      <c r="P70" s="256"/>
      <c r="U70" s="255"/>
      <c r="V70" s="255"/>
      <c r="W70" s="255"/>
      <c r="X70" s="255"/>
      <c r="Y70" s="255"/>
      <c r="Z70" s="255"/>
      <c r="AA70" s="255"/>
    </row>
    <row r="71" spans="4:27" x14ac:dyDescent="0.25">
      <c r="D71" s="255"/>
      <c r="E71" s="255"/>
      <c r="F71" s="255"/>
      <c r="G71" s="255"/>
      <c r="H71" s="255"/>
      <c r="I71" s="255"/>
      <c r="J71" s="255"/>
      <c r="K71" s="258"/>
      <c r="L71" s="257"/>
      <c r="N71" s="257"/>
      <c r="O71" s="255"/>
      <c r="P71" s="256"/>
      <c r="U71" s="255"/>
      <c r="V71" s="255"/>
      <c r="W71" s="255"/>
      <c r="X71" s="255"/>
      <c r="Y71" s="255"/>
      <c r="Z71" s="255"/>
      <c r="AA71" s="255"/>
    </row>
    <row r="72" spans="4:27" x14ac:dyDescent="0.25">
      <c r="D72" s="255"/>
      <c r="E72" s="255"/>
      <c r="F72" s="255"/>
      <c r="G72" s="255"/>
      <c r="H72" s="255"/>
      <c r="I72" s="255"/>
      <c r="J72" s="255"/>
      <c r="K72" s="258"/>
      <c r="L72" s="257"/>
      <c r="N72" s="257"/>
      <c r="O72" s="255"/>
      <c r="P72" s="256"/>
      <c r="U72" s="255"/>
      <c r="V72" s="255"/>
      <c r="W72" s="255"/>
      <c r="X72" s="255"/>
      <c r="Y72" s="255"/>
      <c r="Z72" s="255"/>
      <c r="AA72" s="255"/>
    </row>
    <row r="73" spans="4:27" x14ac:dyDescent="0.25">
      <c r="D73" s="255"/>
      <c r="E73" s="255"/>
      <c r="F73" s="255"/>
      <c r="G73" s="255"/>
      <c r="H73" s="255"/>
      <c r="I73" s="255"/>
      <c r="J73" s="255"/>
      <c r="K73" s="258"/>
      <c r="L73" s="257"/>
      <c r="N73" s="257"/>
      <c r="O73" s="255"/>
      <c r="P73" s="256"/>
      <c r="U73" s="255"/>
      <c r="V73" s="255"/>
      <c r="W73" s="255"/>
      <c r="X73" s="255"/>
      <c r="Y73" s="255"/>
      <c r="Z73" s="255"/>
      <c r="AA73" s="255"/>
    </row>
    <row r="74" spans="4:27" x14ac:dyDescent="0.25">
      <c r="D74" s="255"/>
      <c r="E74" s="255"/>
      <c r="F74" s="255"/>
      <c r="G74" s="255"/>
      <c r="H74" s="255"/>
      <c r="I74" s="255"/>
      <c r="J74" s="255"/>
      <c r="K74" s="258"/>
      <c r="L74" s="257"/>
      <c r="N74" s="257"/>
      <c r="O74" s="255"/>
      <c r="P74" s="256"/>
      <c r="U74" s="255"/>
      <c r="V74" s="255"/>
      <c r="W74" s="255"/>
      <c r="X74" s="255"/>
      <c r="Y74" s="255"/>
      <c r="Z74" s="255"/>
      <c r="AA74" s="255"/>
    </row>
    <row r="75" spans="4:27" x14ac:dyDescent="0.25">
      <c r="D75" s="255"/>
      <c r="E75" s="255"/>
      <c r="F75" s="255"/>
      <c r="G75" s="255"/>
      <c r="H75" s="255"/>
      <c r="I75" s="255"/>
      <c r="J75" s="255"/>
      <c r="K75" s="258"/>
      <c r="L75" s="257"/>
      <c r="N75" s="257"/>
      <c r="O75" s="255"/>
      <c r="P75" s="256"/>
      <c r="U75" s="255"/>
      <c r="V75" s="255"/>
      <c r="W75" s="255"/>
      <c r="X75" s="255"/>
      <c r="Y75" s="255"/>
      <c r="Z75" s="255"/>
      <c r="AA75" s="255"/>
    </row>
    <row r="76" spans="4:27" x14ac:dyDescent="0.25">
      <c r="D76" s="255"/>
      <c r="E76" s="255"/>
      <c r="F76" s="255"/>
      <c r="G76" s="255"/>
      <c r="H76" s="255"/>
      <c r="I76" s="255"/>
      <c r="J76" s="255"/>
      <c r="K76" s="258"/>
      <c r="L76" s="257"/>
      <c r="N76" s="257"/>
      <c r="O76" s="255"/>
      <c r="P76" s="256"/>
      <c r="U76" s="255"/>
      <c r="V76" s="255"/>
      <c r="W76" s="255"/>
      <c r="X76" s="255"/>
      <c r="Y76" s="255"/>
      <c r="Z76" s="255"/>
      <c r="AA76" s="255"/>
    </row>
    <row r="77" spans="4:27" x14ac:dyDescent="0.25">
      <c r="D77" s="255"/>
      <c r="E77" s="255"/>
      <c r="F77" s="255"/>
      <c r="G77" s="255"/>
      <c r="H77" s="255"/>
      <c r="I77" s="255"/>
      <c r="J77" s="255"/>
      <c r="K77" s="258"/>
      <c r="L77" s="257"/>
      <c r="N77" s="257"/>
      <c r="O77" s="255"/>
      <c r="P77" s="256"/>
      <c r="U77" s="255"/>
      <c r="V77" s="255"/>
      <c r="W77" s="255"/>
      <c r="X77" s="255"/>
      <c r="Y77" s="255"/>
      <c r="Z77" s="255"/>
      <c r="AA77" s="255"/>
    </row>
    <row r="78" spans="4:27" x14ac:dyDescent="0.25">
      <c r="D78" s="255"/>
      <c r="E78" s="255"/>
      <c r="F78" s="255"/>
      <c r="G78" s="255"/>
      <c r="H78" s="255"/>
      <c r="I78" s="255"/>
      <c r="J78" s="255"/>
      <c r="K78" s="258"/>
      <c r="L78" s="257"/>
      <c r="N78" s="257"/>
      <c r="O78" s="255"/>
      <c r="P78" s="256"/>
      <c r="U78" s="255"/>
      <c r="V78" s="255"/>
      <c r="W78" s="255"/>
      <c r="X78" s="255"/>
      <c r="Y78" s="255"/>
      <c r="Z78" s="255"/>
      <c r="AA78" s="255"/>
    </row>
    <row r="79" spans="4:27" x14ac:dyDescent="0.25">
      <c r="D79" s="255"/>
      <c r="E79" s="255"/>
      <c r="F79" s="255"/>
      <c r="G79" s="255"/>
      <c r="H79" s="255"/>
      <c r="I79" s="255"/>
      <c r="J79" s="255"/>
      <c r="K79" s="258"/>
      <c r="L79" s="257"/>
      <c r="N79" s="257"/>
      <c r="O79" s="255"/>
      <c r="P79" s="256"/>
      <c r="U79" s="255"/>
      <c r="V79" s="255"/>
      <c r="W79" s="255"/>
      <c r="X79" s="255"/>
      <c r="Y79" s="255"/>
      <c r="Z79" s="255"/>
      <c r="AA79" s="255"/>
    </row>
    <row r="80" spans="4:27" x14ac:dyDescent="0.25">
      <c r="D80" s="255"/>
      <c r="E80" s="255"/>
      <c r="F80" s="255"/>
      <c r="G80" s="255"/>
      <c r="H80" s="255"/>
      <c r="I80" s="255"/>
      <c r="J80" s="255"/>
      <c r="K80" s="258"/>
      <c r="L80" s="257"/>
      <c r="N80" s="257"/>
      <c r="O80" s="255"/>
      <c r="P80" s="256"/>
      <c r="U80" s="255"/>
      <c r="V80" s="255"/>
      <c r="W80" s="255"/>
      <c r="X80" s="255"/>
      <c r="Y80" s="255"/>
      <c r="Z80" s="255"/>
      <c r="AA80" s="255"/>
    </row>
    <row r="81" spans="4:27" x14ac:dyDescent="0.25">
      <c r="D81" s="255"/>
      <c r="E81" s="255"/>
      <c r="F81" s="255"/>
      <c r="G81" s="255"/>
      <c r="H81" s="255"/>
      <c r="I81" s="255"/>
      <c r="J81" s="255"/>
      <c r="K81" s="258"/>
      <c r="L81" s="257"/>
      <c r="N81" s="257"/>
      <c r="O81" s="255"/>
      <c r="P81" s="256"/>
      <c r="U81" s="255"/>
      <c r="V81" s="255"/>
      <c r="W81" s="255"/>
      <c r="X81" s="255"/>
      <c r="Y81" s="255"/>
      <c r="Z81" s="255"/>
      <c r="AA81" s="255"/>
    </row>
    <row r="82" spans="4:27" x14ac:dyDescent="0.25">
      <c r="D82" s="255"/>
      <c r="E82" s="255"/>
      <c r="F82" s="255"/>
      <c r="G82" s="255"/>
      <c r="H82" s="255"/>
      <c r="I82" s="255"/>
      <c r="J82" s="255"/>
      <c r="K82" s="258"/>
      <c r="L82" s="257"/>
      <c r="N82" s="257"/>
      <c r="O82" s="255"/>
      <c r="P82" s="256"/>
      <c r="U82" s="255"/>
      <c r="V82" s="255"/>
      <c r="W82" s="255"/>
      <c r="X82" s="255"/>
      <c r="Y82" s="255"/>
      <c r="Z82" s="255"/>
      <c r="AA82" s="255"/>
    </row>
    <row r="83" spans="4:27" x14ac:dyDescent="0.25">
      <c r="D83" s="255"/>
      <c r="E83" s="255"/>
      <c r="F83" s="255"/>
      <c r="G83" s="255"/>
      <c r="H83" s="255"/>
      <c r="I83" s="255"/>
      <c r="J83" s="255"/>
      <c r="K83" s="258"/>
      <c r="L83" s="257"/>
      <c r="N83" s="257"/>
      <c r="O83" s="255"/>
      <c r="P83" s="256"/>
      <c r="U83" s="255"/>
      <c r="V83" s="255"/>
      <c r="W83" s="255"/>
      <c r="X83" s="255"/>
      <c r="Y83" s="255"/>
      <c r="Z83" s="255"/>
      <c r="AA83" s="255"/>
    </row>
    <row r="84" spans="4:27" x14ac:dyDescent="0.25">
      <c r="D84" s="255"/>
      <c r="E84" s="255"/>
      <c r="F84" s="255"/>
      <c r="G84" s="255"/>
      <c r="H84" s="255"/>
      <c r="I84" s="255"/>
      <c r="J84" s="255"/>
      <c r="K84" s="258"/>
      <c r="L84" s="257"/>
      <c r="N84" s="257"/>
      <c r="O84" s="255"/>
      <c r="P84" s="256"/>
      <c r="U84" s="255"/>
      <c r="V84" s="255"/>
      <c r="W84" s="255"/>
      <c r="X84" s="255"/>
      <c r="Y84" s="255"/>
      <c r="Z84" s="255"/>
      <c r="AA84" s="255"/>
    </row>
    <row r="85" spans="4:27" x14ac:dyDescent="0.25">
      <c r="D85" s="255"/>
      <c r="E85" s="255"/>
      <c r="F85" s="255"/>
      <c r="G85" s="255"/>
      <c r="H85" s="255"/>
      <c r="I85" s="255"/>
      <c r="J85" s="255"/>
      <c r="K85" s="258"/>
      <c r="L85" s="257"/>
      <c r="N85" s="257"/>
      <c r="O85" s="255"/>
      <c r="P85" s="256"/>
      <c r="U85" s="255"/>
      <c r="V85" s="255"/>
      <c r="W85" s="255"/>
      <c r="X85" s="255"/>
      <c r="Y85" s="255"/>
      <c r="Z85" s="255"/>
      <c r="AA85" s="255"/>
    </row>
    <row r="86" spans="4:27" x14ac:dyDescent="0.25">
      <c r="D86" s="255"/>
      <c r="E86" s="255"/>
      <c r="F86" s="255"/>
      <c r="G86" s="255"/>
      <c r="H86" s="255"/>
      <c r="I86" s="255"/>
      <c r="J86" s="255"/>
      <c r="K86" s="258"/>
      <c r="L86" s="257"/>
      <c r="N86" s="257"/>
      <c r="O86" s="255"/>
      <c r="P86" s="256"/>
      <c r="U86" s="255"/>
      <c r="V86" s="255"/>
      <c r="W86" s="255"/>
      <c r="X86" s="255"/>
      <c r="Y86" s="255"/>
      <c r="Z86" s="255"/>
      <c r="AA86" s="255"/>
    </row>
    <row r="87" spans="4:27" x14ac:dyDescent="0.25">
      <c r="D87" s="255"/>
      <c r="E87" s="255"/>
      <c r="F87" s="255"/>
      <c r="G87" s="255"/>
      <c r="H87" s="255"/>
      <c r="I87" s="255"/>
      <c r="J87" s="255"/>
      <c r="K87" s="258"/>
      <c r="L87" s="257"/>
      <c r="N87" s="257"/>
      <c r="O87" s="255"/>
      <c r="P87" s="256"/>
      <c r="U87" s="255"/>
      <c r="V87" s="255"/>
      <c r="W87" s="255"/>
      <c r="X87" s="255"/>
      <c r="Y87" s="255"/>
      <c r="Z87" s="255"/>
      <c r="AA87" s="255"/>
    </row>
    <row r="88" spans="4:27" x14ac:dyDescent="0.25">
      <c r="D88" s="255"/>
      <c r="E88" s="255"/>
      <c r="F88" s="255"/>
      <c r="G88" s="255"/>
      <c r="H88" s="255"/>
      <c r="I88" s="255"/>
      <c r="J88" s="255"/>
      <c r="K88" s="258"/>
      <c r="L88" s="257"/>
      <c r="N88" s="257"/>
      <c r="O88" s="255"/>
      <c r="P88" s="256"/>
      <c r="U88" s="255"/>
      <c r="V88" s="255"/>
      <c r="W88" s="255"/>
      <c r="X88" s="255"/>
      <c r="Y88" s="255"/>
      <c r="Z88" s="255"/>
      <c r="AA88" s="255"/>
    </row>
    <row r="89" spans="4:27" x14ac:dyDescent="0.25">
      <c r="D89" s="255"/>
      <c r="E89" s="255"/>
      <c r="F89" s="255"/>
      <c r="G89" s="255"/>
      <c r="H89" s="255"/>
      <c r="I89" s="255"/>
      <c r="J89" s="255"/>
      <c r="K89" s="258"/>
      <c r="L89" s="257"/>
      <c r="N89" s="257"/>
      <c r="O89" s="255"/>
      <c r="P89" s="256"/>
      <c r="U89" s="255"/>
      <c r="V89" s="255"/>
      <c r="W89" s="255"/>
      <c r="X89" s="255"/>
      <c r="Y89" s="255"/>
      <c r="Z89" s="255"/>
      <c r="AA89" s="255"/>
    </row>
    <row r="90" spans="4:27" x14ac:dyDescent="0.25">
      <c r="D90" s="255"/>
      <c r="E90" s="255"/>
      <c r="F90" s="255"/>
      <c r="G90" s="255"/>
      <c r="H90" s="255"/>
      <c r="I90" s="255"/>
      <c r="J90" s="255"/>
      <c r="K90" s="258"/>
      <c r="L90" s="257"/>
      <c r="N90" s="257"/>
      <c r="O90" s="255"/>
      <c r="P90" s="256"/>
      <c r="U90" s="255"/>
      <c r="V90" s="255"/>
      <c r="W90" s="255"/>
      <c r="X90" s="255"/>
      <c r="Y90" s="255"/>
      <c r="Z90" s="255"/>
      <c r="AA90" s="255"/>
    </row>
    <row r="91" spans="4:27" x14ac:dyDescent="0.25">
      <c r="D91" s="255"/>
      <c r="E91" s="255"/>
      <c r="F91" s="255"/>
      <c r="G91" s="255"/>
      <c r="H91" s="255"/>
      <c r="I91" s="255"/>
      <c r="J91" s="255"/>
      <c r="K91" s="258"/>
      <c r="L91" s="257"/>
      <c r="N91" s="257"/>
      <c r="O91" s="255"/>
      <c r="P91" s="256"/>
      <c r="U91" s="255"/>
      <c r="V91" s="255"/>
      <c r="W91" s="255"/>
      <c r="X91" s="255"/>
      <c r="Y91" s="255"/>
      <c r="Z91" s="255"/>
      <c r="AA91" s="255"/>
    </row>
    <row r="92" spans="4:27" x14ac:dyDescent="0.25">
      <c r="D92" s="255"/>
      <c r="E92" s="255"/>
      <c r="F92" s="255"/>
      <c r="G92" s="255"/>
      <c r="H92" s="255"/>
      <c r="I92" s="255"/>
      <c r="J92" s="255"/>
      <c r="K92" s="258"/>
      <c r="L92" s="257"/>
      <c r="N92" s="257"/>
      <c r="O92" s="255"/>
      <c r="P92" s="256"/>
      <c r="U92" s="255"/>
      <c r="V92" s="255"/>
      <c r="W92" s="255"/>
      <c r="X92" s="255"/>
      <c r="Y92" s="255"/>
      <c r="Z92" s="255"/>
      <c r="AA92" s="255"/>
    </row>
    <row r="93" spans="4:27" x14ac:dyDescent="0.25">
      <c r="D93" s="255"/>
      <c r="E93" s="255"/>
      <c r="F93" s="255"/>
      <c r="G93" s="255"/>
      <c r="H93" s="255"/>
      <c r="I93" s="255"/>
      <c r="J93" s="255"/>
      <c r="K93" s="258"/>
      <c r="L93" s="257"/>
      <c r="N93" s="257"/>
      <c r="O93" s="255"/>
      <c r="P93" s="256"/>
      <c r="U93" s="255"/>
      <c r="V93" s="255"/>
      <c r="W93" s="255"/>
      <c r="X93" s="255"/>
      <c r="Y93" s="255"/>
      <c r="Z93" s="255"/>
      <c r="AA93" s="255"/>
    </row>
    <row r="94" spans="4:27" x14ac:dyDescent="0.25">
      <c r="D94" s="255"/>
      <c r="E94" s="255"/>
      <c r="F94" s="255"/>
      <c r="G94" s="255"/>
      <c r="H94" s="255"/>
      <c r="I94" s="255"/>
      <c r="J94" s="255"/>
      <c r="K94" s="258"/>
      <c r="L94" s="257"/>
      <c r="N94" s="257"/>
      <c r="O94" s="255"/>
      <c r="P94" s="256"/>
      <c r="U94" s="255"/>
      <c r="V94" s="255"/>
      <c r="W94" s="255"/>
      <c r="X94" s="255"/>
      <c r="Y94" s="255"/>
      <c r="Z94" s="255"/>
      <c r="AA94" s="255"/>
    </row>
    <row r="95" spans="4:27" x14ac:dyDescent="0.25">
      <c r="D95" s="255"/>
      <c r="E95" s="255"/>
      <c r="F95" s="255"/>
      <c r="G95" s="255"/>
      <c r="H95" s="255"/>
      <c r="I95" s="255"/>
      <c r="J95" s="255"/>
      <c r="K95" s="258"/>
      <c r="L95" s="257"/>
      <c r="N95" s="257"/>
      <c r="O95" s="255"/>
      <c r="P95" s="256"/>
      <c r="U95" s="255"/>
      <c r="V95" s="255"/>
      <c r="W95" s="255"/>
      <c r="X95" s="255"/>
      <c r="Y95" s="255"/>
      <c r="Z95" s="255"/>
      <c r="AA95" s="255"/>
    </row>
    <row r="96" spans="4:27" x14ac:dyDescent="0.25">
      <c r="D96" s="255"/>
      <c r="E96" s="255"/>
      <c r="F96" s="255"/>
      <c r="G96" s="255"/>
      <c r="H96" s="255"/>
      <c r="I96" s="255"/>
      <c r="J96" s="255"/>
      <c r="K96" s="258"/>
      <c r="L96" s="257"/>
      <c r="N96" s="257"/>
      <c r="O96" s="255"/>
      <c r="P96" s="256"/>
      <c r="U96" s="255"/>
      <c r="V96" s="255"/>
      <c r="W96" s="255"/>
      <c r="X96" s="255"/>
      <c r="Y96" s="255"/>
      <c r="Z96" s="255"/>
      <c r="AA96" s="255"/>
    </row>
    <row r="97" spans="4:27" x14ac:dyDescent="0.25">
      <c r="D97" s="255"/>
      <c r="E97" s="255"/>
      <c r="F97" s="255"/>
      <c r="G97" s="255"/>
      <c r="H97" s="255"/>
      <c r="I97" s="255"/>
      <c r="J97" s="255"/>
      <c r="K97" s="258"/>
      <c r="L97" s="257"/>
      <c r="N97" s="257"/>
      <c r="O97" s="255"/>
      <c r="P97" s="256"/>
      <c r="U97" s="255"/>
      <c r="V97" s="255"/>
      <c r="W97" s="255"/>
      <c r="X97" s="255"/>
      <c r="Y97" s="255"/>
      <c r="Z97" s="255"/>
      <c r="AA97" s="255"/>
    </row>
    <row r="98" spans="4:27" x14ac:dyDescent="0.25">
      <c r="D98" s="255"/>
      <c r="E98" s="255"/>
      <c r="F98" s="255"/>
      <c r="G98" s="255"/>
      <c r="H98" s="255"/>
      <c r="I98" s="255"/>
      <c r="J98" s="255"/>
      <c r="K98" s="258"/>
      <c r="L98" s="257"/>
      <c r="N98" s="257"/>
      <c r="O98" s="255"/>
      <c r="P98" s="256"/>
      <c r="U98" s="255"/>
      <c r="V98" s="255"/>
      <c r="W98" s="255"/>
      <c r="X98" s="255"/>
      <c r="Y98" s="255"/>
      <c r="Z98" s="255"/>
      <c r="AA98" s="255"/>
    </row>
    <row r="99" spans="4:27" x14ac:dyDescent="0.25">
      <c r="D99" s="255"/>
      <c r="E99" s="255"/>
      <c r="F99" s="255"/>
      <c r="G99" s="255"/>
      <c r="H99" s="255"/>
      <c r="I99" s="255"/>
      <c r="J99" s="255"/>
      <c r="K99" s="258"/>
      <c r="L99" s="257"/>
      <c r="N99" s="257"/>
      <c r="O99" s="255"/>
      <c r="P99" s="256"/>
      <c r="U99" s="255"/>
      <c r="V99" s="255"/>
      <c r="W99" s="255"/>
      <c r="X99" s="255"/>
      <c r="Y99" s="255"/>
      <c r="Z99" s="255"/>
      <c r="AA99" s="255"/>
    </row>
    <row r="100" spans="4:27" x14ac:dyDescent="0.25">
      <c r="D100" s="255"/>
      <c r="E100" s="255"/>
      <c r="F100" s="255"/>
      <c r="G100" s="255"/>
      <c r="H100" s="255"/>
      <c r="I100" s="255"/>
      <c r="J100" s="255"/>
      <c r="K100" s="258"/>
      <c r="L100" s="257"/>
      <c r="N100" s="257"/>
      <c r="O100" s="255"/>
      <c r="P100" s="256"/>
      <c r="U100" s="255"/>
      <c r="V100" s="255"/>
      <c r="W100" s="255"/>
      <c r="X100" s="255"/>
      <c r="Y100" s="255"/>
      <c r="Z100" s="255"/>
      <c r="AA100" s="255"/>
    </row>
    <row r="101" spans="4:27" x14ac:dyDescent="0.25">
      <c r="D101" s="255"/>
      <c r="E101" s="255"/>
      <c r="F101" s="255"/>
      <c r="G101" s="255"/>
      <c r="H101" s="255"/>
      <c r="I101" s="255"/>
      <c r="J101" s="255"/>
      <c r="K101" s="258"/>
      <c r="L101" s="257"/>
      <c r="N101" s="257"/>
      <c r="O101" s="255"/>
      <c r="P101" s="256"/>
      <c r="U101" s="255"/>
      <c r="V101" s="255"/>
      <c r="W101" s="255"/>
      <c r="X101" s="255"/>
      <c r="Y101" s="255"/>
      <c r="Z101" s="255"/>
      <c r="AA101" s="255"/>
    </row>
    <row r="102" spans="4:27" x14ac:dyDescent="0.25">
      <c r="D102" s="255"/>
      <c r="E102" s="255"/>
      <c r="F102" s="255"/>
      <c r="G102" s="255"/>
      <c r="H102" s="255"/>
      <c r="I102" s="255"/>
      <c r="J102" s="255"/>
      <c r="K102" s="258"/>
      <c r="L102" s="257"/>
      <c r="N102" s="257"/>
      <c r="O102" s="255"/>
      <c r="P102" s="256"/>
      <c r="U102" s="255"/>
      <c r="V102" s="255"/>
      <c r="W102" s="255"/>
      <c r="X102" s="255"/>
      <c r="Y102" s="255"/>
      <c r="Z102" s="255"/>
      <c r="AA102" s="255"/>
    </row>
    <row r="103" spans="4:27" x14ac:dyDescent="0.25">
      <c r="D103" s="255"/>
      <c r="E103" s="255"/>
      <c r="F103" s="255"/>
      <c r="G103" s="255"/>
      <c r="H103" s="255"/>
      <c r="I103" s="255"/>
      <c r="J103" s="255"/>
      <c r="K103" s="258"/>
      <c r="L103" s="257"/>
      <c r="N103" s="257"/>
      <c r="O103" s="255"/>
      <c r="P103" s="256"/>
      <c r="U103" s="255"/>
      <c r="V103" s="255"/>
      <c r="W103" s="255"/>
      <c r="X103" s="255"/>
      <c r="Y103" s="255"/>
      <c r="Z103" s="255"/>
      <c r="AA103" s="255"/>
    </row>
    <row r="104" spans="4:27" x14ac:dyDescent="0.25">
      <c r="D104" s="255"/>
      <c r="E104" s="255"/>
      <c r="F104" s="255"/>
      <c r="G104" s="255"/>
      <c r="H104" s="255"/>
      <c r="I104" s="255"/>
      <c r="J104" s="255"/>
      <c r="K104" s="258"/>
      <c r="L104" s="257"/>
      <c r="N104" s="257"/>
      <c r="O104" s="255"/>
      <c r="P104" s="256"/>
      <c r="U104" s="255"/>
      <c r="V104" s="255"/>
      <c r="W104" s="255"/>
      <c r="X104" s="255"/>
      <c r="Y104" s="255"/>
      <c r="Z104" s="255"/>
      <c r="AA104" s="255"/>
    </row>
    <row r="105" spans="4:27" x14ac:dyDescent="0.25">
      <c r="D105" s="255"/>
      <c r="E105" s="255"/>
      <c r="F105" s="255"/>
      <c r="G105" s="255"/>
      <c r="H105" s="255"/>
      <c r="I105" s="255"/>
      <c r="J105" s="255"/>
      <c r="K105" s="258"/>
      <c r="L105" s="257"/>
      <c r="N105" s="257"/>
      <c r="O105" s="255"/>
      <c r="P105" s="256"/>
      <c r="U105" s="255"/>
      <c r="V105" s="255"/>
      <c r="W105" s="255"/>
      <c r="X105" s="255"/>
      <c r="Y105" s="255"/>
      <c r="Z105" s="255"/>
      <c r="AA105" s="25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78"/>
  <sheetViews>
    <sheetView zoomScale="90" zoomScaleNormal="90" workbookViewId="0">
      <selection activeCell="P14" sqref="P14"/>
    </sheetView>
  </sheetViews>
  <sheetFormatPr defaultColWidth="8.85546875" defaultRowHeight="12.75" x14ac:dyDescent="0.2"/>
  <cols>
    <col min="1" max="1" width="18.7109375" customWidth="1"/>
    <col min="2" max="2" width="41.85546875" customWidth="1"/>
    <col min="3" max="3" width="10.5703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71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77" t="s">
        <v>161</v>
      </c>
      <c r="B1" s="77"/>
      <c r="D1" s="75"/>
      <c r="E1" s="75"/>
      <c r="F1" s="75"/>
      <c r="G1" s="75"/>
      <c r="H1" s="74"/>
      <c r="I1" s="75"/>
      <c r="J1" s="75"/>
      <c r="K1" s="75"/>
      <c r="L1" s="75"/>
    </row>
    <row r="2" spans="1:30" ht="15.75" thickBot="1" x14ac:dyDescent="0.3">
      <c r="A2" s="78"/>
      <c r="B2" s="72"/>
      <c r="C2" s="102" t="s">
        <v>134</v>
      </c>
      <c r="D2" s="72"/>
      <c r="E2" s="72"/>
      <c r="F2" s="72"/>
      <c r="G2" s="73"/>
      <c r="H2" s="102" t="s">
        <v>136</v>
      </c>
      <c r="I2" s="72"/>
      <c r="J2" s="72"/>
      <c r="K2" s="72"/>
      <c r="L2" s="73"/>
    </row>
    <row r="3" spans="1:30" ht="13.5" thickBot="1" x14ac:dyDescent="0.25">
      <c r="A3" s="79" t="s">
        <v>141</v>
      </c>
      <c r="B3" s="80" t="s">
        <v>129</v>
      </c>
      <c r="C3" s="79" t="s">
        <v>142</v>
      </c>
      <c r="D3" s="80" t="s">
        <v>135</v>
      </c>
      <c r="E3" s="80" t="s">
        <v>137</v>
      </c>
      <c r="F3" s="80" t="s">
        <v>138</v>
      </c>
      <c r="G3" s="81" t="s">
        <v>159</v>
      </c>
      <c r="H3" s="79" t="s">
        <v>142</v>
      </c>
      <c r="I3" s="80" t="s">
        <v>135</v>
      </c>
      <c r="J3" s="80" t="s">
        <v>137</v>
      </c>
      <c r="K3" s="80" t="s">
        <v>138</v>
      </c>
      <c r="L3" s="81" t="s">
        <v>159</v>
      </c>
      <c r="M3" t="s">
        <v>140</v>
      </c>
      <c r="S3" s="67" t="s">
        <v>158</v>
      </c>
    </row>
    <row r="4" spans="1:30" ht="13.5" thickBot="1" x14ac:dyDescent="0.25">
      <c r="A4" s="78" t="str">
        <f>RES_Cr!T2</f>
        <v>IFACR</v>
      </c>
      <c r="B4" s="72" t="str">
        <f>RES_Cr!T3</f>
        <v>Industry - Ferro Alloy Metals production</v>
      </c>
      <c r="C4" s="78" t="str">
        <f>RES_Cr!R9</f>
        <v>IFCEAF-E</v>
      </c>
      <c r="D4" s="72" t="str">
        <f>RES_Cr!R5</f>
        <v>FerroChrome existing</v>
      </c>
      <c r="E4" s="84" t="s">
        <v>131</v>
      </c>
      <c r="F4" s="106"/>
      <c r="G4" s="108" t="s">
        <v>160</v>
      </c>
      <c r="H4" s="78">
        <f>RES_Cr!AA9</f>
        <v>0</v>
      </c>
      <c r="I4" s="72">
        <f>RES_Cr!AA8</f>
        <v>0</v>
      </c>
      <c r="J4" s="84" t="s">
        <v>131</v>
      </c>
      <c r="K4" s="83">
        <f>F4</f>
        <v>0</v>
      </c>
      <c r="L4" s="73"/>
      <c r="Q4" s="113" t="s">
        <v>163</v>
      </c>
      <c r="R4" s="114" t="s">
        <v>164</v>
      </c>
      <c r="S4" s="114" t="s">
        <v>165</v>
      </c>
      <c r="U4" s="113"/>
      <c r="V4" s="114" t="s">
        <v>43</v>
      </c>
      <c r="W4" s="114" t="s">
        <v>170</v>
      </c>
      <c r="X4" s="114" t="s">
        <v>171</v>
      </c>
      <c r="Z4" t="s">
        <v>182</v>
      </c>
      <c r="AA4" s="67" t="s">
        <v>183</v>
      </c>
      <c r="AB4">
        <v>18.600000000000001</v>
      </c>
    </row>
    <row r="5" spans="1:30" ht="13.5" thickBot="1" x14ac:dyDescent="0.25">
      <c r="A5" s="71"/>
      <c r="C5" s="71"/>
      <c r="E5" s="67" t="s">
        <v>116</v>
      </c>
      <c r="F5" s="248">
        <f>P15</f>
        <v>3.484</v>
      </c>
      <c r="G5" s="105"/>
      <c r="J5" s="67" t="s">
        <v>116</v>
      </c>
      <c r="K5" s="248">
        <f>P14</f>
        <v>4.8570000000000002</v>
      </c>
      <c r="L5" s="246"/>
      <c r="Q5" s="115" t="s">
        <v>166</v>
      </c>
      <c r="R5" s="116" t="s">
        <v>167</v>
      </c>
      <c r="S5" s="116">
        <v>28</v>
      </c>
      <c r="U5" s="115" t="s">
        <v>172</v>
      </c>
      <c r="V5" s="116" t="s">
        <v>173</v>
      </c>
      <c r="W5" s="116">
        <v>390</v>
      </c>
      <c r="X5" s="116">
        <v>390</v>
      </c>
      <c r="AA5" s="67" t="s">
        <v>185</v>
      </c>
      <c r="AB5">
        <f>AB4/3.6*1000</f>
        <v>5166.666666666667</v>
      </c>
    </row>
    <row r="6" spans="1:30" ht="15.75" thickBot="1" x14ac:dyDescent="0.3">
      <c r="A6" s="119" t="str">
        <f>RES_Cr!D2</f>
        <v>IISCKE</v>
      </c>
      <c r="B6" s="86" t="str">
        <f>RES_Cr!D3</f>
        <v>Industry - Iron and Steel - Coke</v>
      </c>
      <c r="C6" s="85"/>
      <c r="D6" s="86"/>
      <c r="E6" s="87"/>
      <c r="F6" s="107"/>
      <c r="G6" s="88"/>
      <c r="H6" s="85" t="str">
        <f>C4</f>
        <v>IFCEAF-E</v>
      </c>
      <c r="I6" s="85" t="str">
        <f>D4</f>
        <v>FerroChrome existing</v>
      </c>
      <c r="J6" s="87" t="s">
        <v>116</v>
      </c>
      <c r="K6" s="120">
        <f>M17</f>
        <v>71.099999999999994</v>
      </c>
      <c r="L6" s="88"/>
      <c r="M6" s="67"/>
      <c r="Q6" s="115" t="s">
        <v>168</v>
      </c>
      <c r="R6" s="116" t="s">
        <v>169</v>
      </c>
      <c r="S6" s="116">
        <v>38</v>
      </c>
      <c r="U6" s="115" t="s">
        <v>174</v>
      </c>
      <c r="V6" s="116" t="s">
        <v>117</v>
      </c>
      <c r="W6" s="116">
        <v>35</v>
      </c>
      <c r="X6" s="116">
        <v>100</v>
      </c>
      <c r="Z6" s="67" t="s">
        <v>184</v>
      </c>
      <c r="AA6" s="67" t="s">
        <v>183</v>
      </c>
      <c r="AB6">
        <v>120</v>
      </c>
    </row>
    <row r="7" spans="1:30" ht="15.75" thickBot="1" x14ac:dyDescent="0.3">
      <c r="A7" s="119" t="str">
        <f>RES_Cr!E2</f>
        <v>INDCMU</v>
      </c>
      <c r="B7" s="86" t="str">
        <f>RES_Cr!F3</f>
        <v>Industry-FA-Electricity</v>
      </c>
      <c r="C7" s="78"/>
      <c r="D7" s="72"/>
      <c r="E7" s="84"/>
      <c r="F7" s="110"/>
      <c r="G7" s="73"/>
      <c r="H7" s="78" t="str">
        <f>RES_Cr!R9</f>
        <v>IFCEAF-E</v>
      </c>
      <c r="I7" s="72" t="str">
        <f>RES_Cr!R5</f>
        <v>FerroChrome existing</v>
      </c>
      <c r="J7" s="84" t="s">
        <v>116</v>
      </c>
      <c r="K7" s="120">
        <f>M16</f>
        <v>14.068115100000002</v>
      </c>
      <c r="L7" s="91"/>
      <c r="Q7" s="115" t="s">
        <v>143</v>
      </c>
      <c r="R7" s="116" t="s">
        <v>169</v>
      </c>
      <c r="S7" s="116">
        <v>45</v>
      </c>
      <c r="U7" s="115" t="s">
        <v>175</v>
      </c>
      <c r="V7" s="116" t="s">
        <v>176</v>
      </c>
      <c r="W7" s="116">
        <v>33.44</v>
      </c>
      <c r="X7" s="116">
        <v>11.7</v>
      </c>
      <c r="AB7" s="67" t="s">
        <v>198</v>
      </c>
    </row>
    <row r="8" spans="1:30" ht="15.75" thickBot="1" x14ac:dyDescent="0.3">
      <c r="A8" s="119" t="str">
        <f>RES_Cr!F2</f>
        <v>IFAELC</v>
      </c>
      <c r="B8" s="86" t="str">
        <f>RES_Cr!F3</f>
        <v>Industry-FA-Electricity</v>
      </c>
      <c r="C8" s="74"/>
      <c r="D8" s="75"/>
      <c r="E8" s="75"/>
      <c r="F8" s="75"/>
      <c r="G8" s="76"/>
      <c r="H8" s="74" t="str">
        <f>H6</f>
        <v>IFCEAF-E</v>
      </c>
      <c r="I8" s="75" t="str">
        <f>I6</f>
        <v>FerroChrome existing</v>
      </c>
      <c r="J8" s="82" t="s">
        <v>116</v>
      </c>
      <c r="K8" s="120">
        <f>M15*3.6/1000</f>
        <v>43.065684000000005</v>
      </c>
      <c r="L8" s="76"/>
      <c r="M8" s="67"/>
      <c r="Q8" s="117" t="s">
        <v>180</v>
      </c>
      <c r="U8" s="115" t="s">
        <v>177</v>
      </c>
      <c r="V8" s="116" t="s">
        <v>178</v>
      </c>
      <c r="W8" s="116">
        <v>211.01</v>
      </c>
      <c r="X8" s="116">
        <v>189.27</v>
      </c>
      <c r="AB8" t="s">
        <v>188</v>
      </c>
      <c r="AC8" t="s">
        <v>189</v>
      </c>
      <c r="AD8">
        <f>X8/1000</f>
        <v>0.18927000000000002</v>
      </c>
    </row>
    <row r="9" spans="1:30" ht="13.5" thickBot="1" x14ac:dyDescent="0.25">
      <c r="A9" s="67" t="s">
        <v>228</v>
      </c>
      <c r="B9" t="str">
        <f>Commodities_BASE!C18</f>
        <v>Process Emissions FerroChrome South Africa</v>
      </c>
      <c r="C9" s="72" t="str">
        <f>C4</f>
        <v>IFCEAF-E</v>
      </c>
      <c r="D9" s="72" t="str">
        <f>D4</f>
        <v>FerroChrome existing</v>
      </c>
      <c r="E9" s="72" t="s">
        <v>139</v>
      </c>
      <c r="F9" s="125">
        <v>3225</v>
      </c>
      <c r="G9" s="73"/>
      <c r="H9" s="78"/>
      <c r="I9" s="72"/>
      <c r="K9" s="72"/>
      <c r="L9" s="72"/>
      <c r="M9" s="67"/>
      <c r="U9" s="115" t="s">
        <v>179</v>
      </c>
      <c r="V9" s="116" t="s">
        <v>117</v>
      </c>
      <c r="W9" s="116">
        <v>73.400000000000006</v>
      </c>
      <c r="X9" s="116">
        <v>81.8</v>
      </c>
      <c r="AC9" t="s">
        <v>191</v>
      </c>
      <c r="AD9" s="249" t="e">
        <f>#REF!/AB4</f>
        <v>#REF!</v>
      </c>
    </row>
    <row r="10" spans="1:30" x14ac:dyDescent="0.2">
      <c r="A10" t="s">
        <v>186</v>
      </c>
      <c r="B10" t="str">
        <f>Commodities_BASE!C20</f>
        <v>CH4S South Africa</v>
      </c>
      <c r="C10" t="str">
        <f>C9</f>
        <v>IFCEAF-E</v>
      </c>
      <c r="D10" t="str">
        <f>D9</f>
        <v>FerroChrome existing</v>
      </c>
      <c r="E10" t="s">
        <v>139</v>
      </c>
      <c r="F10">
        <v>0</v>
      </c>
      <c r="M10" s="67"/>
      <c r="U10" s="118" t="s">
        <v>181</v>
      </c>
      <c r="AC10" s="67" t="s">
        <v>199</v>
      </c>
      <c r="AD10" s="249" t="e">
        <f>1/AD9</f>
        <v>#REF!</v>
      </c>
    </row>
    <row r="11" spans="1:30" x14ac:dyDescent="0.2">
      <c r="AC11" s="67" t="s">
        <v>201</v>
      </c>
      <c r="AD11">
        <f>X5/3600</f>
        <v>0.10833333333333334</v>
      </c>
    </row>
    <row r="12" spans="1:30" x14ac:dyDescent="0.2">
      <c r="M12" s="67"/>
      <c r="AC12" s="67" t="s">
        <v>200</v>
      </c>
      <c r="AD12">
        <f>AD11/AB4</f>
        <v>5.8243727598566303E-3</v>
      </c>
    </row>
    <row r="13" spans="1:30" x14ac:dyDescent="0.2">
      <c r="K13" s="67" t="s">
        <v>225</v>
      </c>
    </row>
    <row r="14" spans="1:30" x14ac:dyDescent="0.2">
      <c r="P14">
        <v>4.8570000000000002</v>
      </c>
      <c r="Q14" s="67" t="s">
        <v>226</v>
      </c>
    </row>
    <row r="15" spans="1:30" x14ac:dyDescent="0.2">
      <c r="K15" t="s">
        <v>221</v>
      </c>
      <c r="M15">
        <v>11962.69</v>
      </c>
      <c r="N15" t="s">
        <v>222</v>
      </c>
      <c r="P15">
        <v>3.484</v>
      </c>
      <c r="Q15" s="67" t="s">
        <v>227</v>
      </c>
      <c r="AB15" s="67" t="s">
        <v>197</v>
      </c>
    </row>
    <row r="16" spans="1:30" x14ac:dyDescent="0.2">
      <c r="K16" t="s">
        <v>223</v>
      </c>
      <c r="M16" s="67">
        <v>14.068115100000002</v>
      </c>
      <c r="N16" t="s">
        <v>116</v>
      </c>
      <c r="AB16" t="s">
        <v>188</v>
      </c>
      <c r="AC16" t="s">
        <v>189</v>
      </c>
      <c r="AD16">
        <f>W8/1000</f>
        <v>0.21101</v>
      </c>
    </row>
    <row r="17" spans="1:30" x14ac:dyDescent="0.2">
      <c r="K17" t="s">
        <v>224</v>
      </c>
      <c r="M17">
        <v>71.099999999999994</v>
      </c>
      <c r="N17" t="s">
        <v>116</v>
      </c>
      <c r="AC17" t="s">
        <v>190</v>
      </c>
      <c r="AD17">
        <f>AD16*AB6</f>
        <v>25.321200000000001</v>
      </c>
    </row>
    <row r="18" spans="1:30" x14ac:dyDescent="0.2">
      <c r="H18"/>
      <c r="M18" s="67"/>
      <c r="AC18" t="s">
        <v>191</v>
      </c>
      <c r="AD18">
        <f>AD17/AB4</f>
        <v>1.3613548387096774</v>
      </c>
    </row>
    <row r="19" spans="1:30" ht="15.75" thickBot="1" x14ac:dyDescent="0.3">
      <c r="A19" s="78"/>
      <c r="B19" s="72"/>
      <c r="C19" s="102" t="s">
        <v>134</v>
      </c>
      <c r="D19" s="72"/>
      <c r="E19" s="72"/>
      <c r="F19" s="72"/>
      <c r="G19" s="73"/>
      <c r="H19" s="102" t="s">
        <v>136</v>
      </c>
      <c r="I19" s="72"/>
      <c r="J19" s="72"/>
      <c r="K19" s="72"/>
      <c r="L19" s="73"/>
    </row>
    <row r="20" spans="1:30" ht="13.5" thickBot="1" x14ac:dyDescent="0.25">
      <c r="A20" s="79" t="s">
        <v>141</v>
      </c>
      <c r="B20" s="80" t="s">
        <v>129</v>
      </c>
      <c r="C20" s="79" t="s">
        <v>142</v>
      </c>
      <c r="D20" s="80" t="s">
        <v>135</v>
      </c>
      <c r="E20" s="80" t="s">
        <v>137</v>
      </c>
      <c r="F20" s="80" t="s">
        <v>138</v>
      </c>
      <c r="G20" s="81" t="s">
        <v>159</v>
      </c>
      <c r="H20" s="79" t="s">
        <v>142</v>
      </c>
      <c r="I20" s="80" t="s">
        <v>135</v>
      </c>
      <c r="J20" s="80" t="s">
        <v>137</v>
      </c>
      <c r="K20" s="80" t="s">
        <v>138</v>
      </c>
      <c r="L20" s="81" t="s">
        <v>159</v>
      </c>
      <c r="M20" t="s">
        <v>140</v>
      </c>
      <c r="S20" s="67" t="s">
        <v>158</v>
      </c>
    </row>
    <row r="21" spans="1:30" ht="15" customHeight="1" thickBot="1" x14ac:dyDescent="0.25">
      <c r="A21" s="78" t="str">
        <f>RES_Mn!O2</f>
        <v>IFAMN</v>
      </c>
      <c r="B21" s="72" t="str">
        <f>RES_Mn!O3</f>
        <v>Industry - Ferro Alloy Metals production</v>
      </c>
      <c r="C21" s="78" t="str">
        <f>RES_Mn!M9</f>
        <v>IFMEAF-E</v>
      </c>
      <c r="D21" s="72" t="str">
        <f>RES_Mn!M5</f>
        <v>FerroMn existing</v>
      </c>
      <c r="E21" s="84" t="s">
        <v>131</v>
      </c>
      <c r="F21" s="106"/>
      <c r="G21" s="108" t="s">
        <v>160</v>
      </c>
      <c r="H21" s="78">
        <f>RES_Mn!T9</f>
        <v>0</v>
      </c>
      <c r="I21" s="72">
        <f>RES_Mn!T8</f>
        <v>0</v>
      </c>
      <c r="J21" s="84" t="s">
        <v>131</v>
      </c>
      <c r="K21" s="83">
        <f>F21</f>
        <v>0</v>
      </c>
      <c r="L21" s="73"/>
      <c r="Q21" s="113" t="s">
        <v>163</v>
      </c>
      <c r="R21" s="114" t="s">
        <v>164</v>
      </c>
      <c r="S21" s="114" t="s">
        <v>165</v>
      </c>
      <c r="U21" s="113"/>
      <c r="V21" s="114" t="s">
        <v>43</v>
      </c>
      <c r="W21" s="114" t="s">
        <v>170</v>
      </c>
      <c r="X21" s="114" t="s">
        <v>171</v>
      </c>
      <c r="Z21" t="s">
        <v>182</v>
      </c>
      <c r="AA21" s="67" t="s">
        <v>183</v>
      </c>
      <c r="AB21">
        <v>18.600000000000001</v>
      </c>
    </row>
    <row r="22" spans="1:30" ht="13.5" thickBot="1" x14ac:dyDescent="0.25">
      <c r="A22" s="71"/>
      <c r="C22" s="71"/>
      <c r="E22" s="67" t="s">
        <v>116</v>
      </c>
      <c r="F22" s="248">
        <f>O34</f>
        <v>0.4587</v>
      </c>
      <c r="G22" s="105"/>
      <c r="J22" s="67" t="s">
        <v>116</v>
      </c>
      <c r="K22" s="248">
        <f>Q34</f>
        <v>0.76100000000000001</v>
      </c>
      <c r="L22" s="246"/>
      <c r="M22" s="67"/>
      <c r="Q22" s="115" t="s">
        <v>166</v>
      </c>
      <c r="R22" s="116" t="s">
        <v>167</v>
      </c>
      <c r="S22" s="116">
        <v>28</v>
      </c>
      <c r="U22" s="115" t="s">
        <v>172</v>
      </c>
      <c r="V22" s="116" t="s">
        <v>173</v>
      </c>
      <c r="W22" s="116">
        <v>390</v>
      </c>
      <c r="X22" s="116">
        <v>390</v>
      </c>
      <c r="AA22" s="67" t="s">
        <v>185</v>
      </c>
      <c r="AB22">
        <f>AB21/3.6*1000</f>
        <v>5166.666666666667</v>
      </c>
    </row>
    <row r="23" spans="1:30" ht="15.75" thickBot="1" x14ac:dyDescent="0.3">
      <c r="A23" s="119" t="str">
        <f>RES_Mn!D2</f>
        <v>IISCKE</v>
      </c>
      <c r="B23" s="86" t="str">
        <f>RES_Mn!D3</f>
        <v>Industry - Iron and Steel - Coke</v>
      </c>
      <c r="C23" s="85"/>
      <c r="D23" s="86"/>
      <c r="E23" s="87"/>
      <c r="F23" s="107"/>
      <c r="G23" s="88"/>
      <c r="H23" s="85" t="str">
        <f>C21</f>
        <v>IFMEAF-E</v>
      </c>
      <c r="I23" s="85" t="str">
        <f>D21</f>
        <v>FerroMn existing</v>
      </c>
      <c r="J23" s="87" t="s">
        <v>116</v>
      </c>
      <c r="K23" s="120">
        <f>(1-X52)*U52*F22</f>
        <v>4.5161681860465128</v>
      </c>
      <c r="L23" s="88"/>
      <c r="M23" s="67"/>
      <c r="Q23" s="115" t="s">
        <v>168</v>
      </c>
      <c r="R23" s="116" t="s">
        <v>169</v>
      </c>
      <c r="S23" s="116">
        <v>38</v>
      </c>
      <c r="U23" s="115" t="s">
        <v>174</v>
      </c>
      <c r="V23" s="116" t="s">
        <v>117</v>
      </c>
      <c r="W23" s="116">
        <v>35</v>
      </c>
      <c r="X23" s="116">
        <v>100</v>
      </c>
      <c r="Z23" s="67" t="s">
        <v>184</v>
      </c>
      <c r="AA23" s="67" t="s">
        <v>183</v>
      </c>
      <c r="AB23">
        <v>120</v>
      </c>
    </row>
    <row r="24" spans="1:30" ht="15.75" thickBot="1" x14ac:dyDescent="0.3">
      <c r="A24" s="119" t="str">
        <f>RES_Mn!E2</f>
        <v>INDCMU</v>
      </c>
      <c r="B24" s="86" t="str">
        <f>RES_Mn!E3</f>
        <v>Coal feedstock</v>
      </c>
      <c r="C24" s="78"/>
      <c r="D24" s="72"/>
      <c r="E24" s="84"/>
      <c r="F24" s="110"/>
      <c r="G24" s="73"/>
      <c r="H24" s="78" t="str">
        <f>RES_Mn!M9</f>
        <v>IFMEAF-E</v>
      </c>
      <c r="I24" s="72" t="str">
        <f>RES_Mn!M5</f>
        <v>FerroMn existing</v>
      </c>
      <c r="J24" s="84" t="s">
        <v>116</v>
      </c>
      <c r="K24" s="120">
        <f>X52*U52*F22</f>
        <v>1.5053893953488375</v>
      </c>
      <c r="L24" s="247"/>
      <c r="Q24" s="115" t="s">
        <v>143</v>
      </c>
      <c r="R24" s="116" t="s">
        <v>169</v>
      </c>
      <c r="S24" s="116">
        <v>45</v>
      </c>
      <c r="U24" s="115" t="s">
        <v>175</v>
      </c>
      <c r="V24" s="116" t="s">
        <v>176</v>
      </c>
      <c r="W24" s="116">
        <v>33.44</v>
      </c>
      <c r="X24" s="116">
        <v>11.7</v>
      </c>
      <c r="AB24" s="67" t="s">
        <v>198</v>
      </c>
    </row>
    <row r="25" spans="1:30" ht="15.75" thickBot="1" x14ac:dyDescent="0.3">
      <c r="A25" s="119" t="str">
        <f>RES_Mn!F2</f>
        <v>IFAELC</v>
      </c>
      <c r="B25" s="86" t="str">
        <f>RES_Mn!F3</f>
        <v>Industry-FA-Electricity</v>
      </c>
      <c r="C25" s="74"/>
      <c r="D25" s="75"/>
      <c r="E25" s="75"/>
      <c r="F25" s="75"/>
      <c r="G25" s="76"/>
      <c r="H25" s="74" t="str">
        <f>H23</f>
        <v>IFMEAF-E</v>
      </c>
      <c r="I25" s="75" t="str">
        <f>I23</f>
        <v>FerroMn existing</v>
      </c>
      <c r="J25" s="82" t="s">
        <v>116</v>
      </c>
      <c r="K25" s="120">
        <f>U50*F22</f>
        <v>5.9447520000000003</v>
      </c>
      <c r="L25" s="76"/>
      <c r="M25" s="67"/>
      <c r="Q25" s="117" t="s">
        <v>180</v>
      </c>
      <c r="U25" s="115" t="s">
        <v>177</v>
      </c>
      <c r="V25" s="116" t="s">
        <v>178</v>
      </c>
      <c r="W25" s="116">
        <v>211.01</v>
      </c>
      <c r="X25" s="116">
        <v>189.27</v>
      </c>
      <c r="AB25" t="s">
        <v>188</v>
      </c>
      <c r="AC25" t="s">
        <v>189</v>
      </c>
      <c r="AD25">
        <f>X25/1000</f>
        <v>0.18927000000000002</v>
      </c>
    </row>
    <row r="26" spans="1:30" ht="13.5" thickBot="1" x14ac:dyDescent="0.25">
      <c r="A26" t="str">
        <f>Commodities_BASE!B19</f>
        <v>CO2SPIFM</v>
      </c>
      <c r="B26" t="str">
        <f>Commodities_BASE!C19</f>
        <v>Process Emissions FerroManganese South Africa</v>
      </c>
      <c r="C26" s="72" t="str">
        <f>C21</f>
        <v>IFMEAF-E</v>
      </c>
      <c r="D26" s="72" t="str">
        <f>D21</f>
        <v>FerroMn existing</v>
      </c>
      <c r="E26" s="72" t="s">
        <v>139</v>
      </c>
      <c r="F26" s="125">
        <v>3225</v>
      </c>
      <c r="G26" s="73"/>
      <c r="H26" s="78"/>
      <c r="I26" s="72"/>
      <c r="K26" s="72"/>
      <c r="L26" s="72"/>
      <c r="M26" s="67" t="s">
        <v>507</v>
      </c>
      <c r="U26" s="115" t="s">
        <v>179</v>
      </c>
      <c r="V26" s="116" t="s">
        <v>117</v>
      </c>
      <c r="W26" s="116">
        <v>73.400000000000006</v>
      </c>
      <c r="X26" s="116">
        <v>81.8</v>
      </c>
      <c r="AC26" t="s">
        <v>191</v>
      </c>
      <c r="AD26" s="249" t="e">
        <f>#REF!/AB21</f>
        <v>#REF!</v>
      </c>
    </row>
    <row r="27" spans="1:30" x14ac:dyDescent="0.2">
      <c r="A27" t="s">
        <v>186</v>
      </c>
      <c r="B27" t="str">
        <f>Commodities_BASE!C20</f>
        <v>CH4S South Africa</v>
      </c>
      <c r="C27" t="str">
        <f>C26</f>
        <v>IFMEAF-E</v>
      </c>
      <c r="D27" t="str">
        <f>D26</f>
        <v>FerroMn existing</v>
      </c>
      <c r="E27" t="s">
        <v>139</v>
      </c>
      <c r="F27">
        <v>0</v>
      </c>
      <c r="M27" s="67"/>
      <c r="U27" s="118" t="s">
        <v>181</v>
      </c>
      <c r="AC27" s="67" t="s">
        <v>199</v>
      </c>
      <c r="AD27" s="249" t="e">
        <f>1/AD26</f>
        <v>#REF!</v>
      </c>
    </row>
    <row r="28" spans="1:30" x14ac:dyDescent="0.2">
      <c r="AC28" s="67" t="s">
        <v>201</v>
      </c>
      <c r="AD28">
        <f>X22/3600</f>
        <v>0.10833333333333334</v>
      </c>
    </row>
    <row r="29" spans="1:30" x14ac:dyDescent="0.2">
      <c r="M29" s="67"/>
      <c r="AC29" s="67" t="s">
        <v>200</v>
      </c>
      <c r="AD29">
        <f>AD28/AB21</f>
        <v>5.8243727598566303E-3</v>
      </c>
    </row>
    <row r="30" spans="1:30" x14ac:dyDescent="0.2">
      <c r="O30" s="67" t="s">
        <v>506</v>
      </c>
    </row>
    <row r="31" spans="1:30" ht="31.5" customHeight="1" x14ac:dyDescent="0.2">
      <c r="O31" s="78"/>
      <c r="P31" s="72"/>
      <c r="Q31" s="72"/>
      <c r="R31" s="72"/>
      <c r="S31" s="72"/>
      <c r="T31" s="73"/>
    </row>
    <row r="32" spans="1:30" x14ac:dyDescent="0.2">
      <c r="O32" s="71">
        <v>2017</v>
      </c>
      <c r="Q32" s="67" t="s">
        <v>505</v>
      </c>
      <c r="T32" s="246"/>
      <c r="AB32" s="67" t="s">
        <v>197</v>
      </c>
    </row>
    <row r="33" spans="13:30" x14ac:dyDescent="0.2">
      <c r="M33" s="67"/>
      <c r="O33" s="71">
        <v>3.7</v>
      </c>
      <c r="P33" s="67" t="s">
        <v>504</v>
      </c>
      <c r="Q33">
        <v>4.8</v>
      </c>
      <c r="T33" s="246"/>
      <c r="AB33" t="s">
        <v>188</v>
      </c>
      <c r="AC33" t="s">
        <v>189</v>
      </c>
      <c r="AD33">
        <f>W25/1000</f>
        <v>0.21101</v>
      </c>
    </row>
    <row r="34" spans="13:30" x14ac:dyDescent="0.2">
      <c r="N34" s="67" t="s">
        <v>503</v>
      </c>
      <c r="O34" s="71">
        <v>0.4587</v>
      </c>
      <c r="P34" s="67" t="s">
        <v>502</v>
      </c>
      <c r="Q34">
        <f>T34/1000</f>
        <v>0.76100000000000001</v>
      </c>
      <c r="R34" s="67" t="s">
        <v>501</v>
      </c>
      <c r="T34" s="246">
        <f>312+116+132+161+40</f>
        <v>761</v>
      </c>
      <c r="AC34" t="s">
        <v>190</v>
      </c>
      <c r="AD34">
        <f>AD33*AB23</f>
        <v>25.321200000000001</v>
      </c>
    </row>
    <row r="35" spans="13:30" x14ac:dyDescent="0.2">
      <c r="M35" s="67"/>
      <c r="O35" s="71">
        <v>0.2</v>
      </c>
      <c r="P35" s="67" t="s">
        <v>500</v>
      </c>
      <c r="Q35">
        <f>O35</f>
        <v>0.2</v>
      </c>
      <c r="T35" s="246"/>
      <c r="AC35" t="s">
        <v>191</v>
      </c>
      <c r="AD35">
        <f>AD34/AB21</f>
        <v>1.3613548387096774</v>
      </c>
    </row>
    <row r="36" spans="13:30" x14ac:dyDescent="0.2">
      <c r="O36" s="71">
        <f>SUM(O33:O35)</f>
        <v>4.3587000000000007</v>
      </c>
      <c r="Q36">
        <f>SUM(Q33:Q35)</f>
        <v>5.7610000000000001</v>
      </c>
      <c r="T36" s="246"/>
      <c r="AC36" s="67" t="s">
        <v>199</v>
      </c>
      <c r="AD36">
        <f>1/AD35</f>
        <v>0.73456234301691858</v>
      </c>
    </row>
    <row r="37" spans="13:30" x14ac:dyDescent="0.2">
      <c r="M37" s="67"/>
      <c r="O37" s="71"/>
      <c r="T37" s="246"/>
    </row>
    <row r="38" spans="13:30" x14ac:dyDescent="0.2">
      <c r="M38" s="67"/>
      <c r="O38" s="74"/>
      <c r="P38" s="75"/>
      <c r="Q38" s="75"/>
      <c r="R38" s="75"/>
      <c r="S38" s="75"/>
      <c r="T38" s="76"/>
    </row>
    <row r="39" spans="13:30" x14ac:dyDescent="0.2">
      <c r="M39" s="67"/>
    </row>
    <row r="40" spans="13:30" x14ac:dyDescent="0.2">
      <c r="M40" s="67"/>
      <c r="O40" s="245" t="s">
        <v>499</v>
      </c>
      <c r="P40" s="239"/>
      <c r="Q40" s="239"/>
      <c r="R40" s="239"/>
      <c r="S40" s="239"/>
      <c r="T40" s="239"/>
      <c r="U40" s="239"/>
      <c r="V40" s="239"/>
      <c r="W40" s="239"/>
    </row>
    <row r="41" spans="13:30" x14ac:dyDescent="0.2">
      <c r="M41" s="67"/>
      <c r="O41" s="239"/>
      <c r="P41" s="239"/>
      <c r="Q41" s="239" t="s">
        <v>498</v>
      </c>
      <c r="R41" s="239" t="s">
        <v>497</v>
      </c>
      <c r="S41" s="239"/>
      <c r="T41" s="239"/>
      <c r="U41" s="239"/>
      <c r="V41" s="239"/>
      <c r="W41" s="239"/>
    </row>
    <row r="42" spans="13:30" x14ac:dyDescent="0.2">
      <c r="M42" s="67"/>
      <c r="O42" s="239" t="s">
        <v>496</v>
      </c>
      <c r="P42" s="239" t="s">
        <v>495</v>
      </c>
      <c r="Q42" s="239">
        <v>480</v>
      </c>
      <c r="R42" s="239">
        <v>312</v>
      </c>
      <c r="S42" s="239" t="s">
        <v>491</v>
      </c>
      <c r="T42" s="240" t="s">
        <v>494</v>
      </c>
      <c r="U42" s="239"/>
      <c r="V42" s="239"/>
      <c r="W42" s="239"/>
    </row>
    <row r="43" spans="13:30" x14ac:dyDescent="0.2">
      <c r="M43" s="67"/>
      <c r="O43" s="239"/>
      <c r="P43" s="239" t="s">
        <v>493</v>
      </c>
      <c r="Q43" s="239">
        <v>240</v>
      </c>
      <c r="R43" s="239">
        <v>116</v>
      </c>
      <c r="S43" s="239" t="s">
        <v>491</v>
      </c>
      <c r="T43" s="240" t="s">
        <v>489</v>
      </c>
      <c r="U43" s="239"/>
      <c r="V43" s="239"/>
      <c r="W43" s="239"/>
    </row>
    <row r="44" spans="13:30" x14ac:dyDescent="0.2">
      <c r="M44" s="67"/>
      <c r="O44" s="239"/>
      <c r="P44" s="239" t="s">
        <v>492</v>
      </c>
      <c r="Q44" s="239">
        <v>270</v>
      </c>
      <c r="R44" s="239">
        <v>132</v>
      </c>
      <c r="S44" s="239" t="s">
        <v>491</v>
      </c>
      <c r="T44" s="240" t="s">
        <v>489</v>
      </c>
      <c r="U44" s="239"/>
      <c r="V44" s="239"/>
      <c r="W44" s="239"/>
    </row>
    <row r="45" spans="13:30" x14ac:dyDescent="0.2">
      <c r="M45" s="67"/>
      <c r="O45" s="239"/>
      <c r="P45" s="239" t="s">
        <v>490</v>
      </c>
      <c r="Q45" s="239">
        <v>180</v>
      </c>
      <c r="R45" s="239">
        <v>161</v>
      </c>
      <c r="S45" s="239" t="s">
        <v>476</v>
      </c>
      <c r="T45" s="240" t="s">
        <v>489</v>
      </c>
      <c r="U45" s="239"/>
      <c r="V45" s="239"/>
      <c r="W45" s="239"/>
    </row>
    <row r="46" spans="13:30" x14ac:dyDescent="0.2">
      <c r="M46" s="67"/>
      <c r="O46" s="239"/>
      <c r="P46" s="239" t="s">
        <v>488</v>
      </c>
      <c r="Q46" s="239">
        <v>40</v>
      </c>
      <c r="R46" s="239">
        <v>40</v>
      </c>
      <c r="S46" s="239" t="s">
        <v>476</v>
      </c>
      <c r="T46" s="239" t="s">
        <v>487</v>
      </c>
      <c r="U46" s="239"/>
      <c r="V46" s="239"/>
      <c r="W46" s="239"/>
    </row>
    <row r="47" spans="13:30" x14ac:dyDescent="0.2">
      <c r="M47" s="67"/>
      <c r="O47" s="239"/>
      <c r="P47" s="239"/>
      <c r="Q47" s="239"/>
      <c r="R47" s="239"/>
      <c r="S47" s="239"/>
      <c r="T47" s="239"/>
      <c r="U47" s="239"/>
      <c r="V47" s="239"/>
      <c r="W47" s="239"/>
    </row>
    <row r="48" spans="13:30" x14ac:dyDescent="0.2">
      <c r="M48" s="67"/>
      <c r="O48" s="239"/>
      <c r="P48" s="239"/>
      <c r="Q48" s="239"/>
      <c r="R48" s="239"/>
      <c r="S48" s="239"/>
      <c r="T48" s="239"/>
      <c r="U48" s="239"/>
      <c r="V48" s="239"/>
      <c r="W48" s="239"/>
    </row>
    <row r="49" spans="13:24" x14ac:dyDescent="0.2">
      <c r="M49" s="67"/>
      <c r="O49" s="244"/>
      <c r="P49" s="244"/>
      <c r="Q49" s="244"/>
      <c r="R49" s="243" t="s">
        <v>486</v>
      </c>
      <c r="S49" s="243" t="s">
        <v>485</v>
      </c>
      <c r="T49" s="243" t="s">
        <v>484</v>
      </c>
      <c r="U49" s="240" t="s">
        <v>483</v>
      </c>
      <c r="V49" s="243" t="s">
        <v>482</v>
      </c>
      <c r="W49" s="243" t="s">
        <v>481</v>
      </c>
      <c r="X49" s="242" t="s">
        <v>480</v>
      </c>
    </row>
    <row r="50" spans="13:24" x14ac:dyDescent="0.2">
      <c r="M50" s="67"/>
      <c r="O50" s="240" t="s">
        <v>477</v>
      </c>
      <c r="P50" s="240" t="s">
        <v>479</v>
      </c>
      <c r="Q50" s="240" t="s">
        <v>478</v>
      </c>
      <c r="R50" s="239">
        <v>2.1520000000000001</v>
      </c>
      <c r="S50" s="239">
        <v>3.395</v>
      </c>
      <c r="T50" s="239">
        <v>3.6</v>
      </c>
      <c r="U50" s="239">
        <f>T50*3.6</f>
        <v>12.96</v>
      </c>
      <c r="V50" s="239">
        <f>T50*O34*1000</f>
        <v>1651.3200000000002</v>
      </c>
      <c r="W50" s="239">
        <f>V50*3.6/1000</f>
        <v>5.9447520000000003</v>
      </c>
      <c r="X50" s="239"/>
    </row>
    <row r="51" spans="13:24" x14ac:dyDescent="0.2">
      <c r="M51" s="67"/>
      <c r="O51" s="240" t="s">
        <v>477</v>
      </c>
      <c r="P51" s="240" t="s">
        <v>476</v>
      </c>
      <c r="Q51" s="239"/>
      <c r="R51" s="239"/>
      <c r="S51" s="239"/>
      <c r="T51" s="239">
        <v>4.8</v>
      </c>
      <c r="U51" s="239"/>
      <c r="V51" s="239"/>
      <c r="W51" s="239"/>
      <c r="X51" s="239"/>
    </row>
    <row r="52" spans="13:24" x14ac:dyDescent="0.2">
      <c r="M52" s="67"/>
      <c r="O52" s="240" t="s">
        <v>475</v>
      </c>
      <c r="P52" s="239"/>
      <c r="Q52" s="239"/>
      <c r="R52" s="239"/>
      <c r="S52" s="239"/>
      <c r="T52" s="239"/>
      <c r="U52" s="239">
        <f>2.8*3.6*0.56/0.43</f>
        <v>13.127441860465119</v>
      </c>
      <c r="V52" s="239"/>
      <c r="W52" s="239">
        <f>W50*0.56/0.43</f>
        <v>7.7420026046511641</v>
      </c>
      <c r="X52" s="241">
        <v>0.25</v>
      </c>
    </row>
    <row r="53" spans="13:24" x14ac:dyDescent="0.2">
      <c r="M53" s="67"/>
      <c r="O53" s="239"/>
      <c r="P53" s="239"/>
      <c r="Q53" s="239"/>
      <c r="R53" s="239"/>
      <c r="S53" s="239"/>
      <c r="T53" s="239"/>
      <c r="U53" s="239"/>
      <c r="V53" s="239"/>
      <c r="W53" s="239"/>
    </row>
    <row r="54" spans="13:24" x14ac:dyDescent="0.2">
      <c r="M54" s="67"/>
      <c r="O54" s="239"/>
      <c r="P54" s="239"/>
      <c r="Q54" s="239"/>
      <c r="R54" s="239"/>
      <c r="S54" s="239"/>
      <c r="T54" s="239"/>
      <c r="U54" s="239"/>
      <c r="V54" s="239"/>
      <c r="W54" s="239"/>
    </row>
    <row r="55" spans="13:24" x14ac:dyDescent="0.2">
      <c r="M55" s="67"/>
      <c r="O55" s="240" t="s">
        <v>474</v>
      </c>
      <c r="P55" s="239"/>
      <c r="Q55" s="239"/>
      <c r="R55" s="239"/>
      <c r="S55" s="239"/>
      <c r="T55" s="239">
        <v>2.8</v>
      </c>
      <c r="U55" s="239">
        <f>T55*3.6</f>
        <v>10.08</v>
      </c>
      <c r="V55" s="240" t="s">
        <v>473</v>
      </c>
      <c r="W55" s="239"/>
    </row>
    <row r="56" spans="13:24" x14ac:dyDescent="0.2">
      <c r="M56" s="67"/>
    </row>
    <row r="57" spans="13:24" x14ac:dyDescent="0.2">
      <c r="M57" s="67"/>
    </row>
    <row r="58" spans="13:24" x14ac:dyDescent="0.2">
      <c r="M58" s="67"/>
      <c r="O58" s="238" t="s">
        <v>313</v>
      </c>
      <c r="P58" s="238" t="s">
        <v>469</v>
      </c>
      <c r="Q58" s="237"/>
      <c r="R58" s="237">
        <v>84.69</v>
      </c>
      <c r="S58" s="238" t="s">
        <v>472</v>
      </c>
      <c r="T58" s="237"/>
      <c r="U58" s="237"/>
      <c r="V58" s="237"/>
      <c r="W58" s="237"/>
    </row>
    <row r="59" spans="13:24" x14ac:dyDescent="0.2">
      <c r="M59" s="67"/>
      <c r="O59" s="238" t="s">
        <v>143</v>
      </c>
      <c r="P59" s="238" t="s">
        <v>469</v>
      </c>
      <c r="Q59" s="237"/>
      <c r="R59" s="237">
        <v>47.74</v>
      </c>
      <c r="S59" s="238" t="s">
        <v>471</v>
      </c>
      <c r="T59" s="237"/>
      <c r="U59" s="237"/>
      <c r="V59" s="237"/>
      <c r="W59" s="237"/>
    </row>
    <row r="60" spans="13:24" x14ac:dyDescent="0.2">
      <c r="M60" s="67"/>
      <c r="O60" s="238" t="s">
        <v>470</v>
      </c>
      <c r="P60" s="238" t="s">
        <v>469</v>
      </c>
      <c r="Q60" s="237"/>
      <c r="R60" s="237">
        <v>79</v>
      </c>
      <c r="S60" s="238" t="s">
        <v>468</v>
      </c>
      <c r="T60" s="237"/>
      <c r="U60" s="237"/>
      <c r="V60" s="237"/>
      <c r="W60" s="237"/>
    </row>
    <row r="61" spans="13:24" x14ac:dyDescent="0.2">
      <c r="M61" s="67"/>
    </row>
    <row r="62" spans="13:24" x14ac:dyDescent="0.2">
      <c r="M62" s="67"/>
    </row>
    <row r="63" spans="13:24" x14ac:dyDescent="0.2">
      <c r="M63" s="67"/>
    </row>
    <row r="64" spans="13:24" x14ac:dyDescent="0.2">
      <c r="M64" s="67"/>
    </row>
    <row r="65" spans="6:13" x14ac:dyDescent="0.2">
      <c r="M65" s="67"/>
    </row>
    <row r="66" spans="6:13" x14ac:dyDescent="0.2">
      <c r="M66" s="67"/>
    </row>
    <row r="67" spans="6:13" x14ac:dyDescent="0.2">
      <c r="M67" s="67"/>
    </row>
    <row r="68" spans="6:13" x14ac:dyDescent="0.2">
      <c r="M68" s="67"/>
    </row>
    <row r="69" spans="6:13" x14ac:dyDescent="0.2">
      <c r="M69" s="67"/>
    </row>
    <row r="70" spans="6:13" x14ac:dyDescent="0.2">
      <c r="M70" s="67"/>
    </row>
    <row r="71" spans="6:13" x14ac:dyDescent="0.2">
      <c r="M71" s="67"/>
    </row>
    <row r="72" spans="6:13" x14ac:dyDescent="0.2">
      <c r="M72" s="67"/>
    </row>
    <row r="73" spans="6:13" x14ac:dyDescent="0.2">
      <c r="F73" s="124"/>
      <c r="I73" s="124"/>
      <c r="J73" s="124"/>
      <c r="K73" s="124"/>
    </row>
    <row r="74" spans="6:13" x14ac:dyDescent="0.2">
      <c r="F74" s="124"/>
      <c r="I74" s="124"/>
      <c r="J74" s="124"/>
      <c r="K74" s="124"/>
    </row>
    <row r="75" spans="6:13" x14ac:dyDescent="0.2">
      <c r="F75" s="124"/>
      <c r="I75" s="124"/>
      <c r="J75" s="124"/>
      <c r="K75" s="124"/>
    </row>
    <row r="76" spans="6:13" x14ac:dyDescent="0.2">
      <c r="F76" s="124"/>
      <c r="I76" s="124"/>
      <c r="J76" s="124"/>
      <c r="K76" s="124"/>
    </row>
    <row r="78" spans="6:13" x14ac:dyDescent="0.2">
      <c r="I78" s="124"/>
      <c r="J78" s="124"/>
      <c r="K78" s="1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5703125" style="3" customWidth="1"/>
    <col min="2" max="2" width="42.5703125" style="3" customWidth="1"/>
    <col min="3" max="3" width="28.5703125" style="3" customWidth="1"/>
    <col min="4" max="4" width="21.7109375" style="3" customWidth="1"/>
    <col min="5" max="16384" width="9.140625" style="3"/>
  </cols>
  <sheetData>
    <row r="1" spans="1:4" x14ac:dyDescent="0.2">
      <c r="A1" s="2" t="s">
        <v>100</v>
      </c>
      <c r="B1" s="3" t="s">
        <v>101</v>
      </c>
    </row>
    <row r="3" spans="1:4" ht="18" customHeight="1" x14ac:dyDescent="0.2"/>
    <row r="7" spans="1:4" x14ac:dyDescent="0.2">
      <c r="A7" s="2" t="s">
        <v>16</v>
      </c>
      <c r="B7" s="2" t="s">
        <v>15</v>
      </c>
      <c r="C7" s="2" t="s">
        <v>1</v>
      </c>
      <c r="D7" s="2" t="s">
        <v>0</v>
      </c>
    </row>
    <row r="8" spans="1:4" x14ac:dyDescent="0.2">
      <c r="A8" s="5" t="s">
        <v>17</v>
      </c>
      <c r="B8" s="5" t="s">
        <v>18</v>
      </c>
      <c r="C8" s="5" t="s">
        <v>19</v>
      </c>
    </row>
    <row r="9" spans="1:4" x14ac:dyDescent="0.2">
      <c r="A9" s="2" t="s">
        <v>96</v>
      </c>
    </row>
    <row r="10" spans="1:4" x14ac:dyDescent="0.2">
      <c r="A10" s="3" t="s">
        <v>95</v>
      </c>
      <c r="B10" s="3" t="s">
        <v>95</v>
      </c>
      <c r="C10" s="5" t="s">
        <v>97</v>
      </c>
    </row>
    <row r="11" spans="1:4" x14ac:dyDescent="0.2">
      <c r="A11" s="3" t="s">
        <v>98</v>
      </c>
      <c r="B11" s="3" t="s">
        <v>98</v>
      </c>
      <c r="C11" s="5" t="s">
        <v>97</v>
      </c>
    </row>
    <row r="13" spans="1:4" x14ac:dyDescent="0.2">
      <c r="A13" s="2" t="s">
        <v>102</v>
      </c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About and Log</vt:lpstr>
      <vt:lpstr>SEC_Comm</vt:lpstr>
      <vt:lpstr>SEC_Processes</vt:lpstr>
      <vt:lpstr>Process Input</vt:lpstr>
      <vt:lpstr>Index</vt:lpstr>
      <vt:lpstr>RES_Cr</vt:lpstr>
      <vt:lpstr>RES_Mn</vt:lpstr>
      <vt:lpstr>EB_Exist</vt:lpstr>
      <vt:lpstr>Commodities_BASE</vt:lpstr>
      <vt:lpstr>CommData_BASE</vt:lpstr>
      <vt:lpstr>Processes_BASE</vt:lpstr>
      <vt:lpstr>ProcData_F_Mn_Cr - PAMS</vt:lpstr>
      <vt:lpstr>NetZero work</vt:lpstr>
      <vt:lpstr>Chrome methodology</vt:lpstr>
      <vt:lpstr>Sheet1</vt:lpstr>
      <vt:lpstr>Production and Capacity</vt:lpstr>
      <vt:lpstr>RES of chrome industry with EE</vt:lpstr>
      <vt:lpstr>FA_PAMS_index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 Call</cp:lastModifiedBy>
  <cp:lastPrinted>2005-06-23T04:07:43Z</cp:lastPrinted>
  <dcterms:created xsi:type="dcterms:W3CDTF">2005-05-01T12:39:10Z</dcterms:created>
  <dcterms:modified xsi:type="dcterms:W3CDTF">2023-10-16T14:26:05Z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