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odels\SATIMGE_Veda\suppxls\"/>
    </mc:Choice>
  </mc:AlternateContent>
  <xr:revisionPtr revIDLastSave="0" documentId="13_ncr:1_{F65E48DB-B879-4E5A-98B1-4E86E9666F84}" xr6:coauthVersionLast="47" xr6:coauthVersionMax="47" xr10:uidLastSave="{00000000-0000-0000-0000-000000000000}"/>
  <bookViews>
    <workbookView xWindow="1125" yWindow="1125" windowWidth="26610" windowHeight="13740" activeTab="1" xr2:uid="{7C70B42E-9201-48A9-B8F0-1466C79FDCED}"/>
  </bookViews>
  <sheets>
    <sheet name="CO2TaxInputs" sheetId="5" r:id="rId1"/>
    <sheet name="TS_TAX" sheetId="8" r:id="rId2"/>
    <sheet name="Inflation" sheetId="9" r:id="rId3"/>
    <sheet name="Text budget speech and BR" sheetId="10"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I">#REF!</definedName>
    <definedName name="\P">#REF!</definedName>
    <definedName name="__FDS_HYPERLINK_TOGGLE_STATE__" hidden="1">"ON"</definedName>
    <definedName name="_AMO_RefreshMultipleList" hidden="1">"'296899469 426988102 362274166 589584065 285770244'"</definedName>
    <definedName name="_AMO_SingleObject_296899469__A1" hidden="1">#REF!</definedName>
    <definedName name="_AMO_UniqueIdentifier" hidden="1">"'ee2dcedb-2b19-4872-8d76-977f9596c89e'"</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'[1]Oil Consumption – barrels'!#REF!</definedName>
    <definedName name="AGR">[2]Index!$C$7</definedName>
    <definedName name="COM">[2]Index!$C$8</definedName>
    <definedName name="CV_Coal">'[3]Calorific values'!$B$18</definedName>
    <definedName name="CV_GasSASOL">'[3]Calorific values'!$B$8</definedName>
    <definedName name="Demand.Sectors">[4]Index!$D$2:$J$2</definedName>
    <definedName name="diesel.cv">[5]units!$B$2</definedName>
    <definedName name="discount_rate">#REF!</definedName>
    <definedName name="dr">#REF!</definedName>
    <definedName name="drate">'[6]TechWATv5 (supwat5)'!$E$3</definedName>
    <definedName name="emissions_start">[4]NameConv!$AY$4</definedName>
    <definedName name="emissions_types">[4]NameConv!$AX$3</definedName>
    <definedName name="epp_start">#REF!</definedName>
    <definedName name="etech_data">#REF!</definedName>
    <definedName name="etech_parameters">#REF!</definedName>
    <definedName name="Exist_basic_data_start">#REF!</definedName>
    <definedName name="FuelNames">[4]NameConv!$B$5:$C$44</definedName>
    <definedName name="FuelNamesLong">[7]NameConv!$B$5:$B$46</definedName>
    <definedName name="FuelNamesShort">[7]NameConv!$C$5:$C$46</definedName>
    <definedName name="gwpch4">'[3]SASOL CC 2019 report'!$E$98</definedName>
    <definedName name="gwpn2o">'[3]SASOL CC 2019 report'!$E$97</definedName>
    <definedName name="H2.LHV.MJ_kg">'[8]Hydrogen-ELT'!$D$39</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chtocentimetre">[4]Distribution!$A$17</definedName>
    <definedName name="IND">[2]Index!$C$9</definedName>
    <definedName name="INIT">#REF!</definedName>
    <definedName name="InvConstraint">#REF!</definedName>
    <definedName name="LEAP">#REF!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el_RUN_code">[4]Index!$A$2</definedName>
    <definedName name="New_basic_data_start">'[9]New Capacity basic data'!$B$9</definedName>
    <definedName name="newtech_cat">#REF!</definedName>
    <definedName name="newtech_count">#REF!</definedName>
    <definedName name="newtech_data">#REF!</definedName>
    <definedName name="newtech_parameters">#REF!</definedName>
    <definedName name="Newtech_Start">#REF!</definedName>
    <definedName name="NONLEAP">#REF!</definedName>
    <definedName name="Pal_Workbook_GUID" hidden="1">"E2D7SR7Q3BDXUD24G1M1SK63"</definedName>
    <definedName name="par_TID_ETech">#REF!</definedName>
    <definedName name="par_TID_Ntech">#REF!</definedName>
    <definedName name="par_TS_ETech">#REF!</definedName>
    <definedName name="PeakContribution.Wind">#REF!</definedName>
    <definedName name="petrol.cv">[5]units!$B$3</definedName>
    <definedName name="Print1">#REF!</definedName>
    <definedName name="REF.crude.CAP_rel.2020">'[8]Crude refineries'!$F$56</definedName>
    <definedName name="REF.crude.CAP_rel.2021">'[8]Crude refineries'!$G$56</definedName>
    <definedName name="REF.crude.CAP_rel.2022">'[8]Crude refineries'!$H$56</definedName>
    <definedName name="REF.crude.CAP_rel.2030">'[8]Crude refineries'!$J$56</definedName>
    <definedName name="REF.crude.CAP_rel.2040">'[8]Crude refineries'!$L$56</definedName>
    <definedName name="RES">[2]Index!$C$10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ctor.Agriculture">[4]Index!$D$2</definedName>
    <definedName name="Sector.Commercial">[4]Index!$E$2</definedName>
    <definedName name="Sector.Industry">[4]Index!$F$2</definedName>
    <definedName name="Sector.Power">[4]Index!$I$2</definedName>
    <definedName name="Sector.Residential">[4]Index!$H$2</definedName>
    <definedName name="Sector.Supply">[4]Index!$J$2</definedName>
    <definedName name="Sector.Transport">[4]Index!$G$2</definedName>
    <definedName name="sector_prefix">[4]UPS!$B$6</definedName>
    <definedName name="SectorNamesLong">[7]NameConv!$C$51:$C$59</definedName>
    <definedName name="SectorNamesShort">[7]NameConv!$B$51:$B$59</definedName>
    <definedName name="TRA">[2]Index!$C$11</definedName>
    <definedName name="XLSIMSI" hidden="1">{"Sim",3,"Output 1","'Reworked data'!$AI$84","Output 2","'Reworked data'!$AJ$84","Output 3","'Reworked data'!$AK$84","1","2","100","0"}</definedName>
    <definedName name="XLSIMSIM" hidden="1">{"Sim",3,"Output 1","'Reworked data'!$AI$84","Output 2","'Reworked data'!$AJ$84","Output 3","'Reworked data'!$AK$84","1","2","100","0"}</definedName>
    <definedName name="zar.2006">[10]Deflator!$L$4</definedName>
    <definedName name="zar.2009">[10]Deflator!$O$4</definedName>
    <definedName name="zar.2010">[10]Deflator!$P$4</definedName>
    <definedName name="zar.2012">[10]Deflator!$R$4</definedName>
    <definedName name="zar.2013">[10]Deflator!$S$4</definedName>
    <definedName name="zar.2014">[10]Deflator!$T$4</definedName>
    <definedName name="zar.2015">[10]Deflator!$U$4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5" l="1"/>
  <c r="I2" i="5" l="1"/>
  <c r="AC4" i="5"/>
  <c r="AB4" i="5"/>
  <c r="AA4" i="5"/>
  <c r="Z4" i="5"/>
  <c r="Y4" i="5"/>
  <c r="X4" i="5"/>
  <c r="W4" i="5"/>
  <c r="V4" i="5"/>
  <c r="U4" i="5"/>
  <c r="T4" i="5"/>
  <c r="S4" i="5"/>
  <c r="R4" i="5"/>
  <c r="Q4" i="5"/>
  <c r="P4" i="5"/>
  <c r="O4" i="5"/>
  <c r="N4" i="5"/>
  <c r="M4" i="5"/>
  <c r="L4" i="5"/>
  <c r="K4" i="5"/>
  <c r="J4" i="5"/>
  <c r="I4" i="5"/>
  <c r="H4" i="5"/>
  <c r="G4" i="5"/>
  <c r="F4" i="5"/>
  <c r="E4" i="5"/>
  <c r="O36" i="9"/>
  <c r="O37" i="9" s="1"/>
  <c r="O38" i="9" s="1"/>
  <c r="O39" i="9" s="1"/>
  <c r="O40" i="9" s="1"/>
  <c r="O41" i="9" s="1"/>
  <c r="O42" i="9" s="1"/>
  <c r="O43" i="9" s="1"/>
  <c r="O35" i="9"/>
  <c r="O34" i="9"/>
  <c r="O33" i="9"/>
  <c r="O11" i="9"/>
  <c r="O12" i="9"/>
  <c r="O13" i="9"/>
  <c r="O14" i="9"/>
  <c r="O15" i="9"/>
  <c r="O16" i="9"/>
  <c r="O17" i="9"/>
  <c r="O18" i="9"/>
  <c r="O19" i="9"/>
  <c r="O20" i="9"/>
  <c r="O21" i="9"/>
  <c r="O22" i="9"/>
  <c r="O23" i="9"/>
  <c r="O24" i="9"/>
  <c r="O25" i="9"/>
  <c r="O26" i="9"/>
  <c r="O27" i="9"/>
  <c r="O28" i="9"/>
  <c r="O29" i="9"/>
  <c r="O30" i="9"/>
  <c r="O31" i="9"/>
  <c r="O32" i="9"/>
  <c r="O10" i="9"/>
  <c r="O7" i="9"/>
  <c r="O8" i="9"/>
  <c r="O9" i="9"/>
  <c r="O6" i="9"/>
  <c r="O5" i="9"/>
  <c r="O4" i="9"/>
  <c r="O3" i="9"/>
  <c r="O2" i="9"/>
  <c r="N2" i="9" a="1"/>
  <c r="N2" i="9" s="1"/>
  <c r="N9" i="9" l="1"/>
  <c r="N6" i="9"/>
  <c r="N13" i="9"/>
  <c r="N5" i="9"/>
  <c r="N12" i="9"/>
  <c r="N4" i="9"/>
  <c r="N8" i="9"/>
  <c r="N11" i="9"/>
  <c r="N3" i="9"/>
  <c r="N7" i="9"/>
  <c r="N10" i="9"/>
  <c r="B34" i="9" l="1"/>
  <c r="G14" i="9"/>
  <c r="B14" i="9" s="1"/>
  <c r="B13" i="9"/>
  <c r="B10" i="9" s="1"/>
  <c r="C9" i="9"/>
  <c r="D9" i="9" s="1"/>
  <c r="H8" i="9"/>
  <c r="H43" i="9" s="1"/>
  <c r="J6" i="9"/>
  <c r="B6" i="9"/>
  <c r="C6" i="9" s="1"/>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C5" i="9"/>
  <c r="F5" i="9" s="1"/>
  <c r="M5" i="9" s="1"/>
  <c r="E4" i="9"/>
  <c r="C4" i="9"/>
  <c r="F4" i="9" s="1"/>
  <c r="M4" i="9" s="1"/>
  <c r="AB3" i="5"/>
  <c r="AA3" i="5"/>
  <c r="Z3" i="5"/>
  <c r="Y3" i="5"/>
  <c r="X3" i="5"/>
  <c r="W3" i="5"/>
  <c r="V3" i="5"/>
  <c r="U3" i="5"/>
  <c r="T3" i="5"/>
  <c r="S3" i="5"/>
  <c r="R3" i="5"/>
  <c r="Q3" i="5"/>
  <c r="O3" i="5"/>
  <c r="N3" i="5"/>
  <c r="M3" i="5"/>
  <c r="L3" i="5"/>
  <c r="K3" i="5"/>
  <c r="J3" i="5"/>
  <c r="F3" i="5"/>
  <c r="G3" i="5" s="1"/>
  <c r="H3" i="5" s="1"/>
  <c r="I3" i="5" s="1"/>
  <c r="H19" i="9" l="1"/>
  <c r="H27" i="9"/>
  <c r="B7" i="9"/>
  <c r="C7" i="9" s="1"/>
  <c r="D5" i="9"/>
  <c r="H34" i="9"/>
  <c r="F34" i="9" s="1"/>
  <c r="M34" i="9" s="1"/>
  <c r="H42" i="9"/>
  <c r="H12" i="9"/>
  <c r="F6" i="9"/>
  <c r="M6" i="9" s="1"/>
  <c r="D6" i="9"/>
  <c r="C14" i="9"/>
  <c r="D14" i="9" s="1"/>
  <c r="F7" i="9"/>
  <c r="M7" i="9" s="1"/>
  <c r="D7" i="9"/>
  <c r="C10" i="9"/>
  <c r="D10" i="9" s="1"/>
  <c r="H18" i="9"/>
  <c r="H26" i="9"/>
  <c r="H41" i="9"/>
  <c r="D4" i="9"/>
  <c r="H11" i="9"/>
  <c r="C13" i="9"/>
  <c r="D13" i="9" s="1"/>
  <c r="H17" i="9"/>
  <c r="H25" i="9"/>
  <c r="H33" i="9"/>
  <c r="H40" i="9"/>
  <c r="G15" i="9"/>
  <c r="H16" i="9"/>
  <c r="H24" i="9"/>
  <c r="H32" i="9"/>
  <c r="H39" i="9"/>
  <c r="B8" i="9"/>
  <c r="C8" i="9" s="1"/>
  <c r="H10" i="9"/>
  <c r="F10" i="9" s="1"/>
  <c r="M10" i="9" s="1"/>
  <c r="H15" i="9"/>
  <c r="H23" i="9"/>
  <c r="H31" i="9"/>
  <c r="C34" i="9"/>
  <c r="D34" i="9" s="1"/>
  <c r="H38" i="9"/>
  <c r="B11" i="9"/>
  <c r="B12" i="9" s="1"/>
  <c r="H14" i="9"/>
  <c r="F14" i="9" s="1"/>
  <c r="M14" i="9" s="1"/>
  <c r="H22" i="9"/>
  <c r="H30" i="9"/>
  <c r="H37" i="9"/>
  <c r="H9" i="9"/>
  <c r="F9" i="9" s="1"/>
  <c r="M9" i="9" s="1"/>
  <c r="H13" i="9"/>
  <c r="F13" i="9" s="1"/>
  <c r="M13" i="9" s="1"/>
  <c r="H21" i="9"/>
  <c r="H29" i="9"/>
  <c r="H36" i="9"/>
  <c r="H20" i="9"/>
  <c r="H28" i="9"/>
  <c r="H35" i="9"/>
  <c r="C12" i="9" l="1"/>
  <c r="D12" i="9" s="1"/>
  <c r="F12" i="9"/>
  <c r="M12" i="9" s="1"/>
  <c r="B15" i="9"/>
  <c r="G16" i="9"/>
  <c r="D8" i="9"/>
  <c r="F8" i="9"/>
  <c r="M8" i="9" s="1"/>
  <c r="C11" i="9"/>
  <c r="D11" i="9" s="1"/>
  <c r="F11" i="9"/>
  <c r="M11" i="9" s="1"/>
  <c r="B16" i="9" l="1"/>
  <c r="G17" i="9"/>
  <c r="C15" i="9"/>
  <c r="D15" i="9" s="1"/>
  <c r="F15" i="9"/>
  <c r="M15" i="9" s="1"/>
  <c r="B17" i="9" l="1"/>
  <c r="G18" i="9"/>
  <c r="C16" i="9"/>
  <c r="D16" i="9" s="1"/>
  <c r="F16" i="9"/>
  <c r="M16" i="9" s="1"/>
  <c r="G19" i="9" l="1"/>
  <c r="B18" i="9"/>
  <c r="C17" i="9"/>
  <c r="D17" i="9" s="1"/>
  <c r="F17" i="9"/>
  <c r="M17" i="9" s="1"/>
  <c r="F18" i="9" l="1"/>
  <c r="M18" i="9" s="1"/>
  <c r="C18" i="9"/>
  <c r="D18" i="9" s="1"/>
  <c r="G20" i="9"/>
  <c r="B19" i="9"/>
  <c r="F19" i="9" l="1"/>
  <c r="M19" i="9" s="1"/>
  <c r="C19" i="9"/>
  <c r="D19" i="9" s="1"/>
  <c r="G21" i="9"/>
  <c r="B20" i="9"/>
  <c r="F20" i="9" l="1"/>
  <c r="M20" i="9" s="1"/>
  <c r="C20" i="9"/>
  <c r="D20" i="9" s="1"/>
  <c r="B21" i="9"/>
  <c r="G22" i="9"/>
  <c r="B22" i="9" l="1"/>
  <c r="G23" i="9"/>
  <c r="F21" i="9"/>
  <c r="M21" i="9" s="1"/>
  <c r="C21" i="9"/>
  <c r="D21" i="9" s="1"/>
  <c r="B23" i="9" l="1"/>
  <c r="G24" i="9"/>
  <c r="C22" i="9"/>
  <c r="D22" i="9" s="1"/>
  <c r="F22" i="9"/>
  <c r="M22" i="9" s="1"/>
  <c r="B24" i="9" l="1"/>
  <c r="G25" i="9"/>
  <c r="C23" i="9"/>
  <c r="D23" i="9" s="1"/>
  <c r="F23" i="9"/>
  <c r="M23" i="9" s="1"/>
  <c r="B25" i="9" l="1"/>
  <c r="G26" i="9"/>
  <c r="C24" i="9"/>
  <c r="D24" i="9" s="1"/>
  <c r="F24" i="9"/>
  <c r="M24" i="9" s="1"/>
  <c r="G27" i="9" l="1"/>
  <c r="B26" i="9"/>
  <c r="C25" i="9"/>
  <c r="D25" i="9" s="1"/>
  <c r="F25" i="9"/>
  <c r="M25" i="9" s="1"/>
  <c r="F26" i="9" l="1"/>
  <c r="M26" i="9" s="1"/>
  <c r="C26" i="9"/>
  <c r="D26" i="9" s="1"/>
  <c r="G28" i="9"/>
  <c r="B27" i="9"/>
  <c r="F27" i="9" l="1"/>
  <c r="M27" i="9" s="1"/>
  <c r="C27" i="9"/>
  <c r="D27" i="9" s="1"/>
  <c r="G29" i="9"/>
  <c r="B28" i="9"/>
  <c r="F28" i="9" l="1"/>
  <c r="M28" i="9" s="1"/>
  <c r="C28" i="9"/>
  <c r="D28" i="9" s="1"/>
  <c r="B29" i="9"/>
  <c r="G30" i="9"/>
  <c r="F29" i="9" l="1"/>
  <c r="M29" i="9" s="1"/>
  <c r="C29" i="9"/>
  <c r="D29" i="9" s="1"/>
  <c r="B30" i="9"/>
  <c r="G31" i="9"/>
  <c r="B31" i="9" l="1"/>
  <c r="G32" i="9"/>
  <c r="C30" i="9"/>
  <c r="D30" i="9" s="1"/>
  <c r="F30" i="9"/>
  <c r="M30" i="9" s="1"/>
  <c r="B32" i="9" l="1"/>
  <c r="G33" i="9"/>
  <c r="C31" i="9"/>
  <c r="D31" i="9" s="1"/>
  <c r="F31" i="9"/>
  <c r="M31" i="9" s="1"/>
  <c r="G35" i="9" l="1"/>
  <c r="B33" i="9"/>
  <c r="C32" i="9"/>
  <c r="D32" i="9" s="1"/>
  <c r="F32" i="9"/>
  <c r="M32" i="9" s="1"/>
  <c r="C33" i="9" l="1"/>
  <c r="D33" i="9" s="1"/>
  <c r="F33" i="9"/>
  <c r="M33" i="9" s="1"/>
  <c r="G36" i="9"/>
  <c r="B35" i="9"/>
  <c r="G37" i="9" l="1"/>
  <c r="B36" i="9"/>
  <c r="F35" i="9"/>
  <c r="M35" i="9" s="1"/>
  <c r="C35" i="9"/>
  <c r="D35" i="9" s="1"/>
  <c r="F36" i="9" l="1"/>
  <c r="M36" i="9" s="1"/>
  <c r="C36" i="9"/>
  <c r="D36" i="9" s="1"/>
  <c r="B37" i="9"/>
  <c r="G38" i="9"/>
  <c r="B38" i="9" l="1"/>
  <c r="G39" i="9"/>
  <c r="C37" i="9"/>
  <c r="D37" i="9" s="1"/>
  <c r="F37" i="9"/>
  <c r="M37" i="9" s="1"/>
  <c r="B39" i="9" l="1"/>
  <c r="G40" i="9"/>
  <c r="C38" i="9"/>
  <c r="D38" i="9" s="1"/>
  <c r="F38" i="9"/>
  <c r="M38" i="9" s="1"/>
  <c r="B40" i="9" l="1"/>
  <c r="G41" i="9"/>
  <c r="C39" i="9"/>
  <c r="D39" i="9" s="1"/>
  <c r="F39" i="9"/>
  <c r="M39" i="9" s="1"/>
  <c r="G42" i="9" l="1"/>
  <c r="B41" i="9"/>
  <c r="C40" i="9"/>
  <c r="D40" i="9" s="1"/>
  <c r="F40" i="9"/>
  <c r="M40" i="9" s="1"/>
  <c r="F41" i="9" l="1"/>
  <c r="M41" i="9" s="1"/>
  <c r="C41" i="9"/>
  <c r="D41" i="9" s="1"/>
  <c r="G43" i="9"/>
  <c r="B43" i="9" s="1"/>
  <c r="B42" i="9"/>
  <c r="F42" i="9" l="1"/>
  <c r="M42" i="9" s="1"/>
  <c r="C42" i="9"/>
  <c r="D42" i="9" s="1"/>
  <c r="F43" i="9"/>
  <c r="M43" i="9" s="1"/>
  <c r="C43" i="9"/>
  <c r="D43" i="9" s="1"/>
  <c r="E7" i="8" l="1"/>
  <c r="F7" i="8" s="1"/>
  <c r="G7" i="8" s="1"/>
  <c r="H7" i="8" s="1"/>
  <c r="I7" i="8" s="1"/>
  <c r="J7" i="8" s="1"/>
  <c r="K7" i="8" s="1"/>
  <c r="L7" i="8" s="1"/>
  <c r="M7" i="8" s="1"/>
  <c r="N7" i="8" s="1"/>
  <c r="O7" i="8" s="1"/>
  <c r="P7" i="8" s="1"/>
  <c r="Q7" i="8" s="1"/>
  <c r="R7" i="8" s="1"/>
  <c r="S7" i="8" s="1"/>
  <c r="T7" i="8" s="1"/>
  <c r="U7" i="8" s="1"/>
  <c r="V7" i="8" s="1"/>
  <c r="W7" i="8" s="1"/>
  <c r="X7" i="8" s="1"/>
  <c r="Y7" i="8" s="1"/>
  <c r="Z7" i="8" s="1"/>
  <c r="F8" i="5"/>
  <c r="G8" i="5" s="1"/>
  <c r="H8" i="5" s="1"/>
  <c r="I8" i="5" s="1"/>
  <c r="J8" i="5" s="1"/>
  <c r="K8" i="5" s="1"/>
  <c r="L8" i="5" s="1"/>
  <c r="M8" i="5" s="1"/>
  <c r="N8" i="5" s="1"/>
  <c r="O8" i="5" s="1"/>
  <c r="P8" i="5" s="1"/>
  <c r="Q8" i="5" s="1"/>
  <c r="R8" i="5" s="1"/>
  <c r="S8" i="5" s="1"/>
  <c r="T8" i="5" s="1"/>
  <c r="U8" i="5" s="1"/>
  <c r="V8" i="5" s="1"/>
  <c r="W8" i="5" s="1"/>
  <c r="X8" i="5" s="1"/>
  <c r="Y8" i="5" s="1"/>
  <c r="Z8" i="5" s="1"/>
  <c r="K2" i="5"/>
  <c r="L2" i="5"/>
  <c r="M2" i="5"/>
  <c r="N2" i="5"/>
  <c r="O2" i="5"/>
  <c r="P2" i="5"/>
  <c r="Q2" i="5"/>
  <c r="R2" i="5"/>
  <c r="S2" i="5"/>
  <c r="T2" i="5"/>
  <c r="U2" i="5"/>
  <c r="V2" i="5"/>
  <c r="W2" i="5"/>
  <c r="X2" i="5"/>
  <c r="Y2" i="5"/>
  <c r="Z2" i="5"/>
  <c r="AA2" i="5"/>
  <c r="AB2" i="5"/>
  <c r="AC2" i="5"/>
  <c r="F7" i="5"/>
  <c r="N9" i="5" l="1" a="1"/>
  <c r="N9" i="5" s="1"/>
  <c r="AC9" i="5" a="1"/>
  <c r="AC9" i="5" s="1"/>
  <c r="AA9" i="5" a="1"/>
  <c r="AA9" i="5" s="1"/>
  <c r="R9" i="5" a="1"/>
  <c r="R9" i="5" s="1"/>
  <c r="V9" i="5" a="1"/>
  <c r="V9" i="5" s="1"/>
  <c r="U9" i="5" a="1"/>
  <c r="U9" i="5" s="1"/>
  <c r="L9" i="5" a="1"/>
  <c r="L9" i="5" s="1"/>
  <c r="K9" i="5" a="1"/>
  <c r="K9" i="5" s="1"/>
  <c r="S9" i="5" a="1"/>
  <c r="S9" i="5" s="1"/>
  <c r="E9" i="5" a="1"/>
  <c r="E9" i="5" s="1"/>
  <c r="E11" i="5" s="1"/>
  <c r="I9" i="5" a="1"/>
  <c r="I9" i="5" s="1"/>
  <c r="I11" i="5" s="1"/>
  <c r="Y9" i="5" a="1"/>
  <c r="Y9" i="5" s="1"/>
  <c r="X9" i="5" a="1"/>
  <c r="X9" i="5" s="1"/>
  <c r="W9" i="5" a="1"/>
  <c r="W9" i="5" s="1"/>
  <c r="M9" i="5" a="1"/>
  <c r="M9" i="5" s="1"/>
  <c r="T9" i="5" a="1"/>
  <c r="T9" i="5" s="1"/>
  <c r="AB9" i="5" a="1"/>
  <c r="AB9" i="5" s="1"/>
  <c r="J9" i="5" a="1"/>
  <c r="J9" i="5" s="1"/>
  <c r="J11" i="5" s="1"/>
  <c r="Q9" i="5" a="1"/>
  <c r="Q9" i="5" s="1"/>
  <c r="Z9" i="5" a="1"/>
  <c r="Z9" i="5" s="1"/>
  <c r="P9" i="5" a="1"/>
  <c r="P9" i="5" s="1"/>
  <c r="O9" i="5" a="1"/>
  <c r="O9" i="5" s="1"/>
  <c r="AC10" i="5" l="1"/>
  <c r="AC11" i="5" s="1"/>
  <c r="N10" i="5"/>
  <c r="N11" i="5" s="1"/>
  <c r="J10" i="5"/>
  <c r="J8" i="8" s="1"/>
  <c r="X10" i="5"/>
  <c r="X11" i="5" s="1"/>
  <c r="Y10" i="5"/>
  <c r="Y11" i="5" s="1"/>
  <c r="I10" i="5"/>
  <c r="I8" i="8" s="1"/>
  <c r="P10" i="5"/>
  <c r="P11" i="5" s="1"/>
  <c r="E10" i="5"/>
  <c r="E8" i="8" s="1"/>
  <c r="AB10" i="5"/>
  <c r="AB11" i="5" s="1"/>
  <c r="S10" i="5"/>
  <c r="S11" i="5" s="1"/>
  <c r="L10" i="5"/>
  <c r="L11" i="5" s="1"/>
  <c r="O10" i="5"/>
  <c r="O11" i="5" s="1"/>
  <c r="Z10" i="5"/>
  <c r="Z11" i="5" s="1"/>
  <c r="K10" i="5"/>
  <c r="K11" i="5" s="1"/>
  <c r="V10" i="5"/>
  <c r="V11" i="5" s="1"/>
  <c r="M10" i="5"/>
  <c r="M11" i="5" s="1"/>
  <c r="Q10" i="5"/>
  <c r="Q11" i="5" s="1"/>
  <c r="U10" i="5"/>
  <c r="U11" i="5" s="1"/>
  <c r="T10" i="5"/>
  <c r="T11" i="5" s="1"/>
  <c r="R10" i="5"/>
  <c r="R11" i="5" s="1"/>
  <c r="AA10" i="5"/>
  <c r="AA11" i="5" s="1"/>
  <c r="W10" i="5"/>
  <c r="W11" i="5" s="1"/>
  <c r="L8" i="8" l="1"/>
  <c r="W8" i="8"/>
  <c r="AB8" i="8"/>
  <c r="T8" i="8"/>
  <c r="O8" i="8"/>
  <c r="AA8" i="8"/>
  <c r="P8" i="8"/>
  <c r="S8" i="8"/>
  <c r="R8" i="8"/>
  <c r="M8" i="8"/>
  <c r="U8" i="8"/>
  <c r="V8" i="8"/>
  <c r="K8" i="8"/>
  <c r="N8" i="8"/>
  <c r="Q8" i="8"/>
  <c r="Y8" i="8"/>
  <c r="X8" i="8"/>
  <c r="Z8" i="8"/>
  <c r="F2" i="5"/>
  <c r="F9" i="5" s="1" a="1"/>
  <c r="F9" i="5" s="1"/>
  <c r="F1" i="5"/>
  <c r="G1" i="5" s="1"/>
  <c r="H1" i="5" s="1"/>
  <c r="I1" i="5" s="1"/>
  <c r="J1" i="5" s="1"/>
  <c r="K1" i="5" s="1"/>
  <c r="L1" i="5" s="1"/>
  <c r="M1" i="5" s="1"/>
  <c r="N1" i="5" s="1"/>
  <c r="O1" i="5" s="1"/>
  <c r="P1" i="5" s="1"/>
  <c r="Q1" i="5" s="1"/>
  <c r="R1" i="5" s="1"/>
  <c r="S1" i="5" s="1"/>
  <c r="T1" i="5" s="1"/>
  <c r="U1" i="5" s="1"/>
  <c r="V1" i="5" s="1"/>
  <c r="W1" i="5" s="1"/>
  <c r="X1" i="5" s="1"/>
  <c r="Y1" i="5" s="1"/>
  <c r="Z1" i="5" s="1"/>
  <c r="F10" i="5" l="1"/>
  <c r="F8" i="8" s="1"/>
  <c r="F11" i="5"/>
  <c r="G2" i="5"/>
  <c r="H2" i="5" l="1"/>
  <c r="H9" i="5" s="1" a="1"/>
  <c r="H9" i="5" s="1"/>
  <c r="G9" i="5" a="1"/>
  <c r="G9" i="5" s="1"/>
  <c r="G10" i="5" l="1"/>
  <c r="G11" i="5"/>
  <c r="H10" i="5"/>
  <c r="H8" i="8" s="1"/>
  <c r="H11" i="5"/>
  <c r="G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<sst xmlns="http://schemas.openxmlformats.org/spreadsheetml/2006/main" count="70" uniqueCount="63">
  <si>
    <t>CO2 Price Level</t>
  </si>
  <si>
    <t>2019 Rands</t>
  </si>
  <si>
    <t>CPAMS</t>
  </si>
  <si>
    <t>HPAMS</t>
  </si>
  <si>
    <t>Scenario to Load</t>
  </si>
  <si>
    <t>For SATIM</t>
  </si>
  <si>
    <t>For eSAGE</t>
  </si>
  <si>
    <t>COM_CSTNET</t>
  </si>
  <si>
    <t>2019 Rands/ton</t>
  </si>
  <si>
    <t>RAMPUP</t>
  </si>
  <si>
    <t>2022 Rands/kton</t>
  </si>
  <si>
    <t>Headline C tax rate to $30 in 2030</t>
  </si>
  <si>
    <t>less 60%</t>
  </si>
  <si>
    <t>less 95%</t>
  </si>
  <si>
    <t>CPI 4.4% increase from 2023</t>
  </si>
  <si>
    <t xml:space="preserve"> 60% allowance to 2025, then phased out to 0% in 2030</t>
  </si>
  <si>
    <t>In US$</t>
  </si>
  <si>
    <t>R640 in 2023</t>
  </si>
  <si>
    <t>see text in next worksheet</t>
  </si>
  <si>
    <t>parameters</t>
  </si>
  <si>
    <t>ZAR/$</t>
  </si>
  <si>
    <t>'basic' allowance / exemption</t>
  </si>
  <si>
    <t>max allowance / exemption</t>
  </si>
  <si>
    <t>CPI in full BR, for 2023</t>
  </si>
  <si>
    <t>Budget speech, full review and other docs at</t>
  </si>
  <si>
    <t xml:space="preserve">http://www.treasury.gov.za/documents/national%20budget/2022/default.aspx </t>
  </si>
  <si>
    <t>Budget speech</t>
  </si>
  <si>
    <t>p. 14-15</t>
  </si>
  <si>
    <t>Madam Speaker, the structure of the economy will need to change to adapt to the needs of addressing climate change.</t>
  </si>
  <si>
    <t>As we reduce emissions, communities must not be left behind as production shifts to greener solutions.</t>
  </si>
  <si>
    <t xml:space="preserve">There are opportunities to access international finance to help pay for this just transition. The National Treasury is working with the new head of the Presidential Climate Finance Task Team, on accessing these resources. </t>
  </si>
  <si>
    <t>The carbon tax is the main mechanism to ensure we lower our greenhouse emissions.</t>
  </si>
  <si>
    <t>The carbon tax rate will increase from R134 to R144, effective from 1 January 2022.</t>
  </si>
  <si>
    <t>As required by legislation, the carbon fuel levy will increase by 1c to 9c per litre for petrol, and 10c per litre for diesel, from 6 April 2022.</t>
  </si>
  <si>
    <t xml:space="preserve">The first phase of the carbon tax, with substantial allowances and electricity price neutrality, will be extended to 31 December 2025. </t>
  </si>
  <si>
    <t>However, in line with our commitments at COP26, the carbon tax rate will be progressively increased every year to reach $20 per tonne.</t>
  </si>
  <si>
    <t xml:space="preserve">In the second phase from 2026 onwards, the carbon tax rate will have larger annual increases to reach at least $30 by 2030, and the allowances will rapidly fall away. </t>
  </si>
  <si>
    <t>We urge all our companies that have not already done so to develop plans to progressively reduce their emissions over the next 10 years, otherwise they will face these steep taxes.</t>
  </si>
  <si>
    <t>Our exporters will also face overseas border taxes for carbon-intensive goods such as</t>
  </si>
  <si>
    <t>iron and steel, which will reduce their competitiveness.</t>
  </si>
  <si>
    <t xml:space="preserve">Budget Review </t>
  </si>
  <si>
    <t xml:space="preserve"> p 48 </t>
  </si>
  <si>
    <t>Extension of first phase of the carbon tax</t>
  </si>
  <si>
    <r>
      <t>The first phase of the carbon tax will be extended by three years for the period 1 January 2023 to 31 December 2025. The transitional support measures afforded to companies in the first phase, such as significant taxfree allowances and revenue</t>
    </r>
    <r>
      <rPr>
        <sz val="9"/>
        <color theme="1"/>
        <rFont val="Cambria Math"/>
        <family val="1"/>
      </rPr>
      <t>‐</t>
    </r>
    <r>
      <rPr>
        <sz val="9"/>
        <color theme="1"/>
        <rFont val="Arial"/>
        <family val="2"/>
      </rPr>
      <t>recycling measures, will continue over this period, alongside adjustments outlined below. The main proposals include:  </t>
    </r>
  </si>
  <si>
    <r>
      <t>·</t>
    </r>
    <r>
      <rPr>
        <sz val="7"/>
        <color theme="1"/>
        <rFont val="Times New Roman"/>
        <family val="1"/>
      </rPr>
      <t xml:space="preserve">      </t>
    </r>
    <r>
      <rPr>
        <sz val="9"/>
        <color theme="1"/>
        <rFont val="Arial"/>
        <family val="2"/>
      </rPr>
      <t>Extending the energy</t>
    </r>
    <r>
      <rPr>
        <sz val="9"/>
        <color theme="1"/>
        <rFont val="Cambria Math"/>
        <family val="1"/>
      </rPr>
      <t>‐</t>
    </r>
    <r>
      <rPr>
        <sz val="9"/>
        <color theme="1"/>
        <rFont val="Arial"/>
        <family val="2"/>
      </rPr>
      <t>efficiency</t>
    </r>
    <r>
      <rPr>
        <sz val="9"/>
        <color theme="1"/>
        <rFont val="Cambria Math"/>
        <family val="1"/>
      </rPr>
      <t>‐</t>
    </r>
    <r>
      <rPr>
        <sz val="9"/>
        <color theme="1"/>
        <rFont val="Arial"/>
        <family val="2"/>
      </rPr>
      <t xml:space="preserve">savings tax incentive from 1 January 2023 to 31 December 2025.   Extending the electricity price neutrality commitment until 31 December 2025. </t>
    </r>
  </si>
  <si>
    <r>
      <t>·</t>
    </r>
    <r>
      <rPr>
        <sz val="7"/>
        <color theme="1"/>
        <rFont val="Times New Roman"/>
        <family val="1"/>
      </rPr>
      <t xml:space="preserve">      </t>
    </r>
    <r>
      <rPr>
        <sz val="9"/>
        <color theme="1"/>
        <rFont val="Arial"/>
        <family val="2"/>
      </rPr>
      <t>The electricity</t>
    </r>
    <r>
      <rPr>
        <sz val="9"/>
        <color theme="1"/>
        <rFont val="Cambria Math"/>
        <family val="1"/>
      </rPr>
      <t>‐</t>
    </r>
    <r>
      <rPr>
        <sz val="9"/>
        <color theme="1"/>
        <rFont val="Arial"/>
        <family val="2"/>
      </rPr>
      <t xml:space="preserve">related deduction will be limited to the carbon tax liability of fuel combustion emissions of electricity generators, and will not be offset against the total carbon tax liability.   </t>
    </r>
  </si>
  <si>
    <r>
      <t>·</t>
    </r>
    <r>
      <rPr>
        <sz val="7"/>
        <color theme="1"/>
        <rFont val="Times New Roman"/>
        <family val="1"/>
      </rPr>
      <t xml:space="preserve">      </t>
    </r>
    <r>
      <rPr>
        <sz val="9"/>
        <color theme="1"/>
        <rFont val="Arial"/>
        <family val="2"/>
      </rPr>
      <t xml:space="preserve">Adjusting the threshold for the maximum trade exposure allowance from 30 per cent to 50 per cent from 1 January 2023. Updated sectors and allowances will be published for public consultation.   </t>
    </r>
  </si>
  <si>
    <r>
      <t>·</t>
    </r>
    <r>
      <rPr>
        <sz val="7"/>
        <color theme="1"/>
        <rFont val="Times New Roman"/>
        <family val="1"/>
      </rPr>
      <t xml:space="preserve">      </t>
    </r>
    <r>
      <rPr>
        <sz val="9"/>
        <color theme="1"/>
        <rFont val="Arial"/>
        <family val="2"/>
      </rPr>
      <t xml:space="preserve">Penalising emissions exceeding mandatory carbon budgets. The mandatory carbon budgeting system comes into effect on 1 January 2023, at which time the carbon budget allowance of 5 per cent will fall away. </t>
    </r>
  </si>
  <si>
    <r>
      <t>·</t>
    </r>
    <r>
      <rPr>
        <sz val="7"/>
        <color theme="1"/>
        <rFont val="Times New Roman"/>
        <family val="1"/>
      </rPr>
      <t xml:space="preserve">      </t>
    </r>
    <r>
      <rPr>
        <b/>
        <sz val="12"/>
        <color theme="1"/>
        <rFont val="Arial"/>
        <family val="2"/>
      </rPr>
      <t xml:space="preserve">To address concerns about double penalties for companies under the carbon tax and carbon budgets, it is proposed that a higher carbon tax rate of R640 per tonne of carbon dioxide equivalent will apply to greenhouse gas emissions exceeding the carbon budget. These amendments will be legislated once the Climate Change Bill is enacted. </t>
    </r>
  </si>
  <si>
    <t>p 49</t>
  </si>
  <si>
    <t>Climate change response and carbon tax price path</t>
  </si>
  <si>
    <r>
      <t>South Africa’s climate commitments are set out in the Cabinet</t>
    </r>
    <r>
      <rPr>
        <sz val="9"/>
        <color theme="1"/>
        <rFont val="Cambria Math"/>
        <family val="1"/>
      </rPr>
      <t>‐</t>
    </r>
    <r>
      <rPr>
        <sz val="9"/>
        <color theme="1"/>
        <rFont val="Arial"/>
        <family val="2"/>
      </rPr>
      <t>approved nationally determined contributions, which were submitted to the United Nations Framework Convention on Climate Change at the 2021 UN Climate Change Conference. To meet these commitments, the country’s greenhouse gas emissions must peak by 2025 and then quickly decline to between 350 million and 420 million tonnes by 2030, and approach net</t>
    </r>
    <r>
      <rPr>
        <sz val="9"/>
        <color theme="1"/>
        <rFont val="Cambria Math"/>
        <family val="1"/>
      </rPr>
      <t>‐</t>
    </r>
    <r>
      <rPr>
        <sz val="9"/>
        <color theme="1"/>
        <rFont val="Arial"/>
        <family val="2"/>
      </rPr>
      <t xml:space="preserve">zero emissions by 2050. </t>
    </r>
  </si>
  <si>
    <t xml:space="preserve">The carbon tax is integral to lowering emissions. In addition, the country will need to enact legislation and implement carbon budgets and sector emission targets to reduce emissions. Simultaneously, South Africa’s exports of carbonintensive goods such as iron and steel are likely to face carbon taxes in Europe, which will reduce their competitiveness. </t>
  </si>
  <si>
    <r>
      <t>To prepare South Africa for the structural transition to a climate</t>
    </r>
    <r>
      <rPr>
        <b/>
        <sz val="11"/>
        <color theme="1"/>
        <rFont val="Cambria Math"/>
        <family val="1"/>
      </rPr>
      <t>‐</t>
    </r>
    <r>
      <rPr>
        <b/>
        <sz val="11"/>
        <color theme="1"/>
        <rFont val="Arial"/>
        <family val="2"/>
      </rPr>
      <t>resilient economy, government proposes to progressively increase the carbon price every year by at least US$1 to reach US$20 per tonne of carbon dioxide equivalent by 2026. For the second phase, government intends to increase the carbon price more rapidly every year, to at least US$30 by 2030, accelerating to higher levels by 2035, 2040 and up to US$120 beyond 2050. The basic tax</t>
    </r>
    <r>
      <rPr>
        <b/>
        <sz val="11"/>
        <color theme="1"/>
        <rFont val="Cambria Math"/>
        <family val="1"/>
      </rPr>
      <t>‐</t>
    </r>
    <r>
      <rPr>
        <b/>
        <sz val="11"/>
        <color theme="1"/>
        <rFont val="Arial"/>
        <family val="2"/>
      </rPr>
      <t>free allowances will also be gradually reduced to strengthen the price signals under the carbon tax from 1 January 2026 to 31 December 2030</t>
    </r>
    <r>
      <rPr>
        <sz val="9"/>
        <color theme="1"/>
        <rFont val="Arial"/>
        <family val="2"/>
      </rPr>
      <t xml:space="preserve">. </t>
    </r>
  </si>
  <si>
    <r>
      <t>To encourage investments in carbon offset projects, government intends to increase the carbon offset allowance by 5 per cent from 1 January 2026. These and other proposals will form part of a review for the second phase, to inform future budget announcements. This approach aligns with global institutions. The World Bank’s High</t>
    </r>
    <r>
      <rPr>
        <sz val="9"/>
        <color theme="1"/>
        <rFont val="Cambria Math"/>
        <family val="1"/>
      </rPr>
      <t>‐</t>
    </r>
    <r>
      <rPr>
        <sz val="9"/>
        <color theme="1"/>
        <rFont val="Arial"/>
        <family val="2"/>
      </rPr>
      <t>Level Commission on Carbon Prices recommends carbon prices of US$40 to US$80 per tonne by 2025 and US$50 to US$100 by 2030. The International Monetary Fund recommends lower minimum carbon prices for developing countries of US$25 to US$50 by 2030 to achieve the Paris climate goals</t>
    </r>
  </si>
  <si>
    <t>2021 to 2019 ZAR</t>
  </si>
  <si>
    <t xml:space="preserve"> 60% allowance to 2025, then phased out to 0% in 2030 (2019 ZAR)</t>
  </si>
  <si>
    <t>Calibrate to HPAMS</t>
  </si>
  <si>
    <t>2019 USD to ZAR</t>
  </si>
  <si>
    <t>Attribute</t>
  </si>
  <si>
    <t>Commodity</t>
  </si>
  <si>
    <t>CO2S</t>
  </si>
  <si>
    <t>~TFM_INS-TS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</si>
</sst>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R&quot;* #,##0.00_-;\-&quot;R&quot;* #,##0.00_-;_-&quot;R&quot;* &quot;-&quot;??_-;_-@_-"/>
    <numFmt numFmtId="164" formatCode="_(&quot;R&quot;* #,##0.00_);_(&quot;R&quot;* \(#,##0.00\);_(&quot;R&quot;* &quot;-&quot;??_);_(@_)"/>
    <numFmt numFmtId="165" formatCode="_(&quot;R&quot;* #,##0_);_(&quot;R&quot;* \(#,##0\);_(&quot;R&quot;* &quot;-&quot;??_);_(@_)"/>
    <numFmt numFmtId="166" formatCode="_-[$$-404]* #,##0_-;\-[$$-404]* #,##0_-;_-[$$-404]* &quot;-&quot;_-;_-@_-"/>
    <numFmt numFmtId="167" formatCode="0.0%"/>
  </numFmts>
  <fonts count="21">
    <font>
      <sz val="10"/>
      <name val="Arial"/>
      <family val="2"/>
    </font>
    <font>
      <sz val="11"/>
      <color theme="1"/>
      <name val="Calibri"/>
      <family val="2"/>
      <scheme val="minor"/>
    </font>
    <font>
      <sz val="11"/>
      <color rgb="FF3F3F76"/>
      <name val="Calibri"/>
      <family val="2"/>
      <scheme val="minor"/>
    </font>
    <font>
      <sz val="10"/>
      <name val="Arial"/>
      <family val="2"/>
    </font>
    <font>
      <b/>
      <sz val="11"/>
      <color theme="3"/>
      <name val="Calibri"/>
      <family val="2"/>
      <scheme val="minor"/>
    </font>
    <font>
      <sz val="12"/>
      <color theme="1"/>
      <name val="Calibri"/>
      <family val="2"/>
      <scheme val="minor"/>
    </font>
    <font>
      <i/>
      <sz val="12"/>
      <color theme="1"/>
      <name val="Calibri"/>
      <family val="2"/>
      <scheme val="minor"/>
    </font>
    <font>
      <sz val="14"/>
      <color rgb="FF000000"/>
      <name val="Calibri"/>
      <family val="2"/>
      <scheme val="minor"/>
    </font>
    <font>
      <u/>
      <sz val="12"/>
      <color theme="10"/>
      <name val="Calibri"/>
      <family val="2"/>
      <scheme val="minor"/>
    </font>
    <font>
      <sz val="12"/>
      <color rgb="FF000000"/>
      <name val="Calibri"/>
      <family val="2"/>
      <scheme val="minor"/>
    </font>
    <font>
      <sz val="9"/>
      <color theme="1"/>
      <name val="Arial"/>
      <family val="2"/>
    </font>
    <font>
      <b/>
      <sz val="12"/>
      <color theme="1"/>
      <name val="Arial"/>
      <family val="2"/>
    </font>
    <font>
      <sz val="10.5"/>
      <color theme="1"/>
      <name val="á=_x001c_÷'3"/>
    </font>
    <font>
      <sz val="9"/>
      <color theme="1"/>
      <name val="Cambria Math"/>
      <family val="1"/>
    </font>
    <font>
      <sz val="12"/>
      <color theme="1"/>
      <name val="Symbol"/>
      <family val="1"/>
      <charset val="2"/>
    </font>
    <font>
      <sz val="7"/>
      <color theme="1"/>
      <name val="Times New Roman"/>
      <family val="1"/>
    </font>
    <font>
      <sz val="10"/>
      <color theme="1"/>
      <name val="á=_x001c_÷'3"/>
    </font>
    <font>
      <b/>
      <sz val="11"/>
      <color theme="1"/>
      <name val="Arial"/>
      <family val="2"/>
    </font>
    <font>
      <b/>
      <sz val="11"/>
      <color theme="1"/>
      <name val="Cambria Math"/>
      <family val="1"/>
    </font>
    <font>
      <sz val="9"/>
      <color theme="1"/>
      <name val="Helvetica"/>
      <family val="2"/>
    </font>
    <font>
      <b/>
      <sz val="13"/>
      <color indexed="56"/>
      <name val="Calibri"/>
      <family val="2"/>
      <scheme val="minor"/>
    </font>
  </fonts>
  <fills count="5">
    <fill>
      <patternFill patternType="none"/>
    </fill>
    <fill>
      <patternFill patternType="gray125"/>
    </fill>
    <fill>
      <patternFill patternType="solid">
        <fgColor rgb="FFFFCC99"/>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right/>
      <top/>
      <bottom style="thick">
        <color theme="4" tint="0.499984740745262"/>
      </bottom>
      <diagonal/>
    </border>
  </borders>
  <cellStyleXfs count="12">
    <xf numFmtId="0" fontId="0" fillId="0" borderId="0"/>
    <xf numFmtId="0" fontId="2" fillId="2" borderId="1" applyNumberFormat="0" applyAlignment="0" applyProtection="0"/>
    <xf numFmtId="0" fontId="3" fillId="0" borderId="0"/>
    <xf numFmtId="0" fontId="3" fillId="0" borderId="0"/>
    <xf numFmtId="0" fontId="3" fillId="0" borderId="0"/>
    <xf numFmtId="0" fontId="4" fillId="0" borderId="2" applyNumberFormat="0" applyFill="0" applyAlignment="0" applyProtection="0"/>
    <xf numFmtId="0" fontId="4" fillId="0" borderId="0" applyNumberFormat="0" applyFill="0" applyBorder="0" applyAlignment="0" applyProtection="0"/>
    <xf numFmtId="0" fontId="5" fillId="0" borderId="0"/>
    <xf numFmtId="164" fontId="5" fillId="0" borderId="0" applyFont="0" applyFill="0" applyBorder="0" applyAlignment="0" applyProtection="0"/>
    <xf numFmtId="0" fontId="8" fillId="0" borderId="0" applyNumberFormat="0" applyFill="0" applyBorder="0" applyAlignment="0" applyProtection="0"/>
    <xf numFmtId="0" fontId="20" fillId="0" borderId="3" applyNumberFormat="0" applyFill="0" applyAlignment="0" applyProtection="0"/>
    <xf numFmtId="0" fontId="1" fillId="0" borderId="0"/>
  </cellStyleXfs>
  <cellXfs count="34">
    <xf numFmtId="0" fontId="0" fillId="0" borderId="0" xfId="0"/>
    <xf numFmtId="10" fontId="0" fillId="0" borderId="0" xfId="0" applyNumberFormat="1"/>
    <xf numFmtId="0" fontId="2" fillId="2" borderId="1" xfId="1"/>
    <xf numFmtId="0" fontId="5" fillId="0" borderId="0" xfId="7"/>
    <xf numFmtId="0" fontId="5" fillId="0" borderId="0" xfId="7" applyAlignment="1">
      <alignment wrapText="1"/>
    </xf>
    <xf numFmtId="0" fontId="6" fillId="3" borderId="0" xfId="7" applyFont="1" applyFill="1" applyAlignment="1">
      <alignment wrapText="1"/>
    </xf>
    <xf numFmtId="165" fontId="0" fillId="0" borderId="0" xfId="8" applyNumberFormat="1" applyFont="1"/>
    <xf numFmtId="166" fontId="0" fillId="0" borderId="0" xfId="8" applyNumberFormat="1" applyFont="1"/>
    <xf numFmtId="0" fontId="5" fillId="3" borderId="0" xfId="7" applyFill="1"/>
    <xf numFmtId="9" fontId="5" fillId="0" borderId="0" xfId="7" applyNumberFormat="1"/>
    <xf numFmtId="166" fontId="0" fillId="3" borderId="0" xfId="8" applyNumberFormat="1" applyFont="1" applyFill="1"/>
    <xf numFmtId="0" fontId="5" fillId="4" borderId="0" xfId="7" applyFill="1"/>
    <xf numFmtId="9" fontId="5" fillId="4" borderId="0" xfId="7" applyNumberFormat="1" applyFill="1"/>
    <xf numFmtId="0" fontId="5" fillId="4" borderId="0" xfId="7" quotePrefix="1" applyFill="1"/>
    <xf numFmtId="167" fontId="5" fillId="4" borderId="0" xfId="7" applyNumberFormat="1" applyFill="1"/>
    <xf numFmtId="0" fontId="7" fillId="0" borderId="0" xfId="7" applyFont="1" applyAlignment="1">
      <alignment wrapText="1"/>
    </xf>
    <xf numFmtId="0" fontId="8" fillId="0" borderId="0" xfId="9"/>
    <xf numFmtId="0" fontId="9" fillId="0" borderId="0" xfId="7" applyFont="1" applyAlignment="1">
      <alignment wrapText="1"/>
    </xf>
    <xf numFmtId="0" fontId="10" fillId="0" borderId="0" xfId="7" applyFont="1" applyAlignment="1">
      <alignment vertical="center" wrapText="1"/>
    </xf>
    <xf numFmtId="0" fontId="11" fillId="0" borderId="0" xfId="7" applyFont="1" applyAlignment="1">
      <alignment vertical="center" wrapText="1"/>
    </xf>
    <xf numFmtId="0" fontId="5" fillId="0" borderId="0" xfId="7" applyAlignment="1">
      <alignment vertical="center"/>
    </xf>
    <xf numFmtId="0" fontId="12" fillId="0" borderId="0" xfId="7" applyFont="1" applyAlignment="1">
      <alignment vertical="center"/>
    </xf>
    <xf numFmtId="0" fontId="12" fillId="0" borderId="0" xfId="7" applyFont="1" applyAlignment="1">
      <alignment vertical="center" wrapText="1"/>
    </xf>
    <xf numFmtId="0" fontId="14" fillId="0" borderId="0" xfId="7" applyFont="1" applyAlignment="1">
      <alignment horizontal="left" vertical="center" wrapText="1"/>
    </xf>
    <xf numFmtId="0" fontId="5" fillId="0" borderId="0" xfId="7" applyAlignment="1">
      <alignment vertical="center" wrapText="1"/>
    </xf>
    <xf numFmtId="0" fontId="16" fillId="0" borderId="0" xfId="7" applyFont="1" applyAlignment="1">
      <alignment vertical="center" wrapText="1"/>
    </xf>
    <xf numFmtId="0" fontId="17" fillId="0" borderId="0" xfId="7" applyFont="1" applyAlignment="1">
      <alignment vertical="center" wrapText="1"/>
    </xf>
    <xf numFmtId="0" fontId="10" fillId="0" borderId="0" xfId="7" applyFont="1" applyAlignment="1">
      <alignment wrapText="1"/>
    </xf>
    <xf numFmtId="0" fontId="19" fillId="0" borderId="0" xfId="7" applyFont="1" applyAlignment="1">
      <alignment wrapText="1"/>
    </xf>
    <xf numFmtId="44" fontId="5" fillId="0" borderId="0" xfId="7" applyNumberFormat="1"/>
    <xf numFmtId="2" fontId="5" fillId="0" borderId="0" xfId="7" applyNumberFormat="1"/>
    <xf numFmtId="164" fontId="0" fillId="0" borderId="0" xfId="8" applyFont="1"/>
    <xf numFmtId="0" fontId="4" fillId="0" borderId="2" xfId="5"/>
    <xf numFmtId="0" fontId="4" fillId="0" borderId="0" xfId="6"/>
  </cellXfs>
  <cellStyles count="12">
    <cellStyle name="Currency 2" xfId="8" xr:uid="{22EEDF44-4C5D-4794-B5EE-C5C8637DB51C}"/>
    <cellStyle name="Heading 2 2 2" xfId="10" xr:uid="{EE9B9C5B-98F3-4514-AE71-3800C91DD1CA}"/>
    <cellStyle name="Heading 3" xfId="5" builtinId="18"/>
    <cellStyle name="Heading 4" xfId="6" builtinId="19"/>
    <cellStyle name="Hyperlink 2" xfId="9" xr:uid="{A3F19C8E-AD81-4DBD-AB7A-BC4E7ED94A8E}"/>
    <cellStyle name="Input" xfId="1" builtinId="20"/>
    <cellStyle name="Normal" xfId="0" builtinId="0"/>
    <cellStyle name="Normal 13" xfId="2" xr:uid="{1030A58F-AC87-4AC7-BEDA-0B28F361A273}"/>
    <cellStyle name="Normal 2" xfId="3" xr:uid="{76649DB0-523C-4EED-AA29-E0904107359B}"/>
    <cellStyle name="Normal 2 2 2" xfId="4" xr:uid="{43AB01CA-EFE9-462C-828F-E924A57F874B}"/>
    <cellStyle name="Normal 3" xfId="7" xr:uid="{5F62C08F-F918-4890-928E-4D18768A4B72}"/>
    <cellStyle name="Normal 4" xfId="11" xr:uid="{DA0C4CD4-6B14-43D5-A2F5-F7E1839BD1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Are these future C tax rates?</a:t>
            </a:r>
            <a:endParaRPr lang="en-Z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Inflation!$B$4:$B$13</c:f>
              <c:numCache>
                <c:formatCode>_("R"* #,##0_);_("R"* \(#,##0\);_("R"* "-"??_);_(@_)</c:formatCode>
                <c:ptCount val="10"/>
                <c:pt idx="0">
                  <c:v>134</c:v>
                </c:pt>
                <c:pt idx="1">
                  <c:v>144</c:v>
                </c:pt>
                <c:pt idx="2">
                  <c:v>183</c:v>
                </c:pt>
                <c:pt idx="3">
                  <c:v>222</c:v>
                </c:pt>
                <c:pt idx="4">
                  <c:v>261</c:v>
                </c:pt>
                <c:pt idx="5">
                  <c:v>300</c:v>
                </c:pt>
                <c:pt idx="6">
                  <c:v>337.5</c:v>
                </c:pt>
                <c:pt idx="7">
                  <c:v>375</c:v>
                </c:pt>
                <c:pt idx="8">
                  <c:v>412.5</c:v>
                </c:pt>
                <c:pt idx="9">
                  <c:v>450</c:v>
                </c:pt>
              </c:numCache>
            </c:numRef>
          </c:val>
          <c:smooth val="0"/>
          <c:extLst>
            <c:ext xmlns:c16="http://schemas.microsoft.com/office/drawing/2014/chart" uri="{C3380CC4-5D6E-409C-BE32-E72D297353CC}">
              <c16:uniqueId val="{00000000-5884-4A68-A90A-531AE4C1F603}"/>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Inflation!$F$4:$F$13</c:f>
              <c:numCache>
                <c:formatCode>_("R"* #,##0_);_("R"* \(#,##0\);_("R"* "-"??_);_(@_)</c:formatCode>
                <c:ptCount val="10"/>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numCache>
            </c:numRef>
          </c:val>
          <c:smooth val="0"/>
          <c:extLst>
            <c:ext xmlns:c16="http://schemas.microsoft.com/office/drawing/2014/chart" uri="{C3380CC4-5D6E-409C-BE32-E72D297353CC}">
              <c16:uniqueId val="{00000001-5884-4A68-A90A-531AE4C1F603}"/>
            </c:ext>
          </c:extLst>
        </c:ser>
        <c:dLbls>
          <c:showLegendKey val="0"/>
          <c:showVal val="0"/>
          <c:showCatName val="0"/>
          <c:showSerName val="0"/>
          <c:showPercent val="0"/>
          <c:showBubbleSize val="0"/>
        </c:dLbls>
        <c:marker val="1"/>
        <c:smooth val="0"/>
        <c:axId val="797191408"/>
        <c:axId val="797193056"/>
      </c:lineChart>
      <c:catAx>
        <c:axId val="79719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3056"/>
        <c:crosses val="autoZero"/>
        <c:auto val="1"/>
        <c:lblAlgn val="ctr"/>
        <c:lblOffset val="100"/>
        <c:noMultiLvlLbl val="0"/>
      </c:catAx>
      <c:valAx>
        <c:axId val="7971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1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Headline tax</a:t>
            </a:r>
            <a:r>
              <a:rPr lang="en-GB" baseline="0"/>
              <a:t> rates, assumed phase out of allowances by 2030, and $120 in 2051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Inflation!$B$4:$B$34</c:f>
              <c:numCache>
                <c:formatCode>_("R"* #,##0_);_("R"* \(#,##0\);_("R"* "-"??_);_(@_)</c:formatCode>
                <c:ptCount val="31"/>
                <c:pt idx="0">
                  <c:v>134</c:v>
                </c:pt>
                <c:pt idx="1">
                  <c:v>144</c:v>
                </c:pt>
                <c:pt idx="2">
                  <c:v>183</c:v>
                </c:pt>
                <c:pt idx="3">
                  <c:v>222</c:v>
                </c:pt>
                <c:pt idx="4">
                  <c:v>261</c:v>
                </c:pt>
                <c:pt idx="5">
                  <c:v>300</c:v>
                </c:pt>
                <c:pt idx="6">
                  <c:v>337.5</c:v>
                </c:pt>
                <c:pt idx="7">
                  <c:v>375</c:v>
                </c:pt>
                <c:pt idx="8">
                  <c:v>412.5</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0-AB2F-40BA-8C7C-F4838703DD61}"/>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Inflation!$F$4:$F$34</c:f>
              <c:numCache>
                <c:formatCode>_("R"* #,##0_);_("R"* \(#,##0\);_("R"* "-"??_);_(@_)</c:formatCode>
                <c:ptCount val="31"/>
                <c:pt idx="0">
                  <c:v>53.6</c:v>
                </c:pt>
                <c:pt idx="1">
                  <c:v>57.6</c:v>
                </c:pt>
                <c:pt idx="2">
                  <c:v>73.2</c:v>
                </c:pt>
                <c:pt idx="3">
                  <c:v>88.800000000000011</c:v>
                </c:pt>
                <c:pt idx="4">
                  <c:v>104.4</c:v>
                </c:pt>
                <c:pt idx="5" formatCode="_(&quot;R&quot;* #,##0.00_);_(&quot;R&quot;* \(#,##0.00\);_(&quot;R&quot;* &quot;-&quot;??_);_(@_)">
                  <c:v>156</c:v>
                </c:pt>
                <c:pt idx="6">
                  <c:v>216</c:v>
                </c:pt>
                <c:pt idx="7">
                  <c:v>285</c:v>
                </c:pt>
                <c:pt idx="8">
                  <c:v>363</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1-AB2F-40BA-8C7C-F4838703DD61}"/>
            </c:ext>
          </c:extLst>
        </c:ser>
        <c:dLbls>
          <c:showLegendKey val="0"/>
          <c:showVal val="0"/>
          <c:showCatName val="0"/>
          <c:showSerName val="0"/>
          <c:showPercent val="0"/>
          <c:showBubbleSize val="0"/>
        </c:dLbls>
        <c:marker val="1"/>
        <c:smooth val="0"/>
        <c:axId val="598138944"/>
        <c:axId val="598140592"/>
      </c:lineChart>
      <c:catAx>
        <c:axId val="59813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40592"/>
        <c:crosses val="autoZero"/>
        <c:auto val="1"/>
        <c:lblAlgn val="ctr"/>
        <c:lblOffset val="100"/>
        <c:noMultiLvlLbl val="0"/>
      </c:catAx>
      <c:valAx>
        <c:axId val="598140592"/>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_);_(&quot;R&quot;*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3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495300</xdr:colOff>
      <xdr:row>0</xdr:row>
      <xdr:rowOff>444500</xdr:rowOff>
    </xdr:from>
    <xdr:to>
      <xdr:col>26</xdr:col>
      <xdr:colOff>565150</xdr:colOff>
      <xdr:row>19</xdr:row>
      <xdr:rowOff>25400</xdr:rowOff>
    </xdr:to>
    <xdr:graphicFrame macro="">
      <xdr:nvGraphicFramePr>
        <xdr:cNvPr id="2" name="Chart 1">
          <a:extLst>
            <a:ext uri="{FF2B5EF4-FFF2-40B4-BE49-F238E27FC236}">
              <a16:creationId xmlns:a16="http://schemas.microsoft.com/office/drawing/2014/main" id="{87CB8DCF-82E5-497E-BE64-CBCC6C532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254000</xdr:colOff>
      <xdr:row>31</xdr:row>
      <xdr:rowOff>177800</xdr:rowOff>
    </xdr:from>
    <xdr:to>
      <xdr:col>12</xdr:col>
      <xdr:colOff>349250</xdr:colOff>
      <xdr:row>47</xdr:row>
      <xdr:rowOff>127000</xdr:rowOff>
    </xdr:to>
    <xdr:graphicFrame macro="">
      <xdr:nvGraphicFramePr>
        <xdr:cNvPr id="3" name="Chart 2">
          <a:extLst>
            <a:ext uri="{FF2B5EF4-FFF2-40B4-BE49-F238E27FC236}">
              <a16:creationId xmlns:a16="http://schemas.microsoft.com/office/drawing/2014/main" id="{C4F17B4C-F4A4-411F-AC89-4A35EFAE5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P%202013%20Energy%20Revie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1433536/Google%20Drive/SATIM/Model%20Files/DMD_PRJ%20-%20Cop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888E3125F2D\Mydata\D\Modelling%20Group\_03_SECTORS\+FUELS\Oil%20&amp;%20Gas\SASOL\SASOL%202018%20NIR%202017%20v1.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ivate/tmp/SATIM/TCH_SUP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data/D/GoogleDrive-ERC/1.Projects/DEFF-DEA/NDC-2020/A.3_NDC_2020%20%5bmodel%20calibration%5d/satim%20petrol-diesel%20%20check%20v02.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Modelling%20Group\_02_PROJECTS\WB\water-energy\task2\Costing%20options%20v6.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Models\SATIMGE_Veda\VT_REGION1_SUP.xlsx" TargetMode="External"/><Relationship Id="rId1" Type="http://schemas.openxmlformats.org/officeDocument/2006/relationships/externalLinkPath" Target="/Models/SATIMGE_Veda/VT_REGION1_SUP.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Models\SATIMGE\SATIM\DataSpreadsheets\TCH_SUP.xlsx" TargetMode="External"/><Relationship Id="rId1" Type="http://schemas.openxmlformats.org/officeDocument/2006/relationships/externalLinkPath" Target="/Models/SATIMGE/SATIM/DataSpreadsheets/TCH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AnswerTIMESv6/Answer_Databases/WB/SATIM_20140819runs-copy/TCH_PWR-WAT.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odels/SATIMGE/SATIM/DataSpreadsheets/Def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nsumption – barrel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
      <sheetName val="FromCGE"/>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ow r="7">
          <cell r="C7">
            <v>1</v>
          </cell>
        </row>
        <row r="8">
          <cell r="C8">
            <v>1</v>
          </cell>
        </row>
        <row r="9">
          <cell r="C9">
            <v>1</v>
          </cell>
        </row>
        <row r="10">
          <cell r="C10">
            <v>1</v>
          </cell>
        </row>
        <row r="11">
          <cell r="C11">
            <v>1</v>
          </cell>
        </row>
      </sheetData>
      <sheetData sheetId="3">
        <row r="5">
          <cell r="J5" t="str">
            <v>Greenshoots</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SOL NIR 2017"/>
      <sheetName val="SASOL Commodities"/>
      <sheetName val="NERSA2017"/>
      <sheetName val="GAS 2000-2029 CY"/>
      <sheetName val="SASOL CC 2019 report"/>
      <sheetName val="FTS-Unallocated"/>
      <sheetName val="Secunda Emissions 2019 etc"/>
      <sheetName val="Calorific values"/>
    </sheetNames>
    <sheetDataSet>
      <sheetData sheetId="0">
        <row r="11">
          <cell r="U11">
            <v>30.761111</v>
          </cell>
        </row>
      </sheetData>
      <sheetData sheetId="1">
        <row r="10">
          <cell r="D10">
            <v>3809</v>
          </cell>
        </row>
      </sheetData>
      <sheetData sheetId="2"/>
      <sheetData sheetId="3"/>
      <sheetData sheetId="4">
        <row r="97">
          <cell r="E97">
            <v>296</v>
          </cell>
        </row>
        <row r="98">
          <cell r="E98">
            <v>23</v>
          </cell>
        </row>
      </sheetData>
      <sheetData sheetId="5"/>
      <sheetData sheetId="6"/>
      <sheetData sheetId="7">
        <row r="8">
          <cell r="B8">
            <v>41</v>
          </cell>
        </row>
        <row r="18">
          <cell r="B18">
            <v>24.3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hangeLog"/>
      <sheetName val="NameConv"/>
      <sheetName val="REGIONS"/>
      <sheetName val="2006"/>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SasolRES"/>
      <sheetName val="Crude refineries"/>
      <sheetName val="GTL and CTL"/>
      <sheetName val="SummaryRef"/>
      <sheetName val="RefineriesRES"/>
      <sheetName val="RefineriesData"/>
      <sheetName val="Hydrogen"/>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Electricity</v>
          </cell>
          <cell r="C16" t="str">
            <v>ELC</v>
          </cell>
        </row>
        <row r="17">
          <cell r="B17" t="str">
            <v>Electricity Upstream Transmission</v>
          </cell>
          <cell r="C17" t="str">
            <v>ELCC</v>
          </cell>
        </row>
        <row r="18">
          <cell r="B18" t="str">
            <v>Gas South Africa</v>
          </cell>
          <cell r="C18" t="str">
            <v>GAS</v>
          </cell>
        </row>
        <row r="19">
          <cell r="B19" t="str">
            <v>Gas Southern Mozambique</v>
          </cell>
          <cell r="C19" t="str">
            <v>GRS</v>
          </cell>
        </row>
        <row r="20">
          <cell r="B20" t="str">
            <v>Gas Namibia</v>
          </cell>
          <cell r="C20" t="str">
            <v>GRN</v>
          </cell>
        </row>
        <row r="21">
          <cell r="B21" t="str">
            <v>Gas Regional LNG</v>
          </cell>
          <cell r="C21" t="str">
            <v>GRL</v>
          </cell>
        </row>
        <row r="22">
          <cell r="B22" t="str">
            <v>Gas International LNG</v>
          </cell>
          <cell r="C22" t="str">
            <v>GWL</v>
          </cell>
        </row>
        <row r="23">
          <cell r="B23" t="str">
            <v>Gas Northern Mozambique</v>
          </cell>
          <cell r="C23" t="str">
            <v>GRM</v>
          </cell>
        </row>
        <row r="24">
          <cell r="B24" t="str">
            <v>Gas Indigenous Ibhubezi</v>
          </cell>
          <cell r="C24" t="str">
            <v>GIB</v>
          </cell>
        </row>
        <row r="25">
          <cell r="B25" t="str">
            <v>Gas Indigenous Shale</v>
          </cell>
          <cell r="C25" t="str">
            <v>GIH</v>
          </cell>
        </row>
        <row r="26">
          <cell r="B26" t="str">
            <v>Coastal Gas</v>
          </cell>
          <cell r="C26" t="str">
            <v>GIC</v>
          </cell>
        </row>
        <row r="27">
          <cell r="B27" t="str">
            <v>Gas Methane Rich</v>
          </cell>
          <cell r="C27" t="str">
            <v>GIM</v>
          </cell>
        </row>
        <row r="28">
          <cell r="B28" t="str">
            <v>Heat-Steam</v>
          </cell>
          <cell r="C28" t="str">
            <v>HET</v>
          </cell>
        </row>
        <row r="29">
          <cell r="B29" t="str">
            <v>Heat-Steam Existing</v>
          </cell>
          <cell r="C29" t="str">
            <v>HEE</v>
          </cell>
        </row>
        <row r="30">
          <cell r="B30" t="str">
            <v>Heat-Steam New</v>
          </cell>
          <cell r="C30" t="str">
            <v>HEN</v>
          </cell>
        </row>
        <row r="31">
          <cell r="B31" t="str">
            <v>Hydro</v>
          </cell>
          <cell r="C31" t="str">
            <v>HYD</v>
          </cell>
        </row>
        <row r="32">
          <cell r="B32" t="str">
            <v>Hydrogen</v>
          </cell>
          <cell r="C32" t="str">
            <v>HGN</v>
          </cell>
        </row>
        <row r="33">
          <cell r="B33" t="str">
            <v>Nuclear</v>
          </cell>
          <cell r="C33" t="str">
            <v>NUC</v>
          </cell>
        </row>
        <row r="34">
          <cell r="B34" t="str">
            <v>Oil Av Gasoline</v>
          </cell>
          <cell r="C34" t="str">
            <v>OAG</v>
          </cell>
        </row>
        <row r="35">
          <cell r="B35" t="str">
            <v>Oil Crude</v>
          </cell>
          <cell r="C35" t="str">
            <v>OCR</v>
          </cell>
        </row>
        <row r="36">
          <cell r="B36" t="str">
            <v>Oil Diesel</v>
          </cell>
          <cell r="C36" t="str">
            <v>ODS</v>
          </cell>
        </row>
        <row r="37">
          <cell r="B37" t="str">
            <v>Oil Gasoline</v>
          </cell>
          <cell r="C37" t="str">
            <v>OGS</v>
          </cell>
        </row>
        <row r="38">
          <cell r="B38" t="str">
            <v>Oil HFO</v>
          </cell>
          <cell r="C38" t="str">
            <v>OHF</v>
          </cell>
        </row>
        <row r="39">
          <cell r="B39" t="str">
            <v>Oil Kerosene</v>
          </cell>
          <cell r="C39" t="str">
            <v>OKE</v>
          </cell>
        </row>
        <row r="40">
          <cell r="B40" t="str">
            <v>Oil LPG</v>
          </cell>
          <cell r="C40" t="str">
            <v>OLP</v>
          </cell>
        </row>
        <row r="41">
          <cell r="B41" t="str">
            <v>Oil Other</v>
          </cell>
          <cell r="C41" t="str">
            <v>OTH</v>
          </cell>
        </row>
        <row r="42">
          <cell r="B42" t="str">
            <v>Solar</v>
          </cell>
          <cell r="C42" t="str">
            <v>SOL</v>
          </cell>
        </row>
        <row r="43">
          <cell r="B43" t="str">
            <v>Wind</v>
          </cell>
          <cell r="C43" t="str">
            <v>WND</v>
          </cell>
        </row>
        <row r="44">
          <cell r="B44" t="str">
            <v>Waste</v>
          </cell>
          <cell r="C44" t="str">
            <v>WAS</v>
          </cell>
        </row>
      </sheetData>
      <sheetData sheetId="3"/>
      <sheetData sheetId="4"/>
      <sheetData sheetId="5"/>
      <sheetData sheetId="6"/>
      <sheetData sheetId="7"/>
      <sheetData sheetId="8"/>
      <sheetData sheetId="9"/>
      <sheetData sheetId="10">
        <row r="17">
          <cell r="A17">
            <v>2.54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UPS</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l.comparison"/>
      <sheetName val="FCS2018"/>
      <sheetName val="SATIM"/>
      <sheetName val="SAPIAAR2018"/>
      <sheetName val="NIR2017"/>
      <sheetName val="DoE.Petrol"/>
      <sheetName val="DoE.Diesel"/>
      <sheetName val="units"/>
      <sheetName val="scra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B2">
            <v>38.6</v>
          </cell>
        </row>
        <row r="3">
          <cell r="B3">
            <v>34.659999999999997</v>
          </cell>
        </row>
      </sheetData>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version"/>
      <sheetName val="units"/>
      <sheetName val="AMD"/>
      <sheetName val="AMD.v2"/>
      <sheetName val="coal mining"/>
      <sheetName val="TDS  vs Capex"/>
      <sheetName val="WTP energy costs"/>
      <sheetName val="Shale gas"/>
      <sheetName val="Shale-AMD wtp"/>
      <sheetName val="Uranium-Gold"/>
      <sheetName val="fgd costs"/>
      <sheetName val="Coal dist"/>
      <sheetName val="steam"/>
      <sheetName val="refineries"/>
      <sheetName val="cooling water"/>
      <sheetName val="seasonal"/>
      <sheetName val="PWR station GIS data"/>
      <sheetName val="Existing Plants by Water Supply"/>
      <sheetName val="Existing Plants by Coal Supply"/>
      <sheetName val="Eskom coal pwr plants"/>
      <sheetName val="charts"/>
      <sheetName val="TechWATv4"/>
      <sheetName val="TechWATv5 (supwat5)"/>
      <sheetName val="FromCGE"/>
      <sheetName val="Non-Energy Water Demand"/>
      <sheetName val="non-power liquid fuels"/>
      <sheetName val="CPI_1960-2013"/>
      <sheetName val="JHB return flows"/>
      <sheetName val="misc calcs"/>
      <sheetName val="WSR-A"/>
      <sheetName val="WSR-B"/>
      <sheetName val="WSR-C"/>
      <sheetName val="WSR-D"/>
      <sheetName val="WSR-R"/>
      <sheetName val="WSR-Z"/>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E3">
            <v>0.08</v>
          </cell>
        </row>
      </sheetData>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EnergyBalance2017"/>
      <sheetName val="ITEMS_Tech"/>
      <sheetName val="ITEMS_Comm"/>
      <sheetName val="SUP"/>
      <sheetName val="LNG"/>
      <sheetName val="GasPipeLines"/>
      <sheetName val="FugitiveEmissions"/>
      <sheetName val="EmissionsAggregationCO2eq"/>
      <sheetName val="FuelTechs"/>
      <sheetName val="Liq Fuel Prices"/>
      <sheetName val="IEA_WEO"/>
      <sheetName val="FuelDistribution"/>
    </sheetNames>
    <sheetDataSet>
      <sheetData sheetId="0" refreshError="1"/>
      <sheetData sheetId="1" refreshError="1"/>
      <sheetData sheetId="2">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Coal for Material Use</v>
          </cell>
          <cell r="C16" t="str">
            <v>CMU</v>
          </cell>
        </row>
        <row r="17">
          <cell r="B17" t="str">
            <v>Electricity</v>
          </cell>
          <cell r="C17" t="str">
            <v>ELC</v>
          </cell>
        </row>
        <row r="18">
          <cell r="B18" t="str">
            <v>Electricity Upstream Transmission</v>
          </cell>
          <cell r="C18" t="str">
            <v>ELCC</v>
          </cell>
        </row>
        <row r="19">
          <cell r="B19" t="str">
            <v>Gas South Africa</v>
          </cell>
          <cell r="C19" t="str">
            <v>GAS</v>
          </cell>
        </row>
        <row r="20">
          <cell r="B20" t="str">
            <v>Gas Southern Mozambique</v>
          </cell>
          <cell r="C20" t="str">
            <v>GRS</v>
          </cell>
        </row>
        <row r="21">
          <cell r="B21" t="str">
            <v>Gas Namibia</v>
          </cell>
          <cell r="C21" t="str">
            <v>GRN</v>
          </cell>
        </row>
        <row r="22">
          <cell r="B22" t="str">
            <v>Gas Regional LNG</v>
          </cell>
          <cell r="C22" t="str">
            <v>GRL</v>
          </cell>
        </row>
        <row r="23">
          <cell r="B23" t="str">
            <v>Gas International LNG</v>
          </cell>
          <cell r="C23" t="str">
            <v>GWL</v>
          </cell>
        </row>
        <row r="24">
          <cell r="B24" t="str">
            <v>Gas Northern Mozambique</v>
          </cell>
          <cell r="C24" t="str">
            <v>GRM</v>
          </cell>
        </row>
        <row r="25">
          <cell r="B25" t="str">
            <v>Gas Indigenous Ibhubezi</v>
          </cell>
          <cell r="C25" t="str">
            <v>GIB</v>
          </cell>
        </row>
        <row r="26">
          <cell r="B26" t="str">
            <v>Gas Indigenous Shale</v>
          </cell>
          <cell r="C26" t="str">
            <v>GIH</v>
          </cell>
        </row>
        <row r="27">
          <cell r="B27" t="str">
            <v>Coastal Gas</v>
          </cell>
          <cell r="C27" t="str">
            <v>GIC</v>
          </cell>
        </row>
        <row r="28">
          <cell r="B28" t="str">
            <v>Gas Material Use</v>
          </cell>
          <cell r="C28" t="str">
            <v>GMU</v>
          </cell>
        </row>
        <row r="29">
          <cell r="B29" t="str">
            <v>Gas Methane Rich</v>
          </cell>
          <cell r="C29" t="str">
            <v>GIM</v>
          </cell>
        </row>
        <row r="30">
          <cell r="B30" t="str">
            <v>Heat-Steam</v>
          </cell>
          <cell r="C30" t="str">
            <v>HET</v>
          </cell>
        </row>
        <row r="31">
          <cell r="B31" t="str">
            <v>Heat-Steam Existing</v>
          </cell>
          <cell r="C31" t="str">
            <v>HEE</v>
          </cell>
        </row>
        <row r="32">
          <cell r="B32" t="str">
            <v>Heat-Steam New</v>
          </cell>
          <cell r="C32" t="str">
            <v>HEN</v>
          </cell>
        </row>
        <row r="33">
          <cell r="B33" t="str">
            <v>Hydro</v>
          </cell>
          <cell r="C33" t="str">
            <v>HYD</v>
          </cell>
        </row>
        <row r="34">
          <cell r="B34" t="str">
            <v>Hydrogen</v>
          </cell>
          <cell r="C34" t="str">
            <v>HGN</v>
          </cell>
        </row>
        <row r="35">
          <cell r="B35" t="str">
            <v>Nuclear</v>
          </cell>
          <cell r="C35" t="str">
            <v>NUC</v>
          </cell>
        </row>
        <row r="36">
          <cell r="B36" t="str">
            <v>Oil Av Gasoline</v>
          </cell>
          <cell r="C36" t="str">
            <v>OAG</v>
          </cell>
        </row>
        <row r="37">
          <cell r="B37" t="str">
            <v>Oil Crude</v>
          </cell>
          <cell r="C37" t="str">
            <v>OCR</v>
          </cell>
        </row>
        <row r="38">
          <cell r="B38" t="str">
            <v>Oil Diesel</v>
          </cell>
          <cell r="C38" t="str">
            <v>ODS</v>
          </cell>
        </row>
        <row r="39">
          <cell r="B39" t="str">
            <v>Oil Gasoline</v>
          </cell>
          <cell r="C39" t="str">
            <v>OGS</v>
          </cell>
        </row>
        <row r="40">
          <cell r="B40" t="str">
            <v>Oil HFO</v>
          </cell>
          <cell r="C40" t="str">
            <v>OHF</v>
          </cell>
        </row>
        <row r="41">
          <cell r="B41" t="str">
            <v>Oil Kerosene</v>
          </cell>
          <cell r="C41" t="str">
            <v>OKE</v>
          </cell>
        </row>
        <row r="42">
          <cell r="B42" t="str">
            <v>Oil LPG</v>
          </cell>
          <cell r="C42" t="str">
            <v>OLP</v>
          </cell>
        </row>
        <row r="43">
          <cell r="B43" t="str">
            <v>Oil Other</v>
          </cell>
          <cell r="C43" t="str">
            <v>OTH</v>
          </cell>
        </row>
        <row r="44">
          <cell r="B44" t="str">
            <v>Solar</v>
          </cell>
          <cell r="C44" t="str">
            <v>SOL</v>
          </cell>
        </row>
        <row r="45">
          <cell r="B45" t="str">
            <v>Wind</v>
          </cell>
          <cell r="C45" t="str">
            <v>WND</v>
          </cell>
        </row>
        <row r="46">
          <cell r="B46" t="str">
            <v>Waste</v>
          </cell>
          <cell r="C46" t="str">
            <v>WAS</v>
          </cell>
        </row>
        <row r="51">
          <cell r="B51" t="str">
            <v>AGR</v>
          </cell>
          <cell r="C51" t="str">
            <v>Agriculture</v>
          </cell>
        </row>
        <row r="52">
          <cell r="B52" t="str">
            <v>COM</v>
          </cell>
          <cell r="C52" t="str">
            <v>Commerce</v>
          </cell>
        </row>
        <row r="53">
          <cell r="B53" t="str">
            <v>IND</v>
          </cell>
          <cell r="C53" t="str">
            <v>Industry</v>
          </cell>
        </row>
        <row r="54">
          <cell r="B54" t="str">
            <v>PWR</v>
          </cell>
          <cell r="C54" t="str">
            <v>Power</v>
          </cell>
        </row>
        <row r="55">
          <cell r="B55" t="str">
            <v>RES</v>
          </cell>
          <cell r="C55" t="str">
            <v>Residential</v>
          </cell>
        </row>
        <row r="56">
          <cell r="B56" t="str">
            <v>TRA</v>
          </cell>
          <cell r="C56" t="str">
            <v>Transport</v>
          </cell>
        </row>
        <row r="57">
          <cell r="B57" t="str">
            <v>UPS</v>
          </cell>
          <cell r="C57" t="str">
            <v>Upstream</v>
          </cell>
        </row>
      </sheetData>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ChangeLog"/>
      <sheetName val="NameConv"/>
      <sheetName val="REGIONS"/>
      <sheetName val="2006EB"/>
      <sheetName val="2012EB"/>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Crude refineries"/>
      <sheetName val="Cleaner Fuels Phase-2"/>
      <sheetName val="GTL and CTL"/>
      <sheetName val="SummaryRef"/>
      <sheetName val="RefineriesRES"/>
      <sheetName val="SasolRES2012"/>
      <sheetName val="SasolRES-2017"/>
      <sheetName val="GAS 2000-2029 CY"/>
      <sheetName val="SASOL CC 2019 report"/>
      <sheetName val="Secunda Emissions 2019"/>
      <sheetName val="RefineriesData"/>
      <sheetName val="Aviation Synfuel Data"/>
      <sheetName val="Aviation Synfuel-Items"/>
      <sheetName val="Aviation Synfuel-TSData"/>
      <sheetName val="Aviation Synfuel-TIDData"/>
      <sheetName val="Hydrogen-Other"/>
      <sheetName val="Hydrogen-ELT"/>
      <sheetName val="H2Storage"/>
      <sheetName val="H2Storage-Items"/>
      <sheetName val="H2Storage-TSData"/>
      <sheetName val="H2Storage-TIDData"/>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HGN-TSData xtras"/>
      <sheetName val="HGN-TIDData xtras"/>
      <sheetName val="CPI_1960-2013"/>
      <sheetName val="Sheet1"/>
    </sheetNames>
    <sheetDataSet>
      <sheetData sheetId="0">
        <row r="2">
          <cell r="A2">
            <v>1</v>
          </cell>
        </row>
      </sheetData>
      <sheetData sheetId="1"/>
      <sheetData sheetId="2">
        <row r="3">
          <cell r="AX3">
            <v>16</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56">
          <cell r="F56">
            <v>0.34416826003824091</v>
          </cell>
          <cell r="G56">
            <v>0.55066921606118546</v>
          </cell>
          <cell r="H56">
            <v>0.74187380497131927</v>
          </cell>
          <cell r="J56">
            <v>0.74187380497131927</v>
          </cell>
          <cell r="L56">
            <v>0.74187380497131927</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39">
          <cell r="D39">
            <v>120.1</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isting capacity basic data"/>
      <sheetName val="PWR"/>
      <sheetName val="ITEMS_Teche"/>
      <sheetName val="TS ETech"/>
      <sheetName val="TID ETech"/>
      <sheetName val="ITEMS_Comm"/>
      <sheetName val="New Capacity basic data"/>
      <sheetName val="Inga"/>
      <sheetName val="OtherRegionalProjects"/>
      <sheetName val="NT_PWR"/>
      <sheetName val="ITEMS_Techn"/>
      <sheetName val="TS INVFX"/>
      <sheetName val="TS INVFX_5yr"/>
      <sheetName val="TS INVFX_IRP"/>
      <sheetName val="TS NTech"/>
      <sheetName val="TS NTechICost"/>
      <sheetName val="TID NTech"/>
      <sheetName val="ITEMS GRP"/>
      <sheetName val="TS Othere"/>
      <sheetName val="TID Othere"/>
      <sheetName val="ITEMS UC"/>
      <sheetName val="TS UC"/>
      <sheetName val="TID UC"/>
      <sheetName val="ITEMS UC_BLIPPP"/>
      <sheetName val="TS UC_BLIPPP"/>
      <sheetName val="TID UC_BLIPPP"/>
      <sheetName val="REAvail"/>
      <sheetName val="REAvail (2)"/>
      <sheetName val="TS REAvail"/>
      <sheetName val="REAvail_10TS"/>
      <sheetName val="REAvail_10TS (2)"/>
      <sheetName val="TS REAvail_10TS"/>
      <sheetName val="REGIONS"/>
      <sheetName val="NameConv"/>
      <sheetName val="Deflator"/>
      <sheetName val="EskomCoalEff"/>
      <sheetName val="Analytica_Input"/>
      <sheetName val="LogofChanges"/>
    </sheetNames>
    <sheetDataSet>
      <sheetData sheetId="0"/>
      <sheetData sheetId="1"/>
      <sheetData sheetId="2"/>
      <sheetData sheetId="3"/>
      <sheetData sheetId="4"/>
      <sheetData sheetId="5"/>
      <sheetData sheetId="6">
        <row r="9">
          <cell r="B9">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lator"/>
    </sheetNames>
    <sheetDataSet>
      <sheetData sheetId="0" refreshError="1">
        <row r="4">
          <cell r="L4">
            <v>1.7734731669022814</v>
          </cell>
          <cell r="O4">
            <v>1.3925713075799215</v>
          </cell>
          <cell r="P4">
            <v>1.3094103081137336</v>
          </cell>
          <cell r="R4">
            <v>1.1636030437253695</v>
          </cell>
          <cell r="S4">
            <v>1.0978875034592741</v>
          </cell>
          <cell r="T4">
            <v>1.0377447099466544</v>
          </cell>
          <cell r="U4">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treasury.gov.za/documents/national%20budget/2022/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91E-56E0-4A8D-A79A-1FD74EC26C1E}">
  <sheetPr>
    <tabColor theme="5"/>
  </sheetPr>
  <dimension ref="A1:AC11"/>
  <sheetViews>
    <sheetView workbookViewId="0">
      <selection activeCell="E7" sqref="E7"/>
    </sheetView>
  </sheetViews>
  <sheetFormatPr defaultRowHeight="12.75"/>
  <cols>
    <col min="1" max="1" width="11.140625" customWidth="1"/>
    <col min="4" max="4" width="19.28515625" customWidth="1"/>
  </cols>
  <sheetData>
    <row r="1" spans="1:29">
      <c r="E1">
        <v>2019</v>
      </c>
      <c r="F1">
        <f>E1+1</f>
        <v>2020</v>
      </c>
      <c r="G1">
        <f t="shared" ref="G1:Z1" si="0">F1+1</f>
        <v>2021</v>
      </c>
      <c r="H1">
        <f t="shared" si="0"/>
        <v>2022</v>
      </c>
      <c r="I1">
        <f t="shared" si="0"/>
        <v>2023</v>
      </c>
      <c r="J1">
        <f t="shared" si="0"/>
        <v>2024</v>
      </c>
      <c r="K1">
        <f t="shared" si="0"/>
        <v>2025</v>
      </c>
      <c r="L1">
        <f t="shared" si="0"/>
        <v>2026</v>
      </c>
      <c r="M1">
        <f t="shared" si="0"/>
        <v>2027</v>
      </c>
      <c r="N1">
        <f t="shared" si="0"/>
        <v>2028</v>
      </c>
      <c r="O1">
        <f t="shared" si="0"/>
        <v>2029</v>
      </c>
      <c r="P1">
        <f t="shared" si="0"/>
        <v>2030</v>
      </c>
      <c r="Q1">
        <f t="shared" si="0"/>
        <v>2031</v>
      </c>
      <c r="R1">
        <f t="shared" si="0"/>
        <v>2032</v>
      </c>
      <c r="S1">
        <f t="shared" si="0"/>
        <v>2033</v>
      </c>
      <c r="T1">
        <f t="shared" si="0"/>
        <v>2034</v>
      </c>
      <c r="U1">
        <f t="shared" si="0"/>
        <v>2035</v>
      </c>
      <c r="V1">
        <f>U1+1</f>
        <v>2036</v>
      </c>
      <c r="W1">
        <f t="shared" si="0"/>
        <v>2037</v>
      </c>
      <c r="X1">
        <f t="shared" si="0"/>
        <v>2038</v>
      </c>
      <c r="Y1">
        <f t="shared" si="0"/>
        <v>2039</v>
      </c>
      <c r="Z1">
        <f t="shared" si="0"/>
        <v>2040</v>
      </c>
      <c r="AA1">
        <v>2045</v>
      </c>
      <c r="AB1">
        <v>2050</v>
      </c>
      <c r="AC1">
        <v>2055</v>
      </c>
    </row>
    <row r="2" spans="1:29" ht="15">
      <c r="A2" t="s">
        <v>2</v>
      </c>
      <c r="B2" t="s">
        <v>0</v>
      </c>
      <c r="D2" s="1" t="s">
        <v>8</v>
      </c>
      <c r="E2" s="2">
        <v>30</v>
      </c>
      <c r="F2">
        <f>E2*1.02</f>
        <v>30.6</v>
      </c>
      <c r="G2">
        <f t="shared" ref="G2:H3" si="1">F2*1.02</f>
        <v>31.212000000000003</v>
      </c>
      <c r="H2">
        <f t="shared" si="1"/>
        <v>31.836240000000004</v>
      </c>
      <c r="I2">
        <f t="shared" ref="I2:I3" si="2">H2*1.02</f>
        <v>32.472964800000007</v>
      </c>
      <c r="J2">
        <f>I2</f>
        <v>32.472964800000007</v>
      </c>
      <c r="K2" t="str">
        <f>""</f>
        <v/>
      </c>
      <c r="L2" t="str">
        <f>""</f>
        <v/>
      </c>
      <c r="M2" t="str">
        <f>""</f>
        <v/>
      </c>
      <c r="N2" t="str">
        <f>""</f>
        <v/>
      </c>
      <c r="O2" t="str">
        <f>""</f>
        <v/>
      </c>
      <c r="P2" t="str">
        <f>""</f>
        <v/>
      </c>
      <c r="Q2" t="str">
        <f>""</f>
        <v/>
      </c>
      <c r="R2" t="str">
        <f>""</f>
        <v/>
      </c>
      <c r="S2" t="str">
        <f>""</f>
        <v/>
      </c>
      <c r="T2" t="str">
        <f>""</f>
        <v/>
      </c>
      <c r="U2" t="str">
        <f>""</f>
        <v/>
      </c>
      <c r="V2" t="str">
        <f>""</f>
        <v/>
      </c>
      <c r="W2" t="str">
        <f>""</f>
        <v/>
      </c>
      <c r="X2" t="str">
        <f>""</f>
        <v/>
      </c>
      <c r="Y2" t="str">
        <f>""</f>
        <v/>
      </c>
      <c r="Z2" t="str">
        <f>""</f>
        <v/>
      </c>
      <c r="AA2" t="str">
        <f>""</f>
        <v/>
      </c>
      <c r="AB2" t="str">
        <f>""</f>
        <v/>
      </c>
      <c r="AC2" t="str">
        <f>""</f>
        <v/>
      </c>
    </row>
    <row r="3" spans="1:29" ht="15">
      <c r="A3" t="s">
        <v>3</v>
      </c>
      <c r="B3" t="s">
        <v>0</v>
      </c>
      <c r="D3" s="1" t="s">
        <v>8</v>
      </c>
      <c r="E3" s="2">
        <v>30</v>
      </c>
      <c r="F3">
        <f>E3*1.02</f>
        <v>30.6</v>
      </c>
      <c r="G3">
        <f t="shared" si="1"/>
        <v>31.212000000000003</v>
      </c>
      <c r="H3">
        <f t="shared" si="1"/>
        <v>31.836240000000004</v>
      </c>
      <c r="I3">
        <f t="shared" si="2"/>
        <v>32.472964800000007</v>
      </c>
      <c r="J3" t="str">
        <f>""</f>
        <v/>
      </c>
      <c r="K3" t="str">
        <f>""</f>
        <v/>
      </c>
      <c r="L3" t="str">
        <f>""</f>
        <v/>
      </c>
      <c r="M3" t="str">
        <f>""</f>
        <v/>
      </c>
      <c r="N3" t="str">
        <f>""</f>
        <v/>
      </c>
      <c r="O3" t="str">
        <f>""</f>
        <v/>
      </c>
      <c r="P3" s="2">
        <v>159.1</v>
      </c>
      <c r="Q3" t="str">
        <f>""</f>
        <v/>
      </c>
      <c r="R3" t="str">
        <f>""</f>
        <v/>
      </c>
      <c r="S3" t="str">
        <f>""</f>
        <v/>
      </c>
      <c r="T3" t="str">
        <f>""</f>
        <v/>
      </c>
      <c r="U3" t="str">
        <f>""</f>
        <v/>
      </c>
      <c r="V3" t="str">
        <f>""</f>
        <v/>
      </c>
      <c r="W3" t="str">
        <f>""</f>
        <v/>
      </c>
      <c r="X3" t="str">
        <f>""</f>
        <v/>
      </c>
      <c r="Y3" t="str">
        <f>""</f>
        <v/>
      </c>
      <c r="Z3" t="str">
        <f>""</f>
        <v/>
      </c>
      <c r="AA3" t="str">
        <f>""</f>
        <v/>
      </c>
      <c r="AB3" t="str">
        <f>""</f>
        <v/>
      </c>
    </row>
    <row r="4" spans="1:29" ht="15">
      <c r="A4" t="s">
        <v>9</v>
      </c>
      <c r="B4" t="s">
        <v>0</v>
      </c>
      <c r="D4" s="1" t="s">
        <v>8</v>
      </c>
      <c r="E4" s="2">
        <f>INDEX(Inflation!$O$2:$O$43,MATCH(E$1,Inflation!$A$2:$A$43,0))</f>
        <v>30</v>
      </c>
      <c r="F4">
        <f>INDEX(Inflation!$O$2:$O$43,MATCH(F$1,Inflation!$A$2:$A$43,0))</f>
        <v>30.6</v>
      </c>
      <c r="G4">
        <f>INDEX(Inflation!$O$2:$O$43,MATCH(G$1,Inflation!$A$2:$A$43,0))</f>
        <v>31.212000000000003</v>
      </c>
      <c r="H4">
        <f>INDEX(Inflation!$O$2:$O$43,MATCH(H$1,Inflation!$A$2:$A$43,0))</f>
        <v>31.836240000000004</v>
      </c>
      <c r="I4">
        <f>INDEX(Inflation!$O$2:$O$43,MATCH(I$1,Inflation!$A$2:$A$43,0))</f>
        <v>59.987158725823974</v>
      </c>
      <c r="J4">
        <f>INDEX(Inflation!$O$2:$O$43,MATCH(J$1,Inflation!$A$2:$A$43,0))</f>
        <v>88.138077451651043</v>
      </c>
      <c r="K4">
        <f>INDEX(Inflation!$O$2:$O$43,MATCH(K$1,Inflation!$A$2:$A$43,0))</f>
        <v>116.28899617747811</v>
      </c>
      <c r="L4" s="2">
        <f>INDEX(Inflation!$O$2:$O$43,MATCH(L$1,Inflation!$A$2:$A$43,0))</f>
        <v>144.43991490330518</v>
      </c>
      <c r="M4">
        <f>INDEX(Inflation!$O$2:$O$43,MATCH(M$1,Inflation!$A$2:$A$43,0))</f>
        <v>199.99372832765857</v>
      </c>
      <c r="N4">
        <f>INDEX(Inflation!$O$2:$O$43,MATCH(N$1,Inflation!$A$2:$A$43,0))</f>
        <v>263.8806137656606</v>
      </c>
      <c r="O4">
        <f>INDEX(Inflation!$O$2:$O$43,MATCH(O$1,Inflation!$A$2:$A$43,0))</f>
        <v>336.10057121731506</v>
      </c>
      <c r="P4" s="2">
        <f>INDEX(Inflation!$O$2:$O$43,MATCH(P$1,Inflation!$A$2:$A$43,0))</f>
        <v>416.65360068262203</v>
      </c>
      <c r="Q4">
        <f>INDEX(Inflation!$O$2:$O$43,MATCH(Q$1,Inflation!$A$2:$A$43,0))</f>
        <v>476.1755436372822</v>
      </c>
      <c r="R4">
        <f>INDEX(Inflation!$O$2:$O$43,MATCH(R$1,Inflation!$A$2:$A$43,0))</f>
        <v>535.69748659194261</v>
      </c>
      <c r="S4">
        <f>INDEX(Inflation!$O$2:$O$43,MATCH(S$1,Inflation!$A$2:$A$43,0))</f>
        <v>595.21942954660278</v>
      </c>
      <c r="T4">
        <f>INDEX(Inflation!$O$2:$O$43,MATCH(T$1,Inflation!$A$2:$A$43,0))</f>
        <v>654.74137250126307</v>
      </c>
      <c r="U4">
        <f>INDEX(Inflation!$O$2:$O$43,MATCH(U$1,Inflation!$A$2:$A$43,0))</f>
        <v>714.26331545592336</v>
      </c>
      <c r="V4">
        <f>INDEX(Inflation!$O$2:$O$43,MATCH(V$1,Inflation!$A$2:$A$43,0))</f>
        <v>773.78525841058365</v>
      </c>
      <c r="W4">
        <f>INDEX(Inflation!$O$2:$O$43,MATCH(W$1,Inflation!$A$2:$A$43,0))</f>
        <v>833.30720136524394</v>
      </c>
      <c r="X4">
        <f>INDEX(Inflation!$O$2:$O$43,MATCH(X$1,Inflation!$A$2:$A$43,0))</f>
        <v>892.82914431990423</v>
      </c>
      <c r="Y4">
        <f>INDEX(Inflation!$O$2:$O$43,MATCH(Y$1,Inflation!$A$2:$A$43,0))</f>
        <v>952.35108727456441</v>
      </c>
      <c r="Z4">
        <f>INDEX(Inflation!$O$2:$O$43,MATCH(Z$1,Inflation!$A$2:$A$43,0))</f>
        <v>1011.8730302292249</v>
      </c>
      <c r="AA4">
        <f>INDEX(Inflation!$O$2:$O$43,MATCH(AA$1,Inflation!$A$2:$A$43,0))</f>
        <v>1309.4827450025268</v>
      </c>
      <c r="AB4">
        <f>INDEX(Inflation!$O$2:$O$43,MATCH(AB$1,Inflation!$A$2:$A$43,0))</f>
        <v>1607.0924597758287</v>
      </c>
      <c r="AC4" s="2">
        <f>INDEX(Inflation!$O$2:$O$43,MATCH(AC$1,Inflation!$A$2:$A$43,0))</f>
        <v>1666.6144027304881</v>
      </c>
    </row>
    <row r="7" spans="1:29" ht="15">
      <c r="B7" t="s">
        <v>4</v>
      </c>
      <c r="E7" s="2" t="s">
        <v>2</v>
      </c>
      <c r="F7">
        <f>MATCH(E7,A2:A4,0)</f>
        <v>1</v>
      </c>
    </row>
    <row r="8" spans="1:29">
      <c r="E8">
        <v>2019</v>
      </c>
      <c r="F8">
        <f>E8+1</f>
        <v>2020</v>
      </c>
      <c r="G8">
        <f t="shared" ref="G8:Z8" si="3">F8+1</f>
        <v>2021</v>
      </c>
      <c r="H8">
        <f t="shared" si="3"/>
        <v>2022</v>
      </c>
      <c r="I8">
        <f t="shared" si="3"/>
        <v>2023</v>
      </c>
      <c r="J8">
        <f t="shared" si="3"/>
        <v>2024</v>
      </c>
      <c r="K8">
        <f t="shared" si="3"/>
        <v>2025</v>
      </c>
      <c r="L8">
        <f t="shared" si="3"/>
        <v>2026</v>
      </c>
      <c r="M8">
        <f t="shared" si="3"/>
        <v>2027</v>
      </c>
      <c r="N8">
        <f t="shared" si="3"/>
        <v>2028</v>
      </c>
      <c r="O8">
        <f t="shared" si="3"/>
        <v>2029</v>
      </c>
      <c r="P8">
        <f t="shared" si="3"/>
        <v>2030</v>
      </c>
      <c r="Q8">
        <f t="shared" si="3"/>
        <v>2031</v>
      </c>
      <c r="R8">
        <f t="shared" si="3"/>
        <v>2032</v>
      </c>
      <c r="S8">
        <f t="shared" si="3"/>
        <v>2033</v>
      </c>
      <c r="T8">
        <f t="shared" si="3"/>
        <v>2034</v>
      </c>
      <c r="U8">
        <f t="shared" si="3"/>
        <v>2035</v>
      </c>
      <c r="V8">
        <f>U8+1</f>
        <v>2036</v>
      </c>
      <c r="W8">
        <f t="shared" si="3"/>
        <v>2037</v>
      </c>
      <c r="X8">
        <f t="shared" si="3"/>
        <v>2038</v>
      </c>
      <c r="Y8">
        <f t="shared" si="3"/>
        <v>2039</v>
      </c>
      <c r="Z8">
        <f t="shared" si="3"/>
        <v>2040</v>
      </c>
      <c r="AA8">
        <v>2045</v>
      </c>
      <c r="AB8">
        <v>2050</v>
      </c>
      <c r="AC8">
        <v>2055</v>
      </c>
    </row>
    <row r="9" spans="1:29">
      <c r="D9" t="s">
        <v>1</v>
      </c>
      <c r="E9" cm="1">
        <f t="array" ref="E9">INDEX(E$2:E$4,$F$7)</f>
        <v>30</v>
      </c>
      <c r="F9" cm="1">
        <f t="array" ref="F9">INDEX(F$2:F$4,$F$7)</f>
        <v>30.6</v>
      </c>
      <c r="G9" cm="1">
        <f t="array" ref="G9">INDEX(G$2:G$4,$F$7)</f>
        <v>31.212000000000003</v>
      </c>
      <c r="H9" cm="1">
        <f t="array" ref="H9">INDEX(H$2:H$4,$F$7)</f>
        <v>31.836240000000004</v>
      </c>
      <c r="I9" cm="1">
        <f t="array" ref="I9">INDEX(I$2:I$4,$F$7)</f>
        <v>32.472964800000007</v>
      </c>
      <c r="J9" cm="1">
        <f t="array" ref="J9">INDEX(J$2:J$4,$F$7)</f>
        <v>32.472964800000007</v>
      </c>
      <c r="K9" t="str" cm="1">
        <f t="array" ref="K9">INDEX(K$2:K$4,$F$7)</f>
        <v/>
      </c>
      <c r="L9" t="str" cm="1">
        <f t="array" ref="L9">INDEX(L$2:L$4,$F$7)</f>
        <v/>
      </c>
      <c r="M9" t="str" cm="1">
        <f t="array" ref="M9">INDEX(M$2:M$4,$F$7)</f>
        <v/>
      </c>
      <c r="N9" t="str" cm="1">
        <f t="array" ref="N9">INDEX(N$2:N$4,$F$7)</f>
        <v/>
      </c>
      <c r="O9" t="str" cm="1">
        <f t="array" ref="O9">INDEX(O$2:O$4,$F$7)</f>
        <v/>
      </c>
      <c r="P9" t="str" cm="1">
        <f t="array" ref="P9">INDEX(P$2:P$4,$F$7)</f>
        <v/>
      </c>
      <c r="Q9" t="str" cm="1">
        <f t="array" ref="Q9">INDEX(Q$2:Q$4,$F$7)</f>
        <v/>
      </c>
      <c r="R9" t="str" cm="1">
        <f t="array" ref="R9">INDEX(R$2:R$4,$F$7)</f>
        <v/>
      </c>
      <c r="S9" t="str" cm="1">
        <f t="array" ref="S9">INDEX(S$2:S$4,$F$7)</f>
        <v/>
      </c>
      <c r="T9" t="str" cm="1">
        <f t="array" ref="T9">INDEX(T$2:T$4,$F$7)</f>
        <v/>
      </c>
      <c r="U9" t="str" cm="1">
        <f t="array" ref="U9">INDEX(U$2:U$4,$F$7)</f>
        <v/>
      </c>
      <c r="V9" t="str" cm="1">
        <f t="array" ref="V9">INDEX(V$2:V$4,$F$7)</f>
        <v/>
      </c>
      <c r="W9" t="str" cm="1">
        <f t="array" ref="W9">INDEX(W$2:W$4,$F$7)</f>
        <v/>
      </c>
      <c r="X9" t="str" cm="1">
        <f t="array" ref="X9">INDEX(X$2:X$4,$F$7)</f>
        <v/>
      </c>
      <c r="Y9" t="str" cm="1">
        <f t="array" ref="Y9">INDEX(Y$2:Y$4,$F$7)</f>
        <v/>
      </c>
      <c r="Z9" t="str" cm="1">
        <f t="array" ref="Z9">INDEX(Z$2:Z$4,$F$7)</f>
        <v/>
      </c>
      <c r="AA9" t="str" cm="1">
        <f t="array" ref="AA9">INDEX(AA$2:AA$4,$F$7)</f>
        <v/>
      </c>
      <c r="AB9" t="str" cm="1">
        <f t="array" ref="AB9">INDEX(AB$2:AB$4,$F$7)</f>
        <v/>
      </c>
      <c r="AC9" t="str" cm="1">
        <f t="array" ref="AC9">INDEX(AC$2:AC$4,$F$7)</f>
        <v/>
      </c>
    </row>
    <row r="10" spans="1:29">
      <c r="B10" t="s">
        <v>5</v>
      </c>
      <c r="C10">
        <v>1.1524982174688057</v>
      </c>
      <c r="D10" t="s">
        <v>10</v>
      </c>
      <c r="E10">
        <f>IF(E9="","",E9*$C10/1000)</f>
        <v>3.4574946524064169E-2</v>
      </c>
      <c r="F10">
        <f t="shared" ref="F10:AB10" si="4">IF(F9="","",F9*$C10/1000)</f>
        <v>3.5266445454545457E-2</v>
      </c>
      <c r="G10">
        <f t="shared" si="4"/>
        <v>3.5971774363636362E-2</v>
      </c>
      <c r="H10">
        <f t="shared" si="4"/>
        <v>3.6691209850909096E-2</v>
      </c>
      <c r="I10">
        <f t="shared" si="4"/>
        <v>3.7425034047927276E-2</v>
      </c>
      <c r="J10">
        <f t="shared" si="4"/>
        <v>3.7425034047927276E-2</v>
      </c>
      <c r="K10" t="str">
        <f t="shared" si="4"/>
        <v/>
      </c>
      <c r="L10" t="str">
        <f t="shared" si="4"/>
        <v/>
      </c>
      <c r="M10" t="str">
        <f t="shared" si="4"/>
        <v/>
      </c>
      <c r="N10" t="str">
        <f t="shared" si="4"/>
        <v/>
      </c>
      <c r="O10" t="str">
        <f t="shared" si="4"/>
        <v/>
      </c>
      <c r="P10" t="str">
        <f t="shared" si="4"/>
        <v/>
      </c>
      <c r="Q10" t="str">
        <f t="shared" si="4"/>
        <v/>
      </c>
      <c r="R10" t="str">
        <f t="shared" si="4"/>
        <v/>
      </c>
      <c r="S10" t="str">
        <f t="shared" si="4"/>
        <v/>
      </c>
      <c r="T10" t="str">
        <f t="shared" si="4"/>
        <v/>
      </c>
      <c r="U10" t="str">
        <f t="shared" si="4"/>
        <v/>
      </c>
      <c r="V10" t="str">
        <f t="shared" si="4"/>
        <v/>
      </c>
      <c r="W10" t="str">
        <f t="shared" si="4"/>
        <v/>
      </c>
      <c r="X10" t="str">
        <f t="shared" si="4"/>
        <v/>
      </c>
      <c r="Y10" t="str">
        <f t="shared" si="4"/>
        <v/>
      </c>
      <c r="Z10" t="str">
        <f t="shared" si="4"/>
        <v/>
      </c>
      <c r="AA10" t="str">
        <f t="shared" si="4"/>
        <v/>
      </c>
      <c r="AB10" t="str">
        <f t="shared" si="4"/>
        <v/>
      </c>
      <c r="AC10" t="str">
        <f t="shared" ref="AC10" si="5">IF(AC9="","",AC9*$C10/1000)</f>
        <v/>
      </c>
    </row>
    <row r="11" spans="1:29">
      <c r="B11" t="s">
        <v>6</v>
      </c>
      <c r="D11" t="s">
        <v>1</v>
      </c>
      <c r="E11">
        <f>E9/1000</f>
        <v>0.03</v>
      </c>
      <c r="F11">
        <f t="shared" ref="F11:J11" si="6">F9/1000</f>
        <v>3.0600000000000002E-2</v>
      </c>
      <c r="G11">
        <f t="shared" si="6"/>
        <v>3.1212000000000004E-2</v>
      </c>
      <c r="H11">
        <f t="shared" si="6"/>
        <v>3.1836240000000002E-2</v>
      </c>
      <c r="I11">
        <f t="shared" si="6"/>
        <v>3.2472964800000004E-2</v>
      </c>
      <c r="J11">
        <f t="shared" si="6"/>
        <v>3.2472964800000004E-2</v>
      </c>
      <c r="K11" t="str">
        <f>IF(K10="","",K9/1000)</f>
        <v/>
      </c>
      <c r="L11" t="str">
        <f t="shared" ref="L11:AC11" si="7">IF(L10="","",L9/1000)</f>
        <v/>
      </c>
      <c r="M11" t="str">
        <f t="shared" si="7"/>
        <v/>
      </c>
      <c r="N11" t="str">
        <f t="shared" si="7"/>
        <v/>
      </c>
      <c r="O11" t="str">
        <f t="shared" si="7"/>
        <v/>
      </c>
      <c r="P11" t="str">
        <f t="shared" si="7"/>
        <v/>
      </c>
      <c r="Q11" t="str">
        <f t="shared" si="7"/>
        <v/>
      </c>
      <c r="R11" t="str">
        <f t="shared" si="7"/>
        <v/>
      </c>
      <c r="S11" t="str">
        <f t="shared" si="7"/>
        <v/>
      </c>
      <c r="T11" t="str">
        <f t="shared" si="7"/>
        <v/>
      </c>
      <c r="U11" t="str">
        <f t="shared" si="7"/>
        <v/>
      </c>
      <c r="V11" t="str">
        <f t="shared" si="7"/>
        <v/>
      </c>
      <c r="W11" t="str">
        <f t="shared" si="7"/>
        <v/>
      </c>
      <c r="X11" t="str">
        <f t="shared" si="7"/>
        <v/>
      </c>
      <c r="Y11" t="str">
        <f t="shared" si="7"/>
        <v/>
      </c>
      <c r="Z11" t="str">
        <f t="shared" si="7"/>
        <v/>
      </c>
      <c r="AA11" t="str">
        <f t="shared" si="7"/>
        <v/>
      </c>
      <c r="AB11" t="str">
        <f t="shared" si="7"/>
        <v/>
      </c>
      <c r="AC11" t="str">
        <f t="shared" si="7"/>
        <v/>
      </c>
    </row>
  </sheetData>
  <dataValidations count="1">
    <dataValidation type="list" allowBlank="1" showInputMessage="1" showErrorMessage="1" sqref="E7" xr:uid="{C93A3F20-BE22-4C0B-9CB2-091F6C27B087}">
      <formula1>$A$2:$A$4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DA4-E441-407B-9029-809478807945}">
  <sheetPr>
    <tabColor theme="4"/>
  </sheetPr>
  <dimension ref="B6:AD8"/>
  <sheetViews>
    <sheetView tabSelected="1" workbookViewId="0">
      <selection activeCell="B7" sqref="B7"/>
    </sheetView>
  </sheetViews>
  <sheetFormatPr defaultRowHeight="12.75"/>
  <cols>
    <col min="2" max="2" width="16.28515625" customWidth="1"/>
    <col min="3" max="3" width="10.85546875" bestFit="1" customWidth="1"/>
  </cols>
  <sheetData>
    <row r="6" spans="2:30" ht="15.75" thickBot="1">
      <c r="B6" s="32" t="s">
        <v>62</v>
      </c>
    </row>
    <row r="7" spans="2:30" ht="15">
      <c r="B7" s="33" t="s">
        <v>59</v>
      </c>
      <c r="C7" s="33" t="s">
        <v>60</v>
      </c>
      <c r="D7" s="33">
        <v>2018</v>
      </c>
      <c r="E7" s="33">
        <f t="shared" ref="E7:Z7" si="0">D7+1</f>
        <v>2019</v>
      </c>
      <c r="F7" s="33">
        <f t="shared" si="0"/>
        <v>2020</v>
      </c>
      <c r="G7" s="33">
        <f t="shared" si="0"/>
        <v>2021</v>
      </c>
      <c r="H7" s="33">
        <f t="shared" si="0"/>
        <v>2022</v>
      </c>
      <c r="I7" s="33">
        <f t="shared" si="0"/>
        <v>2023</v>
      </c>
      <c r="J7" s="33">
        <f t="shared" si="0"/>
        <v>2024</v>
      </c>
      <c r="K7" s="33">
        <f t="shared" si="0"/>
        <v>2025</v>
      </c>
      <c r="L7" s="33">
        <f t="shared" si="0"/>
        <v>2026</v>
      </c>
      <c r="M7" s="33">
        <f t="shared" si="0"/>
        <v>2027</v>
      </c>
      <c r="N7" s="33">
        <f t="shared" si="0"/>
        <v>2028</v>
      </c>
      <c r="O7" s="33">
        <f t="shared" si="0"/>
        <v>2029</v>
      </c>
      <c r="P7" s="33">
        <f t="shared" si="0"/>
        <v>2030</v>
      </c>
      <c r="Q7" s="33">
        <f t="shared" si="0"/>
        <v>2031</v>
      </c>
      <c r="R7" s="33">
        <f t="shared" si="0"/>
        <v>2032</v>
      </c>
      <c r="S7" s="33">
        <f t="shared" si="0"/>
        <v>2033</v>
      </c>
      <c r="T7" s="33">
        <f t="shared" si="0"/>
        <v>2034</v>
      </c>
      <c r="U7" s="33">
        <f t="shared" si="0"/>
        <v>2035</v>
      </c>
      <c r="V7" s="33">
        <f t="shared" si="0"/>
        <v>2036</v>
      </c>
      <c r="W7" s="33">
        <f t="shared" si="0"/>
        <v>2037</v>
      </c>
      <c r="X7" s="33">
        <f t="shared" si="0"/>
        <v>2038</v>
      </c>
      <c r="Y7" s="33">
        <f t="shared" si="0"/>
        <v>2039</v>
      </c>
      <c r="Z7" s="33">
        <f t="shared" si="0"/>
        <v>2040</v>
      </c>
      <c r="AA7" s="33">
        <v>2045</v>
      </c>
      <c r="AB7" s="33">
        <v>2050</v>
      </c>
      <c r="AC7" s="33">
        <v>2060</v>
      </c>
      <c r="AD7" s="33">
        <v>2070</v>
      </c>
    </row>
    <row r="8" spans="2:30" ht="15">
      <c r="B8" t="s">
        <v>7</v>
      </c>
      <c r="C8" t="s">
        <v>61</v>
      </c>
      <c r="D8" s="2">
        <v>0</v>
      </c>
      <c r="E8">
        <f>CO2TaxInputs!E10</f>
        <v>3.4574946524064169E-2</v>
      </c>
      <c r="F8">
        <f>CO2TaxInputs!F10</f>
        <v>3.5266445454545457E-2</v>
      </c>
      <c r="G8">
        <f>CO2TaxInputs!G10</f>
        <v>3.5971774363636362E-2</v>
      </c>
      <c r="H8">
        <f>CO2TaxInputs!H10</f>
        <v>3.6691209850909096E-2</v>
      </c>
      <c r="I8">
        <f>CO2TaxInputs!I10</f>
        <v>3.7425034047927276E-2</v>
      </c>
      <c r="J8">
        <f>CO2TaxInputs!J10</f>
        <v>3.7425034047927276E-2</v>
      </c>
      <c r="K8" t="str">
        <f>CO2TaxInputs!K10</f>
        <v/>
      </c>
      <c r="L8" t="str">
        <f>CO2TaxInputs!L10</f>
        <v/>
      </c>
      <c r="M8" t="str">
        <f>CO2TaxInputs!M10</f>
        <v/>
      </c>
      <c r="N8" t="str">
        <f>CO2TaxInputs!N10</f>
        <v/>
      </c>
      <c r="O8" t="str">
        <f>CO2TaxInputs!O10</f>
        <v/>
      </c>
      <c r="P8" t="str">
        <f>CO2TaxInputs!P10</f>
        <v/>
      </c>
      <c r="Q8" t="str">
        <f>CO2TaxInputs!Q10</f>
        <v/>
      </c>
      <c r="R8" t="str">
        <f>CO2TaxInputs!R10</f>
        <v/>
      </c>
      <c r="S8" t="str">
        <f>CO2TaxInputs!S10</f>
        <v/>
      </c>
      <c r="T8" t="str">
        <f>CO2TaxInputs!T10</f>
        <v/>
      </c>
      <c r="U8" t="str">
        <f>CO2TaxInputs!U10</f>
        <v/>
      </c>
      <c r="V8" t="str">
        <f>CO2TaxInputs!V10</f>
        <v/>
      </c>
      <c r="W8" t="str">
        <f>CO2TaxInputs!W10</f>
        <v/>
      </c>
      <c r="X8" t="str">
        <f>CO2TaxInputs!X10</f>
        <v/>
      </c>
      <c r="Y8" t="str">
        <f>CO2TaxInputs!Y10</f>
        <v/>
      </c>
      <c r="Z8" t="str">
        <f>CO2TaxInputs!Z10</f>
        <v/>
      </c>
      <c r="AA8" t="str">
        <f>CO2TaxInputs!AA10</f>
        <v/>
      </c>
      <c r="AB8" t="str">
        <f>CO2TaxInputs!AB10</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603C-52C8-4901-8929-8EEE898C946A}">
  <sheetPr>
    <tabColor rgb="FF92D050"/>
  </sheetPr>
  <dimension ref="A1:O59"/>
  <sheetViews>
    <sheetView topLeftCell="A11" workbookViewId="0">
      <selection activeCell="O35" sqref="O35:O43"/>
    </sheetView>
  </sheetViews>
  <sheetFormatPr defaultColWidth="12.5703125" defaultRowHeight="15.75"/>
  <cols>
    <col min="1" max="10" width="12.5703125" style="3"/>
    <col min="11" max="11" width="34.42578125" style="3" customWidth="1"/>
    <col min="12" max="12" width="6.85546875" style="3" customWidth="1"/>
    <col min="13" max="16384" width="12.5703125" style="3"/>
  </cols>
  <sheetData>
    <row r="1" spans="1:15" ht="110.25">
      <c r="B1" s="4" t="s">
        <v>11</v>
      </c>
      <c r="C1" s="4" t="s">
        <v>12</v>
      </c>
      <c r="D1" s="4" t="s">
        <v>13</v>
      </c>
      <c r="E1" s="4" t="s">
        <v>14</v>
      </c>
      <c r="F1" s="4" t="s">
        <v>15</v>
      </c>
      <c r="G1" s="4" t="s">
        <v>16</v>
      </c>
      <c r="I1" s="4" t="s">
        <v>17</v>
      </c>
      <c r="J1" s="5" t="s">
        <v>18</v>
      </c>
      <c r="K1" s="3" t="s">
        <v>55</v>
      </c>
      <c r="M1" s="4" t="s">
        <v>56</v>
      </c>
      <c r="N1" s="4" t="s">
        <v>57</v>
      </c>
      <c r="O1" s="3" t="s">
        <v>9</v>
      </c>
    </row>
    <row r="2" spans="1:15">
      <c r="A2" s="3">
        <v>2019</v>
      </c>
      <c r="B2" s="4"/>
      <c r="C2" s="4"/>
      <c r="D2" s="4"/>
      <c r="E2" s="4"/>
      <c r="F2" s="4"/>
      <c r="G2" s="4"/>
      <c r="I2" s="4"/>
      <c r="J2" s="5"/>
      <c r="K2" s="3">
        <v>0.92589689040582668</v>
      </c>
      <c r="M2" s="4"/>
      <c r="N2" s="30">
        <f t="array" ref="N2:N13">TRANSPOSE(CO2TaxInputs!E3:P3)</f>
        <v>30</v>
      </c>
      <c r="O2" s="30">
        <f>N2</f>
        <v>30</v>
      </c>
    </row>
    <row r="3" spans="1:15">
      <c r="A3" s="3">
        <v>2020</v>
      </c>
      <c r="B3" s="4"/>
      <c r="C3" s="4"/>
      <c r="D3" s="4"/>
      <c r="E3" s="4"/>
      <c r="F3" s="4"/>
      <c r="G3" s="4"/>
      <c r="I3" s="4"/>
      <c r="J3" s="5"/>
      <c r="K3" s="3" t="s">
        <v>58</v>
      </c>
      <c r="M3" s="4"/>
      <c r="N3" s="30">
        <v>30.6</v>
      </c>
      <c r="O3" s="30">
        <f>N3</f>
        <v>30.6</v>
      </c>
    </row>
    <row r="4" spans="1:15">
      <c r="A4" s="3">
        <v>2021</v>
      </c>
      <c r="B4" s="6">
        <v>134</v>
      </c>
      <c r="C4" s="6">
        <f t="shared" ref="C4:C43" si="0">B4*(1-$J$16)</f>
        <v>53.6</v>
      </c>
      <c r="D4" s="6">
        <f t="shared" ref="D4:D43" si="1">C4*(1-$J$17)</f>
        <v>2.6800000000000024</v>
      </c>
      <c r="E4" s="6">
        <f>B4</f>
        <v>134</v>
      </c>
      <c r="F4" s="6">
        <f>C4</f>
        <v>53.6</v>
      </c>
      <c r="K4" s="3">
        <v>14.435708333333336</v>
      </c>
      <c r="M4" s="29">
        <f t="shared" ref="M4:M43" si="2">F4*$K$2</f>
        <v>49.628073325752311</v>
      </c>
      <c r="N4" s="30">
        <v>31.212000000000003</v>
      </c>
      <c r="O4" s="30">
        <f>N4</f>
        <v>31.212000000000003</v>
      </c>
    </row>
    <row r="5" spans="1:15">
      <c r="A5" s="3">
        <v>2022</v>
      </c>
      <c r="B5" s="6">
        <v>144</v>
      </c>
      <c r="C5" s="6">
        <f t="shared" si="0"/>
        <v>57.6</v>
      </c>
      <c r="D5" s="6">
        <f t="shared" si="1"/>
        <v>2.8800000000000026</v>
      </c>
      <c r="E5" s="6">
        <f t="shared" ref="E5" si="3">B5</f>
        <v>144</v>
      </c>
      <c r="F5" s="6">
        <f>C5</f>
        <v>57.6</v>
      </c>
      <c r="J5" s="7"/>
      <c r="M5" s="29">
        <f t="shared" si="2"/>
        <v>53.331660887375619</v>
      </c>
      <c r="N5" s="30">
        <v>31.836240000000004</v>
      </c>
      <c r="O5" s="30">
        <f>N5</f>
        <v>31.836240000000004</v>
      </c>
    </row>
    <row r="6" spans="1:15">
      <c r="A6" s="3">
        <v>2023</v>
      </c>
      <c r="B6" s="6">
        <f>(B$9-B$5)/4+B5</f>
        <v>183</v>
      </c>
      <c r="C6" s="6">
        <f t="shared" si="0"/>
        <v>73.2</v>
      </c>
      <c r="D6" s="6">
        <f t="shared" si="1"/>
        <v>3.6600000000000033</v>
      </c>
      <c r="E6" s="6">
        <f>E5*(1+$J$18)</f>
        <v>150.33600000000001</v>
      </c>
      <c r="F6" s="6">
        <f>C6</f>
        <v>73.2</v>
      </c>
      <c r="I6" s="8">
        <v>640</v>
      </c>
      <c r="J6" s="7">
        <f>I6/J15</f>
        <v>42.666666666666664</v>
      </c>
      <c r="M6" s="29">
        <f t="shared" si="2"/>
        <v>67.775652377706521</v>
      </c>
      <c r="N6" s="30">
        <v>32.472964800000007</v>
      </c>
      <c r="O6" s="30">
        <f>_xlfn.FORECAST.LINEAR(A6,CHOOSE({1;2},$N$5,$M$9),CHOOSE({1;2},$A$5,$A$9))</f>
        <v>59.987158725823974</v>
      </c>
    </row>
    <row r="7" spans="1:15">
      <c r="A7" s="3">
        <v>2024</v>
      </c>
      <c r="B7" s="6">
        <f t="shared" ref="B7:B8" si="4">(B$9-B$5)/4+B6</f>
        <v>222</v>
      </c>
      <c r="C7" s="6">
        <f t="shared" si="0"/>
        <v>88.800000000000011</v>
      </c>
      <c r="D7" s="6">
        <f t="shared" si="1"/>
        <v>4.4400000000000048</v>
      </c>
      <c r="E7" s="6">
        <f t="shared" ref="E7:E43" si="5">E6*(1+$J$18)</f>
        <v>156.95078400000003</v>
      </c>
      <c r="F7" s="6">
        <f>C7</f>
        <v>88.800000000000011</v>
      </c>
      <c r="M7" s="29">
        <f t="shared" si="2"/>
        <v>82.219643868037423</v>
      </c>
      <c r="N7" s="30" t="str">
        <v/>
      </c>
      <c r="O7" s="30">
        <f>_xlfn.FORECAST.LINEAR(A7,CHOOSE({1;2},$N$5,$M$9),CHOOSE({1;2},$A$5,$A$9))</f>
        <v>88.138077451651043</v>
      </c>
    </row>
    <row r="8" spans="1:15">
      <c r="A8" s="3">
        <v>2025</v>
      </c>
      <c r="B8" s="6">
        <f t="shared" si="4"/>
        <v>261</v>
      </c>
      <c r="C8" s="6">
        <f t="shared" si="0"/>
        <v>104.4</v>
      </c>
      <c r="D8" s="6">
        <f t="shared" si="1"/>
        <v>5.2200000000000051</v>
      </c>
      <c r="E8" s="6">
        <f t="shared" si="5"/>
        <v>163.85661849600004</v>
      </c>
      <c r="F8" s="6">
        <f>C8</f>
        <v>104.4</v>
      </c>
      <c r="H8" s="9">
        <f>J16</f>
        <v>0.6</v>
      </c>
      <c r="M8" s="29">
        <f t="shared" si="2"/>
        <v>96.66363535836831</v>
      </c>
      <c r="N8" s="30" t="str">
        <v/>
      </c>
      <c r="O8" s="30">
        <f>_xlfn.FORECAST.LINEAR(A8,CHOOSE({1;2},$N$5,$M$9),CHOOSE({1;2},$A$5,$A$9))</f>
        <v>116.28899617747811</v>
      </c>
    </row>
    <row r="9" spans="1:15">
      <c r="A9" s="3">
        <v>2026</v>
      </c>
      <c r="B9" s="6">
        <v>300</v>
      </c>
      <c r="C9" s="6">
        <f t="shared" si="0"/>
        <v>120</v>
      </c>
      <c r="D9" s="6">
        <f t="shared" si="1"/>
        <v>6.0000000000000053</v>
      </c>
      <c r="E9" s="6">
        <f t="shared" si="5"/>
        <v>171.06630970982405</v>
      </c>
      <c r="F9" s="31">
        <f t="shared" ref="F9:F43" si="6">B9*(1-H9)</f>
        <v>156</v>
      </c>
      <c r="G9" s="10">
        <v>20</v>
      </c>
      <c r="H9" s="9">
        <f>H$8/5*4</f>
        <v>0.48</v>
      </c>
      <c r="M9" s="29">
        <f t="shared" si="2"/>
        <v>144.43991490330896</v>
      </c>
      <c r="N9" s="30" t="str">
        <v/>
      </c>
      <c r="O9" s="30">
        <f>_xlfn.FORECAST.LINEAR(A9,CHOOSE({1;2},$N$5,$M$9),CHOOSE({1;2},$A$5,$A$9))</f>
        <v>144.43991490330518</v>
      </c>
    </row>
    <row r="10" spans="1:15">
      <c r="A10" s="3">
        <v>2027</v>
      </c>
      <c r="B10" s="6">
        <f>(B$13-B$9)/4+B9</f>
        <v>337.5</v>
      </c>
      <c r="C10" s="6">
        <f t="shared" si="0"/>
        <v>135</v>
      </c>
      <c r="D10" s="6">
        <f t="shared" si="1"/>
        <v>6.7500000000000062</v>
      </c>
      <c r="E10" s="6">
        <f t="shared" si="5"/>
        <v>178.59322733705631</v>
      </c>
      <c r="F10" s="6">
        <f t="shared" si="6"/>
        <v>216</v>
      </c>
      <c r="G10" s="7"/>
      <c r="H10" s="9">
        <f>H$8/5*3</f>
        <v>0.36</v>
      </c>
      <c r="M10" s="29">
        <f t="shared" si="2"/>
        <v>199.99372832765857</v>
      </c>
      <c r="N10" s="30" t="str">
        <v/>
      </c>
      <c r="O10" s="30">
        <f>M10</f>
        <v>199.99372832765857</v>
      </c>
    </row>
    <row r="11" spans="1:15">
      <c r="A11" s="3">
        <v>2028</v>
      </c>
      <c r="B11" s="6">
        <f t="shared" ref="B11:B12" si="7">(B$13-B$9)/4+B10</f>
        <v>375</v>
      </c>
      <c r="C11" s="6">
        <f t="shared" si="0"/>
        <v>150</v>
      </c>
      <c r="D11" s="6">
        <f t="shared" si="1"/>
        <v>7.5000000000000071</v>
      </c>
      <c r="E11" s="6">
        <f t="shared" si="5"/>
        <v>186.4513293398868</v>
      </c>
      <c r="F11" s="6">
        <f t="shared" si="6"/>
        <v>285</v>
      </c>
      <c r="G11" s="7"/>
      <c r="H11" s="9">
        <f>H$8/5*2</f>
        <v>0.24</v>
      </c>
      <c r="M11" s="29">
        <f t="shared" si="2"/>
        <v>263.8806137656606</v>
      </c>
      <c r="N11" s="30" t="str">
        <v/>
      </c>
      <c r="O11" s="30">
        <f t="shared" ref="O11:O34" si="8">M11</f>
        <v>263.8806137656606</v>
      </c>
    </row>
    <row r="12" spans="1:15">
      <c r="A12" s="3">
        <v>2029</v>
      </c>
      <c r="B12" s="6">
        <f t="shared" si="7"/>
        <v>412.5</v>
      </c>
      <c r="C12" s="6">
        <f t="shared" si="0"/>
        <v>165</v>
      </c>
      <c r="D12" s="6">
        <f t="shared" si="1"/>
        <v>8.2500000000000071</v>
      </c>
      <c r="E12" s="6">
        <f>E11*(1+$J$18)</f>
        <v>194.65518783084181</v>
      </c>
      <c r="F12" s="6">
        <f t="shared" si="6"/>
        <v>363</v>
      </c>
      <c r="G12" s="7"/>
      <c r="H12" s="9">
        <f>H$8/5*1</f>
        <v>0.12</v>
      </c>
      <c r="M12" s="29">
        <f t="shared" si="2"/>
        <v>336.10057121731506</v>
      </c>
      <c r="N12" s="30" t="str">
        <v/>
      </c>
      <c r="O12" s="30">
        <f t="shared" si="8"/>
        <v>336.10057121731506</v>
      </c>
    </row>
    <row r="13" spans="1:15">
      <c r="A13" s="3">
        <v>2030</v>
      </c>
      <c r="B13" s="6">
        <f>G13*$J$15</f>
        <v>450</v>
      </c>
      <c r="C13" s="6">
        <f t="shared" si="0"/>
        <v>180</v>
      </c>
      <c r="D13" s="6">
        <f t="shared" si="1"/>
        <v>9.0000000000000071</v>
      </c>
      <c r="E13" s="6">
        <f t="shared" si="5"/>
        <v>203.22001609539885</v>
      </c>
      <c r="F13" s="6">
        <f t="shared" si="6"/>
        <v>450</v>
      </c>
      <c r="G13" s="10">
        <v>30</v>
      </c>
      <c r="H13" s="9">
        <f>H$8/5*0</f>
        <v>0</v>
      </c>
      <c r="M13" s="29">
        <f t="shared" si="2"/>
        <v>416.65360068262203</v>
      </c>
      <c r="N13" s="30">
        <v>159.1</v>
      </c>
      <c r="O13" s="30">
        <f t="shared" si="8"/>
        <v>416.65360068262203</v>
      </c>
    </row>
    <row r="14" spans="1:15">
      <c r="A14" s="3">
        <v>2031</v>
      </c>
      <c r="B14" s="6">
        <f t="shared" ref="B14:B43" si="9">G14*$J$15</f>
        <v>514.28571428571422</v>
      </c>
      <c r="C14" s="6">
        <f t="shared" si="0"/>
        <v>205.71428571428569</v>
      </c>
      <c r="D14" s="6">
        <f t="shared" si="1"/>
        <v>10.285714285714294</v>
      </c>
      <c r="E14" s="6">
        <f t="shared" si="5"/>
        <v>212.16169680359641</v>
      </c>
      <c r="F14" s="6">
        <f t="shared" si="6"/>
        <v>514.28571428571422</v>
      </c>
      <c r="G14" s="7">
        <f>G13+(G$34-G$13)/(A$34-A$13)</f>
        <v>34.285714285714285</v>
      </c>
      <c r="H14" s="9">
        <f t="shared" ref="H14:H43" si="10">H$8/5*0</f>
        <v>0</v>
      </c>
      <c r="J14" s="11" t="s">
        <v>19</v>
      </c>
      <c r="K14" s="11"/>
      <c r="L14" s="11"/>
      <c r="M14" s="29">
        <f t="shared" si="2"/>
        <v>476.1755436372822</v>
      </c>
      <c r="O14" s="30">
        <f t="shared" si="8"/>
        <v>476.1755436372822</v>
      </c>
    </row>
    <row r="15" spans="1:15">
      <c r="A15" s="3">
        <v>2032</v>
      </c>
      <c r="B15" s="6">
        <f t="shared" si="9"/>
        <v>578.57142857142856</v>
      </c>
      <c r="C15" s="6">
        <f t="shared" si="0"/>
        <v>231.42857142857144</v>
      </c>
      <c r="D15" s="6">
        <f t="shared" si="1"/>
        <v>11.571428571428582</v>
      </c>
      <c r="E15" s="6">
        <f t="shared" si="5"/>
        <v>221.49681146295467</v>
      </c>
      <c r="F15" s="6">
        <f t="shared" si="6"/>
        <v>578.57142857142856</v>
      </c>
      <c r="G15" s="7">
        <f t="shared" ref="G15:G33" si="11">G14+(G$34-G$13)/(A$34-A$13)</f>
        <v>38.571428571428569</v>
      </c>
      <c r="H15" s="9">
        <f t="shared" si="10"/>
        <v>0</v>
      </c>
      <c r="J15" s="11">
        <v>15</v>
      </c>
      <c r="K15" s="11" t="s">
        <v>20</v>
      </c>
      <c r="L15" s="11"/>
      <c r="M15" s="29">
        <f t="shared" si="2"/>
        <v>535.69748659194261</v>
      </c>
      <c r="O15" s="30">
        <f t="shared" si="8"/>
        <v>535.69748659194261</v>
      </c>
    </row>
    <row r="16" spans="1:15">
      <c r="A16" s="3">
        <v>2033</v>
      </c>
      <c r="B16" s="6">
        <f t="shared" si="9"/>
        <v>642.85714285714278</v>
      </c>
      <c r="C16" s="6">
        <f t="shared" si="0"/>
        <v>257.14285714285711</v>
      </c>
      <c r="D16" s="6">
        <f t="shared" si="1"/>
        <v>12.857142857142867</v>
      </c>
      <c r="E16" s="6">
        <f t="shared" si="5"/>
        <v>231.24267116732469</v>
      </c>
      <c r="F16" s="6">
        <f t="shared" si="6"/>
        <v>642.85714285714278</v>
      </c>
      <c r="G16" s="7">
        <f t="shared" si="11"/>
        <v>42.857142857142854</v>
      </c>
      <c r="H16" s="9">
        <f t="shared" si="10"/>
        <v>0</v>
      </c>
      <c r="J16" s="12">
        <v>0.6</v>
      </c>
      <c r="K16" s="13" t="s">
        <v>21</v>
      </c>
      <c r="L16" s="13"/>
      <c r="M16" s="29">
        <f t="shared" si="2"/>
        <v>595.21942954660278</v>
      </c>
      <c r="O16" s="30">
        <f t="shared" si="8"/>
        <v>595.21942954660278</v>
      </c>
    </row>
    <row r="17" spans="1:15">
      <c r="A17" s="3">
        <v>2034</v>
      </c>
      <c r="B17" s="6">
        <f t="shared" si="9"/>
        <v>707.14285714285711</v>
      </c>
      <c r="C17" s="6">
        <f t="shared" si="0"/>
        <v>282.85714285714283</v>
      </c>
      <c r="D17" s="6">
        <f t="shared" si="1"/>
        <v>14.142857142857155</v>
      </c>
      <c r="E17" s="6">
        <f t="shared" si="5"/>
        <v>241.41734869868699</v>
      </c>
      <c r="F17" s="6">
        <f t="shared" si="6"/>
        <v>707.14285714285711</v>
      </c>
      <c r="G17" s="7">
        <f t="shared" si="11"/>
        <v>47.142857142857139</v>
      </c>
      <c r="H17" s="9">
        <f t="shared" si="10"/>
        <v>0</v>
      </c>
      <c r="J17" s="12">
        <v>0.95</v>
      </c>
      <c r="K17" s="11" t="s">
        <v>22</v>
      </c>
      <c r="L17" s="11"/>
      <c r="M17" s="29">
        <f t="shared" si="2"/>
        <v>654.74137250126307</v>
      </c>
      <c r="O17" s="30">
        <f t="shared" si="8"/>
        <v>654.74137250126307</v>
      </c>
    </row>
    <row r="18" spans="1:15">
      <c r="A18" s="3">
        <v>2035</v>
      </c>
      <c r="B18" s="6">
        <f t="shared" si="9"/>
        <v>771.42857142857133</v>
      </c>
      <c r="C18" s="6">
        <f t="shared" si="0"/>
        <v>308.57142857142856</v>
      </c>
      <c r="D18" s="6">
        <f t="shared" si="1"/>
        <v>15.428571428571441</v>
      </c>
      <c r="E18" s="6">
        <f t="shared" si="5"/>
        <v>252.03971204142923</v>
      </c>
      <c r="F18" s="6">
        <f t="shared" si="6"/>
        <v>771.42857142857133</v>
      </c>
      <c r="G18" s="7">
        <f t="shared" si="11"/>
        <v>51.428571428571423</v>
      </c>
      <c r="H18" s="9">
        <f t="shared" si="10"/>
        <v>0</v>
      </c>
      <c r="J18" s="14">
        <v>4.3999999999999997E-2</v>
      </c>
      <c r="K18" s="11" t="s">
        <v>23</v>
      </c>
      <c r="L18" s="11"/>
      <c r="M18" s="29">
        <f t="shared" si="2"/>
        <v>714.26331545592336</v>
      </c>
      <c r="O18" s="30">
        <f t="shared" si="8"/>
        <v>714.26331545592336</v>
      </c>
    </row>
    <row r="19" spans="1:15">
      <c r="A19" s="3">
        <v>2036</v>
      </c>
      <c r="B19" s="6">
        <f t="shared" si="9"/>
        <v>835.71428571428567</v>
      </c>
      <c r="C19" s="6">
        <f t="shared" si="0"/>
        <v>334.28571428571428</v>
      </c>
      <c r="D19" s="6">
        <f t="shared" si="1"/>
        <v>16.71428571428573</v>
      </c>
      <c r="E19" s="6">
        <f t="shared" si="5"/>
        <v>263.1294593712521</v>
      </c>
      <c r="F19" s="6">
        <f t="shared" si="6"/>
        <v>835.71428571428567</v>
      </c>
      <c r="G19" s="7">
        <f t="shared" si="11"/>
        <v>55.714285714285708</v>
      </c>
      <c r="H19" s="9">
        <f t="shared" si="10"/>
        <v>0</v>
      </c>
      <c r="M19" s="29">
        <f t="shared" si="2"/>
        <v>773.78525841058365</v>
      </c>
      <c r="O19" s="30">
        <f t="shared" si="8"/>
        <v>773.78525841058365</v>
      </c>
    </row>
    <row r="20" spans="1:15">
      <c r="A20" s="3">
        <v>2037</v>
      </c>
      <c r="B20" s="6">
        <f t="shared" si="9"/>
        <v>899.99999999999989</v>
      </c>
      <c r="C20" s="6">
        <f t="shared" si="0"/>
        <v>360</v>
      </c>
      <c r="D20" s="6">
        <f t="shared" si="1"/>
        <v>18.000000000000014</v>
      </c>
      <c r="E20" s="6">
        <f t="shared" si="5"/>
        <v>274.70715558358722</v>
      </c>
      <c r="F20" s="6">
        <f t="shared" si="6"/>
        <v>899.99999999999989</v>
      </c>
      <c r="G20" s="7">
        <f t="shared" si="11"/>
        <v>59.999999999999993</v>
      </c>
      <c r="H20" s="9">
        <f t="shared" si="10"/>
        <v>0</v>
      </c>
      <c r="M20" s="29">
        <f t="shared" si="2"/>
        <v>833.30720136524394</v>
      </c>
      <c r="O20" s="30">
        <f t="shared" si="8"/>
        <v>833.30720136524394</v>
      </c>
    </row>
    <row r="21" spans="1:15">
      <c r="A21" s="3">
        <v>2038</v>
      </c>
      <c r="B21" s="6">
        <f t="shared" si="9"/>
        <v>964.28571428571422</v>
      </c>
      <c r="C21" s="6">
        <f t="shared" si="0"/>
        <v>385.71428571428572</v>
      </c>
      <c r="D21" s="6">
        <f t="shared" si="1"/>
        <v>19.285714285714302</v>
      </c>
      <c r="E21" s="6">
        <f t="shared" si="5"/>
        <v>286.79427042926505</v>
      </c>
      <c r="F21" s="6">
        <f t="shared" si="6"/>
        <v>964.28571428571422</v>
      </c>
      <c r="G21" s="7">
        <f t="shared" si="11"/>
        <v>64.285714285714278</v>
      </c>
      <c r="H21" s="9">
        <f t="shared" si="10"/>
        <v>0</v>
      </c>
      <c r="M21" s="29">
        <f t="shared" si="2"/>
        <v>892.82914431990423</v>
      </c>
      <c r="O21" s="30">
        <f t="shared" si="8"/>
        <v>892.82914431990423</v>
      </c>
    </row>
    <row r="22" spans="1:15">
      <c r="A22" s="3">
        <v>2039</v>
      </c>
      <c r="B22" s="6">
        <f t="shared" si="9"/>
        <v>1028.5714285714284</v>
      </c>
      <c r="C22" s="6">
        <f t="shared" si="0"/>
        <v>411.42857142857139</v>
      </c>
      <c r="D22" s="6">
        <f t="shared" si="1"/>
        <v>20.571428571428587</v>
      </c>
      <c r="E22" s="6">
        <f t="shared" si="5"/>
        <v>299.41321832815271</v>
      </c>
      <c r="F22" s="6">
        <f t="shared" si="6"/>
        <v>1028.5714285714284</v>
      </c>
      <c r="G22" s="7">
        <f t="shared" si="11"/>
        <v>68.571428571428569</v>
      </c>
      <c r="H22" s="9">
        <f t="shared" si="10"/>
        <v>0</v>
      </c>
      <c r="M22" s="29">
        <f t="shared" si="2"/>
        <v>952.35108727456441</v>
      </c>
      <c r="O22" s="30">
        <f t="shared" si="8"/>
        <v>952.35108727456441</v>
      </c>
    </row>
    <row r="23" spans="1:15">
      <c r="A23" s="3">
        <v>2040</v>
      </c>
      <c r="B23" s="6">
        <f t="shared" si="9"/>
        <v>1092.8571428571429</v>
      </c>
      <c r="C23" s="6">
        <f t="shared" si="0"/>
        <v>437.14285714285717</v>
      </c>
      <c r="D23" s="6">
        <f t="shared" si="1"/>
        <v>21.857142857142879</v>
      </c>
      <c r="E23" s="6">
        <f t="shared" si="5"/>
        <v>312.58739993459142</v>
      </c>
      <c r="F23" s="6">
        <f t="shared" si="6"/>
        <v>1092.8571428571429</v>
      </c>
      <c r="G23" s="7">
        <f t="shared" si="11"/>
        <v>72.857142857142861</v>
      </c>
      <c r="H23" s="9">
        <f t="shared" si="10"/>
        <v>0</v>
      </c>
      <c r="M23" s="29">
        <f t="shared" si="2"/>
        <v>1011.8730302292249</v>
      </c>
      <c r="O23" s="30">
        <f t="shared" si="8"/>
        <v>1011.8730302292249</v>
      </c>
    </row>
    <row r="24" spans="1:15">
      <c r="A24" s="3">
        <v>2041</v>
      </c>
      <c r="B24" s="6">
        <f t="shared" si="9"/>
        <v>1157.1428571428573</v>
      </c>
      <c r="C24" s="6">
        <f t="shared" si="0"/>
        <v>462.85714285714295</v>
      </c>
      <c r="D24" s="6">
        <f t="shared" si="1"/>
        <v>23.142857142857167</v>
      </c>
      <c r="E24" s="6">
        <f t="shared" si="5"/>
        <v>326.34124553171347</v>
      </c>
      <c r="F24" s="6">
        <f t="shared" si="6"/>
        <v>1157.1428571428573</v>
      </c>
      <c r="G24" s="7">
        <f t="shared" si="11"/>
        <v>77.142857142857153</v>
      </c>
      <c r="H24" s="9">
        <f t="shared" si="10"/>
        <v>0</v>
      </c>
      <c r="M24" s="29">
        <f t="shared" si="2"/>
        <v>1071.3949731838854</v>
      </c>
      <c r="O24" s="30">
        <f t="shared" si="8"/>
        <v>1071.3949731838854</v>
      </c>
    </row>
    <row r="25" spans="1:15">
      <c r="A25" s="3">
        <v>2042</v>
      </c>
      <c r="B25" s="6">
        <f t="shared" si="9"/>
        <v>1221.4285714285716</v>
      </c>
      <c r="C25" s="6">
        <f t="shared" si="0"/>
        <v>488.57142857142867</v>
      </c>
      <c r="D25" s="6">
        <f t="shared" si="1"/>
        <v>24.428571428571455</v>
      </c>
      <c r="E25" s="6">
        <f t="shared" si="5"/>
        <v>340.70026033510885</v>
      </c>
      <c r="F25" s="6">
        <f t="shared" si="6"/>
        <v>1221.4285714285716</v>
      </c>
      <c r="G25" s="7">
        <f t="shared" si="11"/>
        <v>81.428571428571445</v>
      </c>
      <c r="H25" s="9">
        <f t="shared" si="10"/>
        <v>0</v>
      </c>
      <c r="M25" s="29">
        <f t="shared" si="2"/>
        <v>1130.9169161385455</v>
      </c>
      <c r="O25" s="30">
        <f t="shared" si="8"/>
        <v>1130.9169161385455</v>
      </c>
    </row>
    <row r="26" spans="1:15">
      <c r="A26" s="3">
        <v>2043</v>
      </c>
      <c r="B26" s="6">
        <f t="shared" si="9"/>
        <v>1285.714285714286</v>
      </c>
      <c r="C26" s="6">
        <f t="shared" si="0"/>
        <v>514.28571428571445</v>
      </c>
      <c r="D26" s="6">
        <f t="shared" si="1"/>
        <v>25.714285714285744</v>
      </c>
      <c r="E26" s="6">
        <f t="shared" si="5"/>
        <v>355.69107178985365</v>
      </c>
      <c r="F26" s="6">
        <f t="shared" si="6"/>
        <v>1285.714285714286</v>
      </c>
      <c r="G26" s="7">
        <f t="shared" si="11"/>
        <v>85.714285714285737</v>
      </c>
      <c r="H26" s="9">
        <f t="shared" si="10"/>
        <v>0</v>
      </c>
      <c r="M26" s="29">
        <f t="shared" si="2"/>
        <v>1190.438859093206</v>
      </c>
      <c r="O26" s="30">
        <f t="shared" si="8"/>
        <v>1190.438859093206</v>
      </c>
    </row>
    <row r="27" spans="1:15">
      <c r="A27" s="3">
        <v>2044</v>
      </c>
      <c r="B27" s="6">
        <f t="shared" si="9"/>
        <v>1350.0000000000005</v>
      </c>
      <c r="C27" s="6">
        <f t="shared" si="0"/>
        <v>540.00000000000023</v>
      </c>
      <c r="D27" s="6">
        <f t="shared" si="1"/>
        <v>27.000000000000036</v>
      </c>
      <c r="E27" s="6">
        <f t="shared" si="5"/>
        <v>371.34147894860723</v>
      </c>
      <c r="F27" s="6">
        <f t="shared" si="6"/>
        <v>1350.0000000000005</v>
      </c>
      <c r="G27" s="7">
        <f t="shared" si="11"/>
        <v>90.000000000000028</v>
      </c>
      <c r="H27" s="9">
        <f t="shared" si="10"/>
        <v>0</v>
      </c>
      <c r="M27" s="29">
        <f t="shared" si="2"/>
        <v>1249.9608020478665</v>
      </c>
      <c r="O27" s="30">
        <f t="shared" si="8"/>
        <v>1249.9608020478665</v>
      </c>
    </row>
    <row r="28" spans="1:15">
      <c r="A28" s="3">
        <v>2045</v>
      </c>
      <c r="B28" s="6">
        <f t="shared" si="9"/>
        <v>1414.2857142857149</v>
      </c>
      <c r="C28" s="6">
        <f t="shared" si="0"/>
        <v>565.71428571428601</v>
      </c>
      <c r="D28" s="6">
        <f t="shared" si="1"/>
        <v>28.285714285714324</v>
      </c>
      <c r="E28" s="6">
        <f t="shared" si="5"/>
        <v>387.68050402234599</v>
      </c>
      <c r="F28" s="6">
        <f t="shared" si="6"/>
        <v>1414.2857142857149</v>
      </c>
      <c r="G28" s="7">
        <f t="shared" si="11"/>
        <v>94.28571428571432</v>
      </c>
      <c r="H28" s="9">
        <f t="shared" si="10"/>
        <v>0</v>
      </c>
      <c r="M28" s="29">
        <f t="shared" si="2"/>
        <v>1309.4827450025268</v>
      </c>
      <c r="O28" s="30">
        <f t="shared" si="8"/>
        <v>1309.4827450025268</v>
      </c>
    </row>
    <row r="29" spans="1:15">
      <c r="A29" s="3">
        <v>2046</v>
      </c>
      <c r="B29" s="6">
        <f t="shared" si="9"/>
        <v>1478.5714285714291</v>
      </c>
      <c r="C29" s="6">
        <f t="shared" si="0"/>
        <v>591.42857142857167</v>
      </c>
      <c r="D29" s="6">
        <f t="shared" si="1"/>
        <v>29.571428571428608</v>
      </c>
      <c r="E29" s="6">
        <f t="shared" si="5"/>
        <v>404.73844619932925</v>
      </c>
      <c r="F29" s="6">
        <f t="shared" si="6"/>
        <v>1478.5714285714291</v>
      </c>
      <c r="G29" s="7">
        <f t="shared" si="11"/>
        <v>98.571428571428612</v>
      </c>
      <c r="H29" s="9">
        <f t="shared" si="10"/>
        <v>0</v>
      </c>
      <c r="M29" s="29">
        <f t="shared" si="2"/>
        <v>1369.0046879571871</v>
      </c>
      <c r="O29" s="30">
        <f t="shared" si="8"/>
        <v>1369.0046879571871</v>
      </c>
    </row>
    <row r="30" spans="1:15">
      <c r="A30" s="3">
        <v>2047</v>
      </c>
      <c r="B30" s="6">
        <f t="shared" si="9"/>
        <v>1542.8571428571436</v>
      </c>
      <c r="C30" s="6">
        <f t="shared" si="0"/>
        <v>617.14285714285745</v>
      </c>
      <c r="D30" s="6">
        <f t="shared" si="1"/>
        <v>30.8571428571429</v>
      </c>
      <c r="E30" s="6">
        <f t="shared" si="5"/>
        <v>422.54693783209973</v>
      </c>
      <c r="F30" s="6">
        <f t="shared" si="6"/>
        <v>1542.8571428571436</v>
      </c>
      <c r="G30" s="7">
        <f t="shared" si="11"/>
        <v>102.8571428571429</v>
      </c>
      <c r="H30" s="9">
        <f t="shared" si="10"/>
        <v>0</v>
      </c>
      <c r="M30" s="29">
        <f t="shared" si="2"/>
        <v>1428.5266309118476</v>
      </c>
      <c r="O30" s="30">
        <f t="shared" si="8"/>
        <v>1428.5266309118476</v>
      </c>
    </row>
    <row r="31" spans="1:15">
      <c r="A31" s="3">
        <v>2048</v>
      </c>
      <c r="B31" s="6">
        <f t="shared" si="9"/>
        <v>1607.142857142858</v>
      </c>
      <c r="C31" s="6">
        <f t="shared" si="0"/>
        <v>642.85714285714323</v>
      </c>
      <c r="D31" s="6">
        <f t="shared" si="1"/>
        <v>32.142857142857189</v>
      </c>
      <c r="E31" s="6">
        <f t="shared" si="5"/>
        <v>441.13900309671214</v>
      </c>
      <c r="F31" s="6">
        <f t="shared" si="6"/>
        <v>1607.142857142858</v>
      </c>
      <c r="G31" s="7">
        <f t="shared" si="11"/>
        <v>107.1428571428572</v>
      </c>
      <c r="H31" s="9">
        <f t="shared" si="10"/>
        <v>0</v>
      </c>
      <c r="M31" s="29">
        <f t="shared" si="2"/>
        <v>1488.0485738665079</v>
      </c>
      <c r="O31" s="30">
        <f t="shared" si="8"/>
        <v>1488.0485738665079</v>
      </c>
    </row>
    <row r="32" spans="1:15">
      <c r="A32" s="3">
        <v>2049</v>
      </c>
      <c r="B32" s="6">
        <f t="shared" si="9"/>
        <v>1671.4285714285722</v>
      </c>
      <c r="C32" s="6">
        <f t="shared" si="0"/>
        <v>668.5714285714289</v>
      </c>
      <c r="D32" s="6">
        <f t="shared" si="1"/>
        <v>33.428571428571473</v>
      </c>
      <c r="E32" s="6">
        <f t="shared" si="5"/>
        <v>460.54911923296748</v>
      </c>
      <c r="F32" s="6">
        <f t="shared" si="6"/>
        <v>1671.4285714285722</v>
      </c>
      <c r="G32" s="7">
        <f t="shared" si="11"/>
        <v>111.42857142857149</v>
      </c>
      <c r="H32" s="9">
        <f t="shared" si="10"/>
        <v>0</v>
      </c>
      <c r="M32" s="29">
        <f t="shared" si="2"/>
        <v>1547.5705168211682</v>
      </c>
      <c r="O32" s="30">
        <f t="shared" si="8"/>
        <v>1547.5705168211682</v>
      </c>
    </row>
    <row r="33" spans="1:15">
      <c r="A33" s="3">
        <v>2050</v>
      </c>
      <c r="B33" s="6">
        <f t="shared" si="9"/>
        <v>1735.7142857142867</v>
      </c>
      <c r="C33" s="6">
        <f t="shared" si="0"/>
        <v>694.28571428571468</v>
      </c>
      <c r="D33" s="6">
        <f t="shared" si="1"/>
        <v>34.714285714285765</v>
      </c>
      <c r="E33" s="6">
        <f t="shared" si="5"/>
        <v>480.81328047921807</v>
      </c>
      <c r="F33" s="6">
        <f t="shared" si="6"/>
        <v>1735.7142857142867</v>
      </c>
      <c r="G33" s="7">
        <f t="shared" si="11"/>
        <v>115.71428571428578</v>
      </c>
      <c r="H33" s="9">
        <f t="shared" si="10"/>
        <v>0</v>
      </c>
      <c r="M33" s="29">
        <f t="shared" si="2"/>
        <v>1607.0924597758287</v>
      </c>
      <c r="O33" s="30">
        <f t="shared" si="8"/>
        <v>1607.0924597758287</v>
      </c>
    </row>
    <row r="34" spans="1:15">
      <c r="A34" s="3">
        <v>2051</v>
      </c>
      <c r="B34" s="6">
        <f t="shared" si="9"/>
        <v>1800</v>
      </c>
      <c r="C34" s="6">
        <f t="shared" si="0"/>
        <v>720</v>
      </c>
      <c r="D34" s="6">
        <f t="shared" si="1"/>
        <v>36.000000000000028</v>
      </c>
      <c r="E34" s="6">
        <f t="shared" si="5"/>
        <v>501.96906482030369</v>
      </c>
      <c r="F34" s="6">
        <f t="shared" si="6"/>
        <v>1800</v>
      </c>
      <c r="G34" s="10">
        <v>120</v>
      </c>
      <c r="H34" s="9">
        <f t="shared" si="10"/>
        <v>0</v>
      </c>
      <c r="M34" s="29">
        <f t="shared" si="2"/>
        <v>1666.6144027304881</v>
      </c>
      <c r="O34" s="30">
        <f t="shared" si="8"/>
        <v>1666.6144027304881</v>
      </c>
    </row>
    <row r="35" spans="1:15">
      <c r="A35" s="3">
        <v>2052</v>
      </c>
      <c r="B35" s="6">
        <f t="shared" si="9"/>
        <v>1864.2857142857133</v>
      </c>
      <c r="C35" s="6">
        <f t="shared" si="0"/>
        <v>745.71428571428532</v>
      </c>
      <c r="D35" s="6">
        <f t="shared" si="1"/>
        <v>37.285714285714299</v>
      </c>
      <c r="E35" s="6">
        <f t="shared" si="5"/>
        <v>524.05570367239704</v>
      </c>
      <c r="F35" s="6">
        <f t="shared" si="6"/>
        <v>1864.2857142857133</v>
      </c>
      <c r="G35" s="7">
        <f>G34+(G$34-G$33)</f>
        <v>124.28571428571422</v>
      </c>
      <c r="H35" s="9">
        <f t="shared" si="10"/>
        <v>0</v>
      </c>
      <c r="M35" s="29">
        <f t="shared" si="2"/>
        <v>1726.1363456851475</v>
      </c>
      <c r="O35" s="30">
        <f>O34</f>
        <v>1666.6144027304881</v>
      </c>
    </row>
    <row r="36" spans="1:15">
      <c r="A36" s="3">
        <v>2053</v>
      </c>
      <c r="B36" s="6">
        <f t="shared" si="9"/>
        <v>1928.5714285714266</v>
      </c>
      <c r="C36" s="6">
        <f t="shared" si="0"/>
        <v>771.42857142857065</v>
      </c>
      <c r="D36" s="6">
        <f t="shared" si="1"/>
        <v>38.571428571428569</v>
      </c>
      <c r="E36" s="6">
        <f t="shared" si="5"/>
        <v>547.11415463398248</v>
      </c>
      <c r="F36" s="6">
        <f t="shared" si="6"/>
        <v>1928.5714285714266</v>
      </c>
      <c r="G36" s="7">
        <f t="shared" ref="G36:G43" si="12">G35+(G$34-G$33)</f>
        <v>128.57142857142844</v>
      </c>
      <c r="H36" s="9">
        <f t="shared" si="10"/>
        <v>0</v>
      </c>
      <c r="M36" s="29">
        <f t="shared" si="2"/>
        <v>1785.6582886398069</v>
      </c>
      <c r="O36" s="30">
        <f t="shared" ref="O36:O43" si="13">O35</f>
        <v>1666.6144027304881</v>
      </c>
    </row>
    <row r="37" spans="1:15">
      <c r="A37" s="3">
        <v>2054</v>
      </c>
      <c r="B37" s="6">
        <f t="shared" si="9"/>
        <v>1992.8571428571399</v>
      </c>
      <c r="C37" s="6">
        <f t="shared" si="0"/>
        <v>797.14285714285597</v>
      </c>
      <c r="D37" s="6">
        <f t="shared" si="1"/>
        <v>39.857142857142833</v>
      </c>
      <c r="E37" s="6">
        <f t="shared" si="5"/>
        <v>571.18717743787772</v>
      </c>
      <c r="F37" s="6">
        <f t="shared" si="6"/>
        <v>1992.8571428571399</v>
      </c>
      <c r="G37" s="7">
        <f t="shared" si="12"/>
        <v>132.85714285714266</v>
      </c>
      <c r="H37" s="9">
        <f t="shared" si="10"/>
        <v>0</v>
      </c>
      <c r="M37" s="29">
        <f t="shared" si="2"/>
        <v>1845.1802315944662</v>
      </c>
      <c r="O37" s="30">
        <f t="shared" si="13"/>
        <v>1666.6144027304881</v>
      </c>
    </row>
    <row r="38" spans="1:15">
      <c r="A38" s="3">
        <v>2055</v>
      </c>
      <c r="B38" s="6">
        <f t="shared" si="9"/>
        <v>2057.1428571428532</v>
      </c>
      <c r="C38" s="6">
        <f t="shared" si="0"/>
        <v>822.8571428571413</v>
      </c>
      <c r="D38" s="6">
        <f t="shared" si="1"/>
        <v>41.142857142857103</v>
      </c>
      <c r="E38" s="6">
        <f t="shared" si="5"/>
        <v>596.31941324514435</v>
      </c>
      <c r="F38" s="6">
        <f t="shared" si="6"/>
        <v>2057.1428571428532</v>
      </c>
      <c r="G38" s="7">
        <f t="shared" si="12"/>
        <v>137.14285714285688</v>
      </c>
      <c r="H38" s="9">
        <f t="shared" si="10"/>
        <v>0</v>
      </c>
      <c r="M38" s="29">
        <f t="shared" si="2"/>
        <v>1904.7021745491256</v>
      </c>
      <c r="O38" s="30">
        <f t="shared" si="13"/>
        <v>1666.6144027304881</v>
      </c>
    </row>
    <row r="39" spans="1:15">
      <c r="A39" s="3">
        <v>2056</v>
      </c>
      <c r="B39" s="6">
        <f t="shared" si="9"/>
        <v>2121.4285714285666</v>
      </c>
      <c r="C39" s="6">
        <f t="shared" si="0"/>
        <v>848.57142857142662</v>
      </c>
      <c r="D39" s="6">
        <f t="shared" si="1"/>
        <v>42.428571428571367</v>
      </c>
      <c r="E39" s="6">
        <f t="shared" si="5"/>
        <v>622.55746742793076</v>
      </c>
      <c r="F39" s="6">
        <f t="shared" si="6"/>
        <v>2121.4285714285666</v>
      </c>
      <c r="G39" s="7">
        <f t="shared" si="12"/>
        <v>141.4285714285711</v>
      </c>
      <c r="H39" s="9">
        <f t="shared" si="10"/>
        <v>0</v>
      </c>
      <c r="M39" s="29">
        <f t="shared" si="2"/>
        <v>1964.224117503785</v>
      </c>
      <c r="O39" s="30">
        <f t="shared" si="13"/>
        <v>1666.6144027304881</v>
      </c>
    </row>
    <row r="40" spans="1:15">
      <c r="A40" s="3">
        <v>2057</v>
      </c>
      <c r="B40" s="6">
        <f t="shared" si="9"/>
        <v>2185.7142857142799</v>
      </c>
      <c r="C40" s="6">
        <f t="shared" si="0"/>
        <v>874.28571428571195</v>
      </c>
      <c r="D40" s="6">
        <f t="shared" si="1"/>
        <v>43.714285714285637</v>
      </c>
      <c r="E40" s="6">
        <f t="shared" si="5"/>
        <v>649.94999599475977</v>
      </c>
      <c r="F40" s="6">
        <f t="shared" si="6"/>
        <v>2185.7142857142799</v>
      </c>
      <c r="G40" s="7">
        <f t="shared" si="12"/>
        <v>145.71428571428532</v>
      </c>
      <c r="H40" s="9">
        <f t="shared" si="10"/>
        <v>0</v>
      </c>
      <c r="M40" s="29">
        <f t="shared" si="2"/>
        <v>2023.7460604584444</v>
      </c>
      <c r="O40" s="30">
        <f t="shared" si="13"/>
        <v>1666.6144027304881</v>
      </c>
    </row>
    <row r="41" spans="1:15">
      <c r="A41" s="3">
        <v>2058</v>
      </c>
      <c r="B41" s="6">
        <f t="shared" si="9"/>
        <v>2249.9999999999932</v>
      </c>
      <c r="C41" s="6">
        <f t="shared" si="0"/>
        <v>899.99999999999727</v>
      </c>
      <c r="D41" s="6">
        <f t="shared" si="1"/>
        <v>44.999999999999901</v>
      </c>
      <c r="E41" s="6">
        <f t="shared" si="5"/>
        <v>678.54779581852927</v>
      </c>
      <c r="F41" s="6">
        <f t="shared" si="6"/>
        <v>2249.9999999999932</v>
      </c>
      <c r="G41" s="7">
        <f t="shared" si="12"/>
        <v>149.99999999999955</v>
      </c>
      <c r="H41" s="9">
        <f t="shared" si="10"/>
        <v>0</v>
      </c>
      <c r="M41" s="29">
        <f t="shared" si="2"/>
        <v>2083.2680034131035</v>
      </c>
      <c r="O41" s="30">
        <f t="shared" si="13"/>
        <v>1666.6144027304881</v>
      </c>
    </row>
    <row r="42" spans="1:15">
      <c r="A42" s="3">
        <v>2059</v>
      </c>
      <c r="B42" s="6">
        <f t="shared" si="9"/>
        <v>2314.2857142857065</v>
      </c>
      <c r="C42" s="6">
        <f t="shared" si="0"/>
        <v>925.7142857142826</v>
      </c>
      <c r="D42" s="6">
        <f t="shared" si="1"/>
        <v>46.285714285714171</v>
      </c>
      <c r="E42" s="6">
        <f t="shared" si="5"/>
        <v>708.40389883454463</v>
      </c>
      <c r="F42" s="6">
        <f t="shared" si="6"/>
        <v>2314.2857142857065</v>
      </c>
      <c r="G42" s="7">
        <f t="shared" si="12"/>
        <v>154.28571428571377</v>
      </c>
      <c r="H42" s="9">
        <f t="shared" si="10"/>
        <v>0</v>
      </c>
      <c r="M42" s="29">
        <f t="shared" si="2"/>
        <v>2142.7899463677632</v>
      </c>
      <c r="O42" s="30">
        <f t="shared" si="13"/>
        <v>1666.6144027304881</v>
      </c>
    </row>
    <row r="43" spans="1:15">
      <c r="A43" s="3">
        <v>2060</v>
      </c>
      <c r="B43" s="6">
        <f t="shared" si="9"/>
        <v>2378.5714285714198</v>
      </c>
      <c r="C43" s="6">
        <f t="shared" si="0"/>
        <v>951.42857142856792</v>
      </c>
      <c r="D43" s="6">
        <f t="shared" si="1"/>
        <v>47.571428571428442</v>
      </c>
      <c r="E43" s="6">
        <f t="shared" si="5"/>
        <v>739.57367038326458</v>
      </c>
      <c r="F43" s="6">
        <f t="shared" si="6"/>
        <v>2378.5714285714198</v>
      </c>
      <c r="G43" s="7">
        <f t="shared" si="12"/>
        <v>158.57142857142799</v>
      </c>
      <c r="H43" s="9">
        <f t="shared" si="10"/>
        <v>0</v>
      </c>
      <c r="M43" s="29">
        <f t="shared" si="2"/>
        <v>2202.3118893224223</v>
      </c>
      <c r="O43" s="30">
        <f t="shared" si="13"/>
        <v>1666.6144027304881</v>
      </c>
    </row>
    <row r="49" spans="2:2">
      <c r="B49" s="4"/>
    </row>
    <row r="58" spans="2:2">
      <c r="B58" s="4"/>
    </row>
    <row r="59" spans="2:2">
      <c r="B5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98FE-6132-4182-A978-4D1424908BA5}">
  <sheetPr>
    <tabColor rgb="FF92D050"/>
  </sheetPr>
  <dimension ref="C1:D40"/>
  <sheetViews>
    <sheetView topLeftCell="A32" workbookViewId="0">
      <selection activeCell="B33" sqref="B33"/>
    </sheetView>
  </sheetViews>
  <sheetFormatPr defaultColWidth="12.5703125" defaultRowHeight="15.75"/>
  <cols>
    <col min="1" max="2" width="12.5703125" style="3"/>
    <col min="3" max="3" width="114.140625" style="3" customWidth="1"/>
    <col min="4" max="16384" width="12.5703125" style="3"/>
  </cols>
  <sheetData>
    <row r="1" spans="3:4" ht="18.75">
      <c r="C1" s="15" t="s">
        <v>24</v>
      </c>
      <c r="D1" s="16" t="s">
        <v>25</v>
      </c>
    </row>
    <row r="2" spans="3:4">
      <c r="C2" s="17"/>
    </row>
    <row r="3" spans="3:4" ht="18.75">
      <c r="C3" s="15"/>
    </row>
    <row r="4" spans="3:4" ht="18.75">
      <c r="C4" s="15" t="s">
        <v>26</v>
      </c>
    </row>
    <row r="5" spans="3:4">
      <c r="C5" s="3" t="s">
        <v>27</v>
      </c>
    </row>
    <row r="6" spans="3:4">
      <c r="C6" s="18" t="s">
        <v>28</v>
      </c>
    </row>
    <row r="7" spans="3:4">
      <c r="C7" s="18" t="s">
        <v>29</v>
      </c>
    </row>
    <row r="8" spans="3:4" ht="24">
      <c r="C8" s="18" t="s">
        <v>30</v>
      </c>
    </row>
    <row r="9" spans="3:4">
      <c r="C9" s="18" t="s">
        <v>31</v>
      </c>
    </row>
    <row r="10" spans="3:4">
      <c r="C10" s="19" t="s">
        <v>32</v>
      </c>
    </row>
    <row r="11" spans="3:4">
      <c r="C11" s="18" t="s">
        <v>33</v>
      </c>
    </row>
    <row r="12" spans="3:4">
      <c r="C12" s="18" t="s">
        <v>34</v>
      </c>
    </row>
    <row r="13" spans="3:4" ht="31.5">
      <c r="C13" s="19" t="s">
        <v>35</v>
      </c>
    </row>
    <row r="14" spans="3:4" ht="31.5">
      <c r="C14" s="19" t="s">
        <v>36</v>
      </c>
    </row>
    <row r="15" spans="3:4" ht="24">
      <c r="C15" s="18" t="s">
        <v>37</v>
      </c>
    </row>
    <row r="16" spans="3:4">
      <c r="C16" s="18" t="s">
        <v>38</v>
      </c>
    </row>
    <row r="17" spans="3:3">
      <c r="C17" s="18" t="s">
        <v>39</v>
      </c>
    </row>
    <row r="20" spans="3:3" ht="18.75">
      <c r="C20" s="15" t="s">
        <v>40</v>
      </c>
    </row>
    <row r="21" spans="3:3">
      <c r="C21" s="20" t="s">
        <v>41</v>
      </c>
    </row>
    <row r="22" spans="3:3">
      <c r="C22" s="21"/>
    </row>
    <row r="23" spans="3:3">
      <c r="C23" s="22" t="s">
        <v>42</v>
      </c>
    </row>
    <row r="24" spans="3:3" ht="93.75">
      <c r="C24" s="18" t="s">
        <v>43</v>
      </c>
    </row>
    <row r="25" spans="3:3" ht="81.75">
      <c r="C25" s="23" t="s">
        <v>44</v>
      </c>
    </row>
    <row r="26" spans="3:3" ht="81.75">
      <c r="C26" s="23" t="s">
        <v>45</v>
      </c>
    </row>
    <row r="27" spans="3:3" ht="27.75">
      <c r="C27" s="23" t="s">
        <v>46</v>
      </c>
    </row>
    <row r="28" spans="3:3" ht="27.75">
      <c r="C28" s="23" t="s">
        <v>47</v>
      </c>
    </row>
    <row r="29" spans="3:3" ht="63">
      <c r="C29" s="23" t="s">
        <v>48</v>
      </c>
    </row>
    <row r="30" spans="3:3">
      <c r="C30" s="24" t="s">
        <v>49</v>
      </c>
    </row>
    <row r="31" spans="3:3">
      <c r="C31" s="25" t="s">
        <v>50</v>
      </c>
    </row>
    <row r="32" spans="3:3" ht="163.5">
      <c r="C32" s="18" t="s">
        <v>51</v>
      </c>
    </row>
    <row r="33" spans="3:3" ht="36">
      <c r="C33" s="18" t="s">
        <v>52</v>
      </c>
    </row>
    <row r="34" spans="3:3" ht="235.5">
      <c r="C34" s="26" t="s">
        <v>53</v>
      </c>
    </row>
    <row r="35" spans="3:3" ht="118.5">
      <c r="C35" s="27" t="s">
        <v>54</v>
      </c>
    </row>
    <row r="36" spans="3:3">
      <c r="C36" s="28"/>
    </row>
    <row r="37" spans="3:3">
      <c r="C37" s="28"/>
    </row>
    <row r="38" spans="3:3">
      <c r="C38" s="28"/>
    </row>
    <row r="39" spans="3:3">
      <c r="C39" s="28"/>
    </row>
    <row r="40" spans="3:3">
      <c r="C40" s="28"/>
    </row>
  </sheetData>
  <hyperlinks>
    <hyperlink ref="D1" r:id="rId1" xr:uid="{56F134A0-4AAA-442F-8F06-ED931AE25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CO2TaxInputs</vt:lpstr>
      <vt:lpstr>TS_TAX</vt:lpstr>
      <vt:lpstr>Inflation</vt:lpstr>
      <vt:lpstr>Text budget speech and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 Merven</cp:lastModifiedBy>
  <dcterms:created xsi:type="dcterms:W3CDTF">2020-07-29T11:21:55Z</dcterms:created>
  <dcterms:modified xsi:type="dcterms:W3CDTF">2023-09-30T11:56:06Z</dcterms:modified>
</cp:coreProperties>
</file>