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bRes_TMPL\"/>
    </mc:Choice>
  </mc:AlternateContent>
  <xr:revisionPtr revIDLastSave="0" documentId="13_ncr:1_{6142B066-7612-4BDE-9429-A69EE81B3F30}" xr6:coauthVersionLast="47" xr6:coauthVersionMax="47" xr10:uidLastSave="{00000000-0000-0000-0000-000000000000}"/>
  <bookViews>
    <workbookView xWindow="-120" yWindow="-120" windowWidth="38640" windowHeight="21240" activeTab="2" xr2:uid="{D553689B-429B-4275-8EDF-B1E530A1AB9A}"/>
  </bookViews>
  <sheets>
    <sheet name="Define names" sheetId="3" r:id="rId1"/>
    <sheet name="Define topologies" sheetId="4" r:id="rId2"/>
    <sheet name="Refurbishment details" sheetId="5" r:id="rId3"/>
    <sheet name="MTSAO_EAF_CONVERTER" sheetId="6" r:id="rId4"/>
    <sheet name="DATA" sheetId="7" r:id="rId5"/>
    <sheet name="AF and PKCNT" sheetId="8" r:id="rId6"/>
    <sheet name="FOM calc" sheetId="9" r:id="rId7"/>
  </sheets>
  <externalReferences>
    <externalReference r:id="rId8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"15EKZRKTEJMR3UQGNDW1WF6V"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6" hidden="1">'FOM calc'!#REF!</definedName>
    <definedName name="solver_cvg" localSheetId="6" hidden="1">0.0001</definedName>
    <definedName name="solver_drv" localSheetId="6" hidden="1">1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0</definedName>
    <definedName name="solver_nwt" localSheetId="6" hidden="1">1</definedName>
    <definedName name="solver_opt" localSheetId="6" hidden="1">'FOM calc'!$H$36</definedName>
    <definedName name="solver_pre" localSheetId="6" hidden="1">0.000001</definedName>
    <definedName name="solver_rbv" localSheetId="6" hidden="1">1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3</definedName>
    <definedName name="solver_val" localSheetId="6" hidden="1">0</definedName>
    <definedName name="solver_ver" localSheetId="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5" l="1"/>
  <c r="E10" i="5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F9" i="5"/>
  <c r="A31" i="9"/>
  <c r="A32" i="9"/>
  <c r="A33" i="9"/>
  <c r="A34" i="9"/>
  <c r="D11" i="9" s="1"/>
  <c r="F11" i="9" s="1"/>
  <c r="A35" i="9"/>
  <c r="A36" i="9"/>
  <c r="A37" i="9"/>
  <c r="A38" i="9"/>
  <c r="A39" i="9"/>
  <c r="A40" i="9"/>
  <c r="A41" i="9"/>
  <c r="A42" i="9"/>
  <c r="A43" i="9"/>
  <c r="A44" i="9"/>
  <c r="A45" i="9"/>
  <c r="A30" i="9"/>
  <c r="J5" i="9"/>
  <c r="X15" i="6"/>
  <c r="J15" i="5" s="1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9" i="5"/>
  <c r="AB24" i="6"/>
  <c r="AA24" i="6"/>
  <c r="Z24" i="6"/>
  <c r="Y24" i="6"/>
  <c r="X24" i="6"/>
  <c r="W24" i="6"/>
  <c r="V24" i="6"/>
  <c r="U24" i="6"/>
  <c r="AB23" i="6"/>
  <c r="AA23" i="6"/>
  <c r="Z23" i="6"/>
  <c r="Y23" i="6"/>
  <c r="X23" i="6"/>
  <c r="W23" i="6"/>
  <c r="V23" i="6"/>
  <c r="U23" i="6"/>
  <c r="AB22" i="6"/>
  <c r="N22" i="5" s="1"/>
  <c r="AA22" i="6"/>
  <c r="M22" i="5" s="1"/>
  <c r="Z22" i="6"/>
  <c r="L22" i="5" s="1"/>
  <c r="Y22" i="6"/>
  <c r="K22" i="5" s="1"/>
  <c r="X22" i="6"/>
  <c r="J22" i="5" s="1"/>
  <c r="W22" i="6"/>
  <c r="I22" i="5" s="1"/>
  <c r="V22" i="6"/>
  <c r="H22" i="5" s="1"/>
  <c r="U22" i="6"/>
  <c r="G22" i="5" s="1"/>
  <c r="AB21" i="6"/>
  <c r="N21" i="5" s="1"/>
  <c r="AA21" i="6"/>
  <c r="M21" i="5" s="1"/>
  <c r="Z21" i="6"/>
  <c r="L21" i="5" s="1"/>
  <c r="Y21" i="6"/>
  <c r="K21" i="5" s="1"/>
  <c r="X21" i="6"/>
  <c r="J21" i="5" s="1"/>
  <c r="W21" i="6"/>
  <c r="I21" i="5" s="1"/>
  <c r="V21" i="6"/>
  <c r="H21" i="5" s="1"/>
  <c r="U21" i="6"/>
  <c r="G21" i="5" s="1"/>
  <c r="AB20" i="6"/>
  <c r="N20" i="5" s="1"/>
  <c r="AA20" i="6"/>
  <c r="M20" i="5" s="1"/>
  <c r="Z20" i="6"/>
  <c r="L20" i="5" s="1"/>
  <c r="Y20" i="6"/>
  <c r="K20" i="5" s="1"/>
  <c r="X20" i="6"/>
  <c r="J20" i="5" s="1"/>
  <c r="W20" i="6"/>
  <c r="I20" i="5" s="1"/>
  <c r="V20" i="6"/>
  <c r="H20" i="5" s="1"/>
  <c r="U20" i="6"/>
  <c r="G20" i="5" s="1"/>
  <c r="AB19" i="6"/>
  <c r="AA19" i="6"/>
  <c r="Z19" i="6"/>
  <c r="Y19" i="6"/>
  <c r="X19" i="6"/>
  <c r="W19" i="6"/>
  <c r="V19" i="6"/>
  <c r="U19" i="6"/>
  <c r="AB18" i="6"/>
  <c r="N18" i="5" s="1"/>
  <c r="AA18" i="6"/>
  <c r="M18" i="5" s="1"/>
  <c r="Z18" i="6"/>
  <c r="L19" i="5" s="1"/>
  <c r="Y18" i="6"/>
  <c r="K19" i="5" s="1"/>
  <c r="X18" i="6"/>
  <c r="J19" i="5" s="1"/>
  <c r="W18" i="6"/>
  <c r="I19" i="5" s="1"/>
  <c r="V18" i="6"/>
  <c r="H19" i="5" s="1"/>
  <c r="U18" i="6"/>
  <c r="G19" i="5" s="1"/>
  <c r="AB17" i="6"/>
  <c r="N17" i="5" s="1"/>
  <c r="AA17" i="6"/>
  <c r="M17" i="5" s="1"/>
  <c r="Z17" i="6"/>
  <c r="L17" i="5" s="1"/>
  <c r="Y17" i="6"/>
  <c r="K17" i="5" s="1"/>
  <c r="X17" i="6"/>
  <c r="J17" i="5" s="1"/>
  <c r="W17" i="6"/>
  <c r="I17" i="5" s="1"/>
  <c r="V17" i="6"/>
  <c r="H17" i="5" s="1"/>
  <c r="U17" i="6"/>
  <c r="G17" i="5" s="1"/>
  <c r="AB16" i="6"/>
  <c r="N16" i="5" s="1"/>
  <c r="AA16" i="6"/>
  <c r="M16" i="5" s="1"/>
  <c r="Z16" i="6"/>
  <c r="L16" i="5" s="1"/>
  <c r="Y16" i="6"/>
  <c r="K16" i="5" s="1"/>
  <c r="X16" i="6"/>
  <c r="J16" i="5" s="1"/>
  <c r="W16" i="6"/>
  <c r="I16" i="5" s="1"/>
  <c r="V16" i="6"/>
  <c r="H16" i="5" s="1"/>
  <c r="U16" i="6"/>
  <c r="G16" i="5" s="1"/>
  <c r="AB15" i="6"/>
  <c r="N15" i="5" s="1"/>
  <c r="AA15" i="6"/>
  <c r="M15" i="5" s="1"/>
  <c r="Z15" i="6"/>
  <c r="L15" i="5" s="1"/>
  <c r="Y15" i="6"/>
  <c r="K15" i="5" s="1"/>
  <c r="W15" i="6"/>
  <c r="I15" i="5" s="1"/>
  <c r="V15" i="6"/>
  <c r="H15" i="5" s="1"/>
  <c r="U15" i="6"/>
  <c r="G15" i="5" s="1"/>
  <c r="AB14" i="6"/>
  <c r="N14" i="5" s="1"/>
  <c r="AA14" i="6"/>
  <c r="M14" i="5" s="1"/>
  <c r="Z14" i="6"/>
  <c r="L14" i="5" s="1"/>
  <c r="Y14" i="6"/>
  <c r="K14" i="5" s="1"/>
  <c r="X14" i="6"/>
  <c r="J14" i="5" s="1"/>
  <c r="W14" i="6"/>
  <c r="I14" i="5" s="1"/>
  <c r="V14" i="6"/>
  <c r="H14" i="5" s="1"/>
  <c r="U14" i="6"/>
  <c r="G14" i="5" s="1"/>
  <c r="AB13" i="6"/>
  <c r="N13" i="5" s="1"/>
  <c r="AA13" i="6"/>
  <c r="M13" i="5" s="1"/>
  <c r="Z13" i="6"/>
  <c r="L13" i="5" s="1"/>
  <c r="Y13" i="6"/>
  <c r="K13" i="5" s="1"/>
  <c r="X13" i="6"/>
  <c r="J13" i="5" s="1"/>
  <c r="W13" i="6"/>
  <c r="I13" i="5" s="1"/>
  <c r="V13" i="6"/>
  <c r="H13" i="5" s="1"/>
  <c r="U13" i="6"/>
  <c r="G13" i="5" s="1"/>
  <c r="AB12" i="6"/>
  <c r="N12" i="5" s="1"/>
  <c r="AA12" i="6"/>
  <c r="M12" i="5" s="1"/>
  <c r="Z12" i="6"/>
  <c r="L12" i="5" s="1"/>
  <c r="Y12" i="6"/>
  <c r="K12" i="5" s="1"/>
  <c r="W12" i="6"/>
  <c r="I12" i="5" s="1"/>
  <c r="V12" i="6"/>
  <c r="H12" i="5" s="1"/>
  <c r="U12" i="6"/>
  <c r="G12" i="5" s="1"/>
  <c r="AB11" i="6"/>
  <c r="N11" i="5" s="1"/>
  <c r="AA11" i="6"/>
  <c r="M11" i="5" s="1"/>
  <c r="Z11" i="6"/>
  <c r="L11" i="5" s="1"/>
  <c r="Y11" i="6"/>
  <c r="K11" i="5" s="1"/>
  <c r="X11" i="6"/>
  <c r="J11" i="5" s="1"/>
  <c r="W11" i="6"/>
  <c r="I11" i="5" s="1"/>
  <c r="V11" i="6"/>
  <c r="H11" i="5" s="1"/>
  <c r="U11" i="6"/>
  <c r="G11" i="5" s="1"/>
  <c r="AB10" i="6"/>
  <c r="N10" i="5" s="1"/>
  <c r="AA10" i="6"/>
  <c r="M10" i="5" s="1"/>
  <c r="Z10" i="6"/>
  <c r="L10" i="5" s="1"/>
  <c r="Y10" i="6"/>
  <c r="K10" i="5" s="1"/>
  <c r="X10" i="6"/>
  <c r="J10" i="5" s="1"/>
  <c r="W10" i="6"/>
  <c r="I10" i="5" s="1"/>
  <c r="V10" i="6"/>
  <c r="H10" i="5" s="1"/>
  <c r="U10" i="6"/>
  <c r="G10" i="5" s="1"/>
  <c r="X12" i="6"/>
  <c r="J12" i="5" s="1"/>
  <c r="X9" i="6"/>
  <c r="J9" i="5" s="1"/>
  <c r="V9" i="6"/>
  <c r="H9" i="5" s="1"/>
  <c r="W9" i="6"/>
  <c r="I9" i="5" s="1"/>
  <c r="Y9" i="6"/>
  <c r="K9" i="5" s="1"/>
  <c r="Z9" i="6"/>
  <c r="L9" i="5" s="1"/>
  <c r="AA9" i="6"/>
  <c r="M9" i="5" s="1"/>
  <c r="AB9" i="6"/>
  <c r="N9" i="5" s="1"/>
  <c r="U9" i="6"/>
  <c r="G9" i="5" s="1"/>
  <c r="U21" i="8"/>
  <c r="T21" i="8"/>
  <c r="S21" i="8"/>
  <c r="R21" i="8"/>
  <c r="U20" i="8"/>
  <c r="T20" i="8"/>
  <c r="S20" i="8"/>
  <c r="R20" i="8"/>
  <c r="U19" i="8"/>
  <c r="T19" i="8"/>
  <c r="S19" i="8"/>
  <c r="R19" i="8"/>
  <c r="U18" i="8"/>
  <c r="T18" i="8"/>
  <c r="S18" i="8"/>
  <c r="R18" i="8"/>
  <c r="U17" i="8"/>
  <c r="T17" i="8"/>
  <c r="S17" i="8"/>
  <c r="R17" i="8"/>
  <c r="U16" i="8"/>
  <c r="T16" i="8"/>
  <c r="S16" i="8"/>
  <c r="R16" i="8"/>
  <c r="U15" i="8"/>
  <c r="T15" i="8"/>
  <c r="S15" i="8"/>
  <c r="R15" i="8"/>
  <c r="U14" i="8"/>
  <c r="T14" i="8"/>
  <c r="S14" i="8"/>
  <c r="R14" i="8"/>
  <c r="U13" i="8"/>
  <c r="T13" i="8"/>
  <c r="S13" i="8"/>
  <c r="R13" i="8"/>
  <c r="U12" i="8"/>
  <c r="T12" i="8"/>
  <c r="S12" i="8"/>
  <c r="R12" i="8"/>
  <c r="U11" i="8"/>
  <c r="T11" i="8"/>
  <c r="S11" i="8"/>
  <c r="R11" i="8"/>
  <c r="U10" i="8"/>
  <c r="T10" i="8"/>
  <c r="S10" i="8"/>
  <c r="R10" i="8"/>
  <c r="U9" i="8"/>
  <c r="T9" i="8"/>
  <c r="S9" i="8"/>
  <c r="R9" i="8"/>
  <c r="U8" i="8"/>
  <c r="T8" i="8"/>
  <c r="S8" i="8"/>
  <c r="R8" i="8"/>
  <c r="U6" i="8"/>
  <c r="T6" i="8"/>
  <c r="S6" i="8"/>
  <c r="R6" i="8"/>
  <c r="L18" i="5" l="1"/>
  <c r="K18" i="5"/>
  <c r="N19" i="5"/>
  <c r="J18" i="5"/>
  <c r="M19" i="5"/>
  <c r="I18" i="5"/>
  <c r="H18" i="5"/>
  <c r="G18" i="5"/>
  <c r="F10" i="5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D10" i="5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C17" i="5"/>
  <c r="C19" i="5"/>
  <c r="C20" i="5"/>
  <c r="C11" i="5"/>
  <c r="J30" i="4"/>
  <c r="E29" i="4"/>
  <c r="E14" i="4"/>
  <c r="F14" i="4"/>
  <c r="G14" i="4"/>
  <c r="G17" i="4"/>
  <c r="H17" i="4"/>
  <c r="I17" i="4"/>
  <c r="J17" i="4"/>
  <c r="F18" i="4"/>
  <c r="G19" i="4"/>
  <c r="H19" i="4"/>
  <c r="D20" i="4"/>
  <c r="J20" i="4"/>
  <c r="D21" i="4"/>
  <c r="E21" i="4"/>
  <c r="F21" i="4"/>
  <c r="I21" i="4"/>
  <c r="H22" i="4"/>
  <c r="I22" i="4"/>
  <c r="J22" i="4"/>
  <c r="D23" i="4"/>
  <c r="G23" i="4"/>
  <c r="F24" i="4"/>
  <c r="G24" i="4"/>
  <c r="H24" i="4"/>
  <c r="I24" i="4"/>
  <c r="L30" i="4"/>
  <c r="M30" i="4"/>
  <c r="N30" i="4"/>
  <c r="O30" i="4"/>
  <c r="P30" i="4"/>
  <c r="Q30" i="4"/>
  <c r="R30" i="4"/>
  <c r="S30" i="4"/>
  <c r="M29" i="4"/>
  <c r="N29" i="4"/>
  <c r="O29" i="4"/>
  <c r="P29" i="4"/>
  <c r="Q29" i="4"/>
  <c r="R29" i="4"/>
  <c r="S29" i="4"/>
  <c r="L29" i="4"/>
  <c r="K30" i="4"/>
  <c r="K29" i="4"/>
  <c r="K12" i="4"/>
  <c r="L12" i="4"/>
  <c r="M12" i="4"/>
  <c r="N12" i="4"/>
  <c r="O12" i="4"/>
  <c r="P12" i="4"/>
  <c r="Q12" i="4"/>
  <c r="R12" i="4"/>
  <c r="S12" i="4"/>
  <c r="K13" i="4"/>
  <c r="L13" i="4"/>
  <c r="M13" i="4"/>
  <c r="N13" i="4"/>
  <c r="O13" i="4"/>
  <c r="P13" i="4"/>
  <c r="Q13" i="4"/>
  <c r="R13" i="4"/>
  <c r="S13" i="4"/>
  <c r="K14" i="4"/>
  <c r="L14" i="4"/>
  <c r="M14" i="4"/>
  <c r="N14" i="4"/>
  <c r="O14" i="4"/>
  <c r="P14" i="4"/>
  <c r="Q14" i="4"/>
  <c r="R14" i="4"/>
  <c r="S14" i="4"/>
  <c r="K15" i="4"/>
  <c r="L15" i="4"/>
  <c r="M15" i="4"/>
  <c r="N15" i="4"/>
  <c r="O15" i="4"/>
  <c r="P15" i="4"/>
  <c r="Q15" i="4"/>
  <c r="R15" i="4"/>
  <c r="S15" i="4"/>
  <c r="K16" i="4"/>
  <c r="L16" i="4"/>
  <c r="M16" i="4"/>
  <c r="N16" i="4"/>
  <c r="O16" i="4"/>
  <c r="P16" i="4"/>
  <c r="Q16" i="4"/>
  <c r="R16" i="4"/>
  <c r="S16" i="4"/>
  <c r="K17" i="4"/>
  <c r="L17" i="4"/>
  <c r="M17" i="4"/>
  <c r="N17" i="4"/>
  <c r="O17" i="4"/>
  <c r="P17" i="4"/>
  <c r="Q17" i="4"/>
  <c r="R17" i="4"/>
  <c r="S17" i="4"/>
  <c r="K18" i="4"/>
  <c r="L18" i="4"/>
  <c r="M18" i="4"/>
  <c r="N18" i="4"/>
  <c r="O18" i="4"/>
  <c r="P18" i="4"/>
  <c r="Q18" i="4"/>
  <c r="R18" i="4"/>
  <c r="S18" i="4"/>
  <c r="K19" i="4"/>
  <c r="L19" i="4"/>
  <c r="M19" i="4"/>
  <c r="N19" i="4"/>
  <c r="O19" i="4"/>
  <c r="P19" i="4"/>
  <c r="Q19" i="4"/>
  <c r="R19" i="4"/>
  <c r="S19" i="4"/>
  <c r="K20" i="4"/>
  <c r="L20" i="4"/>
  <c r="M20" i="4"/>
  <c r="N20" i="4"/>
  <c r="O20" i="4"/>
  <c r="P20" i="4"/>
  <c r="Q20" i="4"/>
  <c r="R20" i="4"/>
  <c r="S20" i="4"/>
  <c r="K21" i="4"/>
  <c r="L21" i="4"/>
  <c r="M21" i="4"/>
  <c r="N21" i="4"/>
  <c r="O21" i="4"/>
  <c r="P21" i="4"/>
  <c r="Q21" i="4"/>
  <c r="R21" i="4"/>
  <c r="S21" i="4"/>
  <c r="K22" i="4"/>
  <c r="L22" i="4"/>
  <c r="M22" i="4"/>
  <c r="N22" i="4"/>
  <c r="O22" i="4"/>
  <c r="P22" i="4"/>
  <c r="Q22" i="4"/>
  <c r="R22" i="4"/>
  <c r="S22" i="4"/>
  <c r="K23" i="4"/>
  <c r="L23" i="4"/>
  <c r="M23" i="4"/>
  <c r="N23" i="4"/>
  <c r="O23" i="4"/>
  <c r="P23" i="4"/>
  <c r="Q23" i="4"/>
  <c r="R23" i="4"/>
  <c r="S23" i="4"/>
  <c r="K24" i="4"/>
  <c r="L24" i="4"/>
  <c r="M24" i="4"/>
  <c r="N24" i="4"/>
  <c r="O24" i="4"/>
  <c r="P24" i="4"/>
  <c r="Q24" i="4"/>
  <c r="R24" i="4"/>
  <c r="S24" i="4"/>
  <c r="L11" i="4"/>
  <c r="M11" i="4"/>
  <c r="N11" i="4"/>
  <c r="O11" i="4"/>
  <c r="P11" i="4"/>
  <c r="Q11" i="4"/>
  <c r="R11" i="4"/>
  <c r="S11" i="4"/>
  <c r="K11" i="4"/>
  <c r="A13" i="4"/>
  <c r="D13" i="4" s="1"/>
  <c r="A14" i="4"/>
  <c r="I14" i="4" s="1"/>
  <c r="A15" i="4"/>
  <c r="D15" i="4" s="1"/>
  <c r="A16" i="4"/>
  <c r="G16" i="4" s="1"/>
  <c r="A17" i="4"/>
  <c r="D17" i="4" s="1"/>
  <c r="A18" i="4"/>
  <c r="E18" i="4" s="1"/>
  <c r="A19" i="4"/>
  <c r="J19" i="4" s="1"/>
  <c r="A20" i="4"/>
  <c r="E20" i="4" s="1"/>
  <c r="A21" i="4"/>
  <c r="H21" i="4" s="1"/>
  <c r="A22" i="4"/>
  <c r="D22" i="4" s="1"/>
  <c r="A23" i="4"/>
  <c r="F23" i="4" s="1"/>
  <c r="A24" i="4"/>
  <c r="D24" i="4" s="1"/>
  <c r="A29" i="4"/>
  <c r="G29" i="4" s="1"/>
  <c r="A30" i="4"/>
  <c r="D30" i="4" s="1"/>
  <c r="A11" i="4"/>
  <c r="E11" i="4" s="1"/>
  <c r="A12" i="4"/>
  <c r="D12" i="4" s="1"/>
  <c r="C29" i="4"/>
  <c r="C30" i="4"/>
  <c r="C21" i="4"/>
  <c r="C22" i="4"/>
  <c r="C23" i="4"/>
  <c r="C21" i="5" s="1"/>
  <c r="C24" i="4"/>
  <c r="C22" i="5" s="1"/>
  <c r="C12" i="4"/>
  <c r="C10" i="5" s="1"/>
  <c r="C13" i="4"/>
  <c r="C14" i="4"/>
  <c r="C12" i="5" s="1"/>
  <c r="C15" i="4"/>
  <c r="C13" i="5" s="1"/>
  <c r="C16" i="4"/>
  <c r="C14" i="5" s="1"/>
  <c r="C17" i="4"/>
  <c r="C15" i="5" s="1"/>
  <c r="C18" i="4"/>
  <c r="C16" i="5" s="1"/>
  <c r="C19" i="4"/>
  <c r="C20" i="4"/>
  <c r="C18" i="5" s="1"/>
  <c r="E16" i="4" l="1"/>
  <c r="H16" i="4"/>
  <c r="J14" i="4"/>
  <c r="J24" i="4"/>
  <c r="E23" i="4"/>
  <c r="G21" i="4"/>
  <c r="I19" i="4"/>
  <c r="D18" i="4"/>
  <c r="F16" i="4"/>
  <c r="H14" i="4"/>
  <c r="J12" i="4"/>
  <c r="F29" i="4"/>
  <c r="I12" i="4"/>
  <c r="F19" i="4"/>
  <c r="G12" i="4"/>
  <c r="F12" i="4"/>
  <c r="D11" i="4"/>
  <c r="E24" i="4"/>
  <c r="G22" i="4"/>
  <c r="I20" i="4"/>
  <c r="D19" i="4"/>
  <c r="F17" i="4"/>
  <c r="H15" i="4"/>
  <c r="J13" i="4"/>
  <c r="E12" i="4"/>
  <c r="G30" i="4"/>
  <c r="H12" i="4"/>
  <c r="J15" i="4"/>
  <c r="H30" i="4"/>
  <c r="J11" i="4"/>
  <c r="F22" i="4"/>
  <c r="H20" i="4"/>
  <c r="J18" i="4"/>
  <c r="E17" i="4"/>
  <c r="G15" i="4"/>
  <c r="I13" i="4"/>
  <c r="F30" i="4"/>
  <c r="I11" i="4"/>
  <c r="J23" i="4"/>
  <c r="E22" i="4"/>
  <c r="G20" i="4"/>
  <c r="I18" i="4"/>
  <c r="F15" i="4"/>
  <c r="H13" i="4"/>
  <c r="D29" i="4"/>
  <c r="E30" i="4"/>
  <c r="I30" i="4"/>
  <c r="E19" i="4"/>
  <c r="D14" i="4"/>
  <c r="H11" i="4"/>
  <c r="I23" i="4"/>
  <c r="F20" i="4"/>
  <c r="H18" i="4"/>
  <c r="J16" i="4"/>
  <c r="E15" i="4"/>
  <c r="G13" i="4"/>
  <c r="J29" i="4"/>
  <c r="I15" i="4"/>
  <c r="G11" i="4"/>
  <c r="H23" i="4"/>
  <c r="J21" i="4"/>
  <c r="G18" i="4"/>
  <c r="I16" i="4"/>
  <c r="F13" i="4"/>
  <c r="I29" i="4"/>
  <c r="H29" i="4"/>
  <c r="D16" i="4"/>
  <c r="F11" i="4"/>
  <c r="E13" i="4"/>
  <c r="Q20" i="5"/>
  <c r="Q14" i="5"/>
  <c r="Q9" i="5"/>
  <c r="Q13" i="5"/>
  <c r="Q18" i="5"/>
  <c r="Q15" i="5"/>
  <c r="Q12" i="5"/>
  <c r="Q19" i="5"/>
  <c r="Q16" i="5"/>
  <c r="Q11" i="5"/>
  <c r="Q17" i="5"/>
  <c r="Q22" i="5"/>
  <c r="Q10" i="5"/>
  <c r="Q21" i="5"/>
  <c r="D6" i="3" l="1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E5" i="3"/>
  <c r="D5" i="3"/>
  <c r="C11" i="4" s="1"/>
  <c r="C9" i="5" s="1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A30" i="7"/>
  <c r="C4" i="6"/>
  <c r="R18" i="6" s="1" a="1"/>
  <c r="R18" i="6" s="1"/>
  <c r="E9" i="6"/>
  <c r="F9" i="6"/>
  <c r="G9" i="6"/>
  <c r="H9" i="6"/>
  <c r="I9" i="6"/>
  <c r="J9" i="6"/>
  <c r="K9" i="6"/>
  <c r="L9" i="6"/>
  <c r="M9" i="6"/>
  <c r="N9" i="6"/>
  <c r="O9" i="6"/>
  <c r="P9" i="6"/>
  <c r="E10" i="6"/>
  <c r="F10" i="6"/>
  <c r="G10" i="6"/>
  <c r="H10" i="6"/>
  <c r="I10" i="6"/>
  <c r="J10" i="6"/>
  <c r="K10" i="6"/>
  <c r="L10" i="6"/>
  <c r="M10" i="6"/>
  <c r="N10" i="6"/>
  <c r="O10" i="6"/>
  <c r="P10" i="6"/>
  <c r="E11" i="6"/>
  <c r="F11" i="6"/>
  <c r="G11" i="6"/>
  <c r="H11" i="6"/>
  <c r="I11" i="6"/>
  <c r="J11" i="6"/>
  <c r="K11" i="6"/>
  <c r="L11" i="6"/>
  <c r="M11" i="6"/>
  <c r="N11" i="6"/>
  <c r="O11" i="6"/>
  <c r="P11" i="6"/>
  <c r="E12" i="6"/>
  <c r="F12" i="6"/>
  <c r="G12" i="6"/>
  <c r="H12" i="6"/>
  <c r="I12" i="6"/>
  <c r="J12" i="6"/>
  <c r="K12" i="6"/>
  <c r="L12" i="6"/>
  <c r="M12" i="6"/>
  <c r="N12" i="6"/>
  <c r="O12" i="6"/>
  <c r="P12" i="6"/>
  <c r="E13" i="6"/>
  <c r="F13" i="6"/>
  <c r="G13" i="6"/>
  <c r="H13" i="6"/>
  <c r="I13" i="6"/>
  <c r="J13" i="6"/>
  <c r="K13" i="6"/>
  <c r="L13" i="6"/>
  <c r="M13" i="6"/>
  <c r="N13" i="6"/>
  <c r="O13" i="6"/>
  <c r="P13" i="6"/>
  <c r="E14" i="6"/>
  <c r="F14" i="6"/>
  <c r="G14" i="6"/>
  <c r="H14" i="6"/>
  <c r="I14" i="6"/>
  <c r="J14" i="6"/>
  <c r="K14" i="6"/>
  <c r="L14" i="6"/>
  <c r="M14" i="6"/>
  <c r="N14" i="6"/>
  <c r="O14" i="6"/>
  <c r="P14" i="6"/>
  <c r="E15" i="6"/>
  <c r="F15" i="6"/>
  <c r="G15" i="6"/>
  <c r="H15" i="6"/>
  <c r="I15" i="6"/>
  <c r="J15" i="6"/>
  <c r="K15" i="6"/>
  <c r="L15" i="6"/>
  <c r="M15" i="6"/>
  <c r="N15" i="6"/>
  <c r="O15" i="6"/>
  <c r="P15" i="6"/>
  <c r="E16" i="6"/>
  <c r="F16" i="6"/>
  <c r="G16" i="6"/>
  <c r="H16" i="6"/>
  <c r="I16" i="6"/>
  <c r="J16" i="6"/>
  <c r="K16" i="6"/>
  <c r="L16" i="6"/>
  <c r="M16" i="6"/>
  <c r="N16" i="6"/>
  <c r="O16" i="6"/>
  <c r="P16" i="6"/>
  <c r="E17" i="6"/>
  <c r="F17" i="6"/>
  <c r="G17" i="6"/>
  <c r="H17" i="6"/>
  <c r="I17" i="6"/>
  <c r="J17" i="6"/>
  <c r="K17" i="6"/>
  <c r="L17" i="6"/>
  <c r="M17" i="6"/>
  <c r="N17" i="6"/>
  <c r="O17" i="6"/>
  <c r="P17" i="6"/>
  <c r="E18" i="6"/>
  <c r="F18" i="6"/>
  <c r="G18" i="6"/>
  <c r="H18" i="6"/>
  <c r="I18" i="6"/>
  <c r="J18" i="6"/>
  <c r="K18" i="6"/>
  <c r="L18" i="6"/>
  <c r="M18" i="6"/>
  <c r="N18" i="6"/>
  <c r="O18" i="6"/>
  <c r="P18" i="6"/>
  <c r="E19" i="6"/>
  <c r="F19" i="6"/>
  <c r="G19" i="6"/>
  <c r="H19" i="6"/>
  <c r="I19" i="6"/>
  <c r="J19" i="6"/>
  <c r="K19" i="6"/>
  <c r="L19" i="6"/>
  <c r="M19" i="6"/>
  <c r="N19" i="6"/>
  <c r="O19" i="6"/>
  <c r="P19" i="6"/>
  <c r="E20" i="6"/>
  <c r="F20" i="6"/>
  <c r="G20" i="6"/>
  <c r="H20" i="6"/>
  <c r="I20" i="6"/>
  <c r="J20" i="6"/>
  <c r="K20" i="6"/>
  <c r="L20" i="6"/>
  <c r="M20" i="6"/>
  <c r="N20" i="6"/>
  <c r="O20" i="6"/>
  <c r="P20" i="6"/>
  <c r="E21" i="6"/>
  <c r="F21" i="6"/>
  <c r="G21" i="6"/>
  <c r="H21" i="6"/>
  <c r="I21" i="6"/>
  <c r="J21" i="6"/>
  <c r="K21" i="6"/>
  <c r="L21" i="6"/>
  <c r="M21" i="6"/>
  <c r="N21" i="6"/>
  <c r="O21" i="6"/>
  <c r="P21" i="6"/>
  <c r="E22" i="6"/>
  <c r="F22" i="6"/>
  <c r="G22" i="6"/>
  <c r="H22" i="6"/>
  <c r="I22" i="6"/>
  <c r="J22" i="6"/>
  <c r="K22" i="6"/>
  <c r="L22" i="6"/>
  <c r="M22" i="6"/>
  <c r="N22" i="6"/>
  <c r="O22" i="6"/>
  <c r="P22" i="6"/>
  <c r="T22" i="6" a="1"/>
  <c r="T22" i="6" s="1"/>
  <c r="E23" i="6"/>
  <c r="F23" i="6"/>
  <c r="G23" i="6"/>
  <c r="H23" i="6"/>
  <c r="I23" i="6"/>
  <c r="J23" i="6"/>
  <c r="K23" i="6"/>
  <c r="L23" i="6"/>
  <c r="M23" i="6"/>
  <c r="N23" i="6"/>
  <c r="O23" i="6"/>
  <c r="P23" i="6"/>
  <c r="R23" i="6" a="1"/>
  <c r="R23" i="6" s="1"/>
  <c r="T23" i="6" a="1"/>
  <c r="T23" i="6" s="1"/>
  <c r="E24" i="6"/>
  <c r="F24" i="6"/>
  <c r="G24" i="6"/>
  <c r="H24" i="6"/>
  <c r="I24" i="6"/>
  <c r="J24" i="6"/>
  <c r="K24" i="6"/>
  <c r="L24" i="6"/>
  <c r="M24" i="6"/>
  <c r="N24" i="6"/>
  <c r="O24" i="6"/>
  <c r="P24" i="6"/>
  <c r="R24" i="6" a="1"/>
  <c r="R24" i="6" s="1"/>
  <c r="T24" i="6" a="1"/>
  <c r="T24" i="6" s="1"/>
  <c r="O8" i="5"/>
  <c r="N8" i="5"/>
  <c r="M8" i="5"/>
  <c r="L8" i="5"/>
  <c r="K8" i="5"/>
  <c r="J8" i="5"/>
  <c r="I8" i="5"/>
  <c r="H8" i="5"/>
  <c r="G8" i="5"/>
  <c r="T21" i="6" l="1" a="1"/>
  <c r="T21" i="6" s="1"/>
  <c r="T20" i="6" a="1"/>
  <c r="T20" i="6" s="1"/>
  <c r="R19" i="6" a="1"/>
  <c r="R19" i="6" s="1"/>
  <c r="R14" i="6" a="1"/>
  <c r="R14" i="6" s="1"/>
  <c r="R17" i="6" a="1"/>
  <c r="R17" i="6" s="1"/>
  <c r="R13" i="6" a="1"/>
  <c r="R13" i="6" s="1"/>
  <c r="R16" i="6" a="1"/>
  <c r="R16" i="6" s="1"/>
  <c r="R12" i="6" a="1"/>
  <c r="R12" i="6" s="1"/>
  <c r="R22" i="6" a="1"/>
  <c r="R22" i="6" s="1"/>
  <c r="R11" i="6" a="1"/>
  <c r="R11" i="6" s="1"/>
  <c r="R15" i="6" a="1"/>
  <c r="R15" i="6" s="1"/>
  <c r="R9" i="6" a="1"/>
  <c r="R9" i="6" s="1"/>
  <c r="S24" i="6" a="1"/>
  <c r="S24" i="6" s="1"/>
  <c r="S23" i="6" a="1"/>
  <c r="S23" i="6" s="1"/>
  <c r="S22" i="6" a="1"/>
  <c r="S22" i="6" s="1"/>
  <c r="S21" i="6" a="1"/>
  <c r="S21" i="6" s="1"/>
  <c r="S20" i="6" a="1"/>
  <c r="S20" i="6" s="1"/>
  <c r="R21" i="6" a="1"/>
  <c r="R21" i="6" s="1"/>
  <c r="R20" i="6" a="1"/>
  <c r="R20" i="6" s="1"/>
  <c r="R10" i="6" a="1"/>
  <c r="R10" i="6" s="1"/>
  <c r="T19" i="6" a="1"/>
  <c r="T19" i="6" s="1"/>
  <c r="T18" i="6" a="1"/>
  <c r="T18" i="6" s="1"/>
  <c r="T17" i="6" a="1"/>
  <c r="T17" i="6" s="1"/>
  <c r="T16" i="6" a="1"/>
  <c r="T16" i="6" s="1"/>
  <c r="T15" i="6" a="1"/>
  <c r="T15" i="6" s="1"/>
  <c r="T14" i="6" a="1"/>
  <c r="T14" i="6" s="1"/>
  <c r="T13" i="6" a="1"/>
  <c r="T13" i="6" s="1"/>
  <c r="T12" i="6" a="1"/>
  <c r="T12" i="6" s="1"/>
  <c r="T11" i="6" a="1"/>
  <c r="T11" i="6" s="1"/>
  <c r="T10" i="6" a="1"/>
  <c r="T10" i="6" s="1"/>
  <c r="T9" i="6" a="1"/>
  <c r="T9" i="6" s="1"/>
  <c r="S19" i="6" a="1"/>
  <c r="S19" i="6" s="1"/>
  <c r="S18" i="6" a="1"/>
  <c r="S18" i="6" s="1"/>
  <c r="S17" i="6" a="1"/>
  <c r="S17" i="6" s="1"/>
  <c r="S16" i="6" a="1"/>
  <c r="S16" i="6" s="1"/>
  <c r="S15" i="6" a="1"/>
  <c r="S15" i="6" s="1"/>
  <c r="S14" i="6" a="1"/>
  <c r="S14" i="6" s="1"/>
  <c r="S13" i="6" a="1"/>
  <c r="S13" i="6" s="1"/>
  <c r="S12" i="6" a="1"/>
  <c r="S12" i="6" s="1"/>
  <c r="S11" i="6" a="1"/>
  <c r="S11" i="6" s="1"/>
  <c r="S10" i="6" a="1"/>
  <c r="S10" i="6" s="1"/>
  <c r="S9" i="6" a="1"/>
  <c r="S9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<sst xmlns="http://schemas.openxmlformats.org/spreadsheetml/2006/main" count="932" uniqueCount="254">
  <si>
    <t>Flow Efficiency</t>
  </si>
  <si>
    <t>Variable Cost R/GJ</t>
  </si>
  <si>
    <t>Fixed Cost R/kW</t>
  </si>
  <si>
    <t>Investment (overnight) Cost R/kW</t>
  </si>
  <si>
    <t>Life</t>
  </si>
  <si>
    <t>Capacity to Activity</t>
  </si>
  <si>
    <t>Peak Contribution</t>
  </si>
  <si>
    <t>Environmental Levy</t>
  </si>
  <si>
    <t>Combustion Emissions [Only Eskom plants using new formulation for not, other plants emissions are captured by fuel supply technologies]</t>
  </si>
  <si>
    <t>ACT_COST</t>
  </si>
  <si>
    <t>NCAP_FOM</t>
  </si>
  <si>
    <t>NCAP_COST</t>
  </si>
  <si>
    <t>NCAP_TLIFE</t>
  </si>
  <si>
    <t>PRC_CAPACT</t>
  </si>
  <si>
    <t>NCAP_PKCNT</t>
  </si>
  <si>
    <t>ELCC</t>
  </si>
  <si>
    <t>PWRENV</t>
  </si>
  <si>
    <t>CO2C</t>
  </si>
  <si>
    <t>CH4C</t>
  </si>
  <si>
    <t>N2OS</t>
  </si>
  <si>
    <t>SOXS</t>
  </si>
  <si>
    <t>NOXS</t>
  </si>
  <si>
    <t>CMOX</t>
  </si>
  <si>
    <t>NMVS</t>
  </si>
  <si>
    <t>PM10S</t>
  </si>
  <si>
    <t>~FI_T</t>
  </si>
  <si>
    <t>DAYNITE</t>
  </si>
  <si>
    <t>TechName</t>
  </si>
  <si>
    <t>TechDesc</t>
  </si>
  <si>
    <t>Comm-IN</t>
  </si>
  <si>
    <t>Comm-OUT</t>
  </si>
  <si>
    <t>Commgrp</t>
  </si>
  <si>
    <t>CEFF-I</t>
  </si>
  <si>
    <t>FLO_EMIS~CO2C</t>
  </si>
  <si>
    <t>FLO_EMIS~CH4C</t>
  </si>
  <si>
    <t>FLO_EMIS~N2OS</t>
  </si>
  <si>
    <t>FLO_EMIS~SOXS</t>
  </si>
  <si>
    <t>FLO_EMIS~NOXS</t>
  </si>
  <si>
    <t>FLO_EMIS~CMOX</t>
  </si>
  <si>
    <t>FLO_EMIS~NMVS</t>
  </si>
  <si>
    <t>FLO_EMIS~PM10S</t>
  </si>
  <si>
    <t>PWRCLEKEND</t>
  </si>
  <si>
    <t>~FI_Process</t>
  </si>
  <si>
    <t>Tact</t>
  </si>
  <si>
    <t>Tcap</t>
  </si>
  <si>
    <t>Tslvl</t>
  </si>
  <si>
    <t>Sets</t>
  </si>
  <si>
    <t>Vintage</t>
  </si>
  <si>
    <t>PJ</t>
  </si>
  <si>
    <t>GW</t>
  </si>
  <si>
    <t>ELE</t>
  </si>
  <si>
    <t>NO</t>
  </si>
  <si>
    <t>Define the refurbished technologies</t>
  </si>
  <si>
    <t>All the bits that are the same as the base process</t>
  </si>
  <si>
    <t>Charaterising the refurbishment</t>
  </si>
  <si>
    <t>Costs</t>
  </si>
  <si>
    <t>NCAP_START</t>
  </si>
  <si>
    <t>Start dates</t>
  </si>
  <si>
    <t>ENV_ACT~PWRENV</t>
  </si>
  <si>
    <t>Kusile</t>
  </si>
  <si>
    <t>KUSILE</t>
  </si>
  <si>
    <t>ETCLEKUSI-N</t>
  </si>
  <si>
    <t>Medupi</t>
  </si>
  <si>
    <t>MEDUPI</t>
  </si>
  <si>
    <t>ETCLEMEDU-N</t>
  </si>
  <si>
    <t>Tutuka</t>
  </si>
  <si>
    <t>TUTUKA</t>
  </si>
  <si>
    <t>ETCLETUTU-E</t>
  </si>
  <si>
    <t>Matla</t>
  </si>
  <si>
    <t>MATLA</t>
  </si>
  <si>
    <t>ETCLEMATL-E</t>
  </si>
  <si>
    <t>Matimba</t>
  </si>
  <si>
    <t>MATIMBA</t>
  </si>
  <si>
    <t>ETCLEMATI-E</t>
  </si>
  <si>
    <t>Majuba</t>
  </si>
  <si>
    <t>MAJUBA WET</t>
  </si>
  <si>
    <t>ETCLEMAJW-E</t>
  </si>
  <si>
    <t>MAJUBA DRY</t>
  </si>
  <si>
    <t>ETCLEMAJD-E</t>
  </si>
  <si>
    <t>Lethabo</t>
  </si>
  <si>
    <t>LETHABO</t>
  </si>
  <si>
    <t>ETCLELETH-E</t>
  </si>
  <si>
    <t>Kriel</t>
  </si>
  <si>
    <t>KRIEL</t>
  </si>
  <si>
    <t>ETCLEKRIE-E</t>
  </si>
  <si>
    <t>Kendal</t>
  </si>
  <si>
    <t>KENDAL</t>
  </si>
  <si>
    <t>ETCLEKEND-E</t>
  </si>
  <si>
    <t>Hendrina</t>
  </si>
  <si>
    <t>HENDRINA</t>
  </si>
  <si>
    <t>ETCLEHEND-E</t>
  </si>
  <si>
    <t>Duvha</t>
  </si>
  <si>
    <t>DUVHA</t>
  </si>
  <si>
    <t>ETCLEDUVH-E</t>
  </si>
  <si>
    <t>Arnot</t>
  </si>
  <si>
    <t>ARNOT</t>
  </si>
  <si>
    <t>ETCLEARNO-E</t>
  </si>
  <si>
    <t>Komati</t>
  </si>
  <si>
    <t>KOMATI</t>
  </si>
  <si>
    <t>ETCLEKOMA-E</t>
  </si>
  <si>
    <t>Grootvlei</t>
  </si>
  <si>
    <t>GROOTVLEI</t>
  </si>
  <si>
    <t>ETCLEGROO-E</t>
  </si>
  <si>
    <t>Camden</t>
  </si>
  <si>
    <t>CAMDEN</t>
  </si>
  <si>
    <t>ETCLECAMD-E</t>
  </si>
  <si>
    <t>*</t>
  </si>
  <si>
    <t>NCAP_AFA~UP~2030</t>
  </si>
  <si>
    <t>NCAP_AFA~UP~2029</t>
  </si>
  <si>
    <t>NCAP_AFA~UP~2028</t>
  </si>
  <si>
    <t>NCAP_AFA~UP~2027</t>
  </si>
  <si>
    <t>NCAP_AFA~UP~2026</t>
  </si>
  <si>
    <t>NCAP_AFA~UP~2025</t>
  </si>
  <si>
    <t>NCAP_AFA~UP~2024</t>
  </si>
  <si>
    <t>NCAP_AFA~UP~2023</t>
  </si>
  <si>
    <t>NCAP_AFA~UP~2022</t>
  </si>
  <si>
    <t>NCAP_AFA~UP~2021</t>
  </si>
  <si>
    <t>NCAP_AFA~UP~2020</t>
  </si>
  <si>
    <t>[empty]</t>
  </si>
  <si>
    <t>NCAP_FOM~2031</t>
  </si>
  <si>
    <t>NCAP_FOM~2030</t>
  </si>
  <si>
    <t>NCAP_FOM~2029</t>
  </si>
  <si>
    <t>NCAP_FOM~2028</t>
  </si>
  <si>
    <t>NCAP_FOM~2027</t>
  </si>
  <si>
    <t>NCAP_FOM~2026</t>
  </si>
  <si>
    <t>NCAP_FOM~2025</t>
  </si>
  <si>
    <t>NCAP_FOM~2024</t>
  </si>
  <si>
    <t>NCAP_FOM~2023</t>
  </si>
  <si>
    <t>NCAP_FOM~2022</t>
  </si>
  <si>
    <t>NCAP_FOM~2021</t>
  </si>
  <si>
    <t>NCAP_FOM~2020</t>
  </si>
  <si>
    <t>TechDesc* to match with Data</t>
  </si>
  <si>
    <t xml:space="preserve">Availability based on FOM costs </t>
  </si>
  <si>
    <t>FOM costs [ZAR 2022 R/kW]</t>
  </si>
  <si>
    <t>EAF</t>
  </si>
  <si>
    <t>Low</t>
  </si>
  <si>
    <t>FOM</t>
  </si>
  <si>
    <t>Plant</t>
  </si>
  <si>
    <t>MTSAO 2023 High EAF</t>
  </si>
  <si>
    <t>MTSAO 2023 Low EAF</t>
  </si>
  <si>
    <t>CAP</t>
  </si>
  <si>
    <t>EAF forecasts</t>
  </si>
  <si>
    <t>https://www.energy.gov.za/irp/irp-update-draft-report2018/epri-report-2017.pdf</t>
  </si>
  <si>
    <t>EPRI 2017 report converted to 2022 rands (pp 7-1 of:</t>
  </si>
  <si>
    <t>High</t>
  </si>
  <si>
    <t>As per ELC tech sheet on 30 Nov 20223</t>
  </si>
  <si>
    <t>FOM Costs [R/kW, 2022 ZAR]</t>
  </si>
  <si>
    <t>Original process names</t>
  </si>
  <si>
    <t>Main activity efficiency</t>
  </si>
  <si>
    <t>Pump storage efficiency</t>
  </si>
  <si>
    <t>Annual Availability</t>
  </si>
  <si>
    <t>Minimum Annual Utilization</t>
  </si>
  <si>
    <t>Availability for pump storage</t>
  </si>
  <si>
    <t>ACT_EFF</t>
  </si>
  <si>
    <t>FLO_EFF-I</t>
  </si>
  <si>
    <t>STG_EFF</t>
  </si>
  <si>
    <t>NCAP_BND-UP</t>
  </si>
  <si>
    <t>NCAP_AFA-UP</t>
  </si>
  <si>
    <t>NCAP_AFA-LO</t>
  </si>
  <si>
    <t>NCAP_AFC</t>
  </si>
  <si>
    <t>FLO_EMIS-O</t>
  </si>
  <si>
    <t>FLO_EMIS-I</t>
  </si>
  <si>
    <t>ACTGRP</t>
  </si>
  <si>
    <t>ANNUAL</t>
  </si>
  <si>
    <t>* Existing Power Plants</t>
  </si>
  <si>
    <t>PWRCLEMAJU</t>
  </si>
  <si>
    <t>PWRCLE</t>
  </si>
  <si>
    <t>UPSCLE</t>
  </si>
  <si>
    <t>UPSELC</t>
  </si>
  <si>
    <t>INDCLE</t>
  </si>
  <si>
    <t>ICPELC</t>
  </si>
  <si>
    <t>PWRODS</t>
  </si>
  <si>
    <t>PWRHYD</t>
  </si>
  <si>
    <t>PWRNUC</t>
  </si>
  <si>
    <t>NCAP_BND~UP~0</t>
  </si>
  <si>
    <t>NCAP_BND~UP</t>
  </si>
  <si>
    <t>NCAP_AFA~UP~2017</t>
  </si>
  <si>
    <t>NCAP_AFA~UP~2018</t>
  </si>
  <si>
    <t>NCAP_AFA~UP~2019</t>
  </si>
  <si>
    <t>NCAP_AFA~LO~2017</t>
  </si>
  <si>
    <t>NCAP_AFA~LO~2018</t>
  </si>
  <si>
    <t>NCAP_AFA~LO~2019</t>
  </si>
  <si>
    <t>NCAP_AFA~LO~2020</t>
  </si>
  <si>
    <t>NCAP_AFC~DAYNITE</t>
  </si>
  <si>
    <t>FLO_EMIS~O</t>
  </si>
  <si>
    <t>PWRCLECAMD</t>
  </si>
  <si>
    <t>PWRCLEGROO</t>
  </si>
  <si>
    <t>PWRCLEKOMA</t>
  </si>
  <si>
    <t>PWRCLEARNO</t>
  </si>
  <si>
    <t>PWRCLEDUVH</t>
  </si>
  <si>
    <t>PWRCLEHEND</t>
  </si>
  <si>
    <t>PWRCLEKRIE</t>
  </si>
  <si>
    <t>PWRCLELETH</t>
  </si>
  <si>
    <t>PWRCLEMATI</t>
  </si>
  <si>
    <t>PWRCLEMATL</t>
  </si>
  <si>
    <t>PWRCLETUTU</t>
  </si>
  <si>
    <t>ETCLEKELB-E</t>
  </si>
  <si>
    <t>KELVIN B</t>
  </si>
  <si>
    <t>ETCLEPFSS-E</t>
  </si>
  <si>
    <t>Sasol SSF Coal Plant</t>
  </si>
  <si>
    <t>ETCLEPFSI-E</t>
  </si>
  <si>
    <t>Sasol Infrachem Coal Plant</t>
  </si>
  <si>
    <t>ETODSGT-E</t>
  </si>
  <si>
    <t>OCGT liquid fuels Existing</t>
  </si>
  <si>
    <t>ERHYD-E</t>
  </si>
  <si>
    <t>Hydro Existing South Africa</t>
  </si>
  <si>
    <t>ERHYD-I</t>
  </si>
  <si>
    <t>Hydro Existing Region</t>
  </si>
  <si>
    <t>ETNUC-E</t>
  </si>
  <si>
    <t>Nuclear Existing</t>
  </si>
  <si>
    <t>EPTSTO-E</t>
  </si>
  <si>
    <t>Pump Storage All Existing - Single Storage Tech</t>
  </si>
  <si>
    <t>Overnight Investment Cost</t>
  </si>
  <si>
    <t>Lead time</t>
  </si>
  <si>
    <t>NCAP_ILED</t>
  </si>
  <si>
    <t>NCAP_AFA~LO~2021</t>
  </si>
  <si>
    <t>NCAP_AFA~UP</t>
  </si>
  <si>
    <t>PWRCLEMEDU</t>
  </si>
  <si>
    <t>PWRCLEKUSI</t>
  </si>
  <si>
    <t>ETCLEWATE-N</t>
  </si>
  <si>
    <t>Generic Waterberg Coal Plant</t>
  </si>
  <si>
    <t>ETCLE-CCS-N</t>
  </si>
  <si>
    <t>Generic Waterberg Coal Plant with CCS</t>
  </si>
  <si>
    <t>PASTED values from ELC</t>
  </si>
  <si>
    <t>Lower BND AFA</t>
  </si>
  <si>
    <t>EAF / AFA from CONVERTER</t>
  </si>
  <si>
    <t>Availability of Capacity: AF</t>
  </si>
  <si>
    <t>nothing</t>
  </si>
  <si>
    <t>NCAP_AF~UP~2017</t>
  </si>
  <si>
    <t>NCAP_AF~UP~2021</t>
  </si>
  <si>
    <t>NCAP_AF~UP~2025</t>
  </si>
  <si>
    <t>NCAP_AF~UP~2030</t>
  </si>
  <si>
    <t/>
  </si>
  <si>
    <t>Set to REF</t>
  </si>
  <si>
    <t>NCAP_PKCNT~2017</t>
  </si>
  <si>
    <t>set to the same as AF</t>
  </si>
  <si>
    <t>from calcs bruno did in ELC</t>
  </si>
  <si>
    <t>this is from ProcDataRM in ELC</t>
  </si>
  <si>
    <t>Discount rate</t>
  </si>
  <si>
    <t>%</t>
  </si>
  <si>
    <t>R/kW</t>
  </si>
  <si>
    <t>Annualized Costs</t>
  </si>
  <si>
    <t>Low FOM value for the power plant</t>
  </si>
  <si>
    <t>High FOM value for the power plant with retrofit</t>
  </si>
  <si>
    <t>difference</t>
  </si>
  <si>
    <t>Station</t>
  </si>
  <si>
    <t>Effective capital cost R/kW</t>
  </si>
  <si>
    <t>years left</t>
  </si>
  <si>
    <t>Gives annual R/kW</t>
  </si>
  <si>
    <t>Unit #</t>
  </si>
  <si>
    <t>Decomm schedule from ELC</t>
  </si>
  <si>
    <t>Years left as of 2022</t>
  </si>
  <si>
    <t>using this for the investment</t>
  </si>
  <si>
    <t>R/kW/year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</si>
</sst>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-* #,##0.00_-;\-* #,##0.00_-;_-* &quot;-&quot;??_-;_-@_-"/>
    <numFmt numFmtId="164" formatCode="0.000"/>
    <numFmt numFmtId="165" formatCode="0.0000"/>
    <numFmt numFmtId="166" formatCode="\Te\x\t"/>
    <numFmt numFmtId="167" formatCode="[$£-809]#,##0.000;[Red]&quot;-&quot;[$£-809]#,##0.000"/>
    <numFmt numFmtId="168" formatCode="0.0%"/>
    <numFmt numFmtId="169" formatCode="0.00000"/>
  </numFmts>
  <fonts count="3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color theme="3"/>
      <name val="Calibri"/>
      <family val="2"/>
      <scheme val="minor"/>
    </font>
    <font>
      <sz val="8"/>
      <name val="Arial"/>
      <family val="2"/>
    </font>
    <font>
      <b/>
      <sz val="8"/>
      <color rgb="FF800080"/>
      <name val="Arial"/>
      <family val="2"/>
    </font>
    <font>
      <sz val="8"/>
      <color rgb="FF800080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b/>
      <sz val="9"/>
      <color rgb="FF80008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name val="Courier"/>
      <family val="3"/>
    </font>
    <font>
      <sz val="11"/>
      <color rgb="FF9C6500"/>
      <name val="Calibri"/>
      <family val="2"/>
      <scheme val="minor"/>
    </font>
    <font>
      <u/>
      <sz val="10"/>
      <color theme="10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color rgb="FF7030A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0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6" fillId="0" borderId="0"/>
    <xf numFmtId="0" fontId="1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2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2" fillId="0" borderId="0"/>
    <xf numFmtId="9" fontId="12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2" fillId="0" borderId="0"/>
    <xf numFmtId="0" fontId="19" fillId="0" borderId="0"/>
    <xf numFmtId="0" fontId="20" fillId="0" borderId="0"/>
    <xf numFmtId="0" fontId="12" fillId="0" borderId="0"/>
    <xf numFmtId="0" fontId="21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43" fontId="2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4" fillId="4" borderId="2" applyNumberFormat="0" applyAlignment="0" applyProtection="0"/>
    <xf numFmtId="0" fontId="13" fillId="3" borderId="2" applyNumberFormat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6" borderId="0" applyNumberFormat="0" applyBorder="0" applyAlignment="0" applyProtection="0"/>
    <xf numFmtId="0" fontId="15" fillId="5" borderId="0" applyNumberFormat="0" applyBorder="0" applyAlignment="0" applyProtection="0"/>
    <xf numFmtId="43" fontId="12" fillId="0" borderId="0" applyFont="0" applyFill="0" applyBorder="0" applyAlignment="0" applyProtection="0"/>
    <xf numFmtId="0" fontId="25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2" fillId="0" borderId="0"/>
    <xf numFmtId="9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29" fillId="7" borderId="0" applyNumberFormat="0" applyBorder="0" applyAlignment="0" applyProtection="0"/>
    <xf numFmtId="0" fontId="30" fillId="8" borderId="0" applyNumberFormat="0" applyBorder="0" applyAlignment="0" applyProtection="0"/>
    <xf numFmtId="0" fontId="31" fillId="2" borderId="0" applyNumberFormat="0" applyBorder="0" applyAlignment="0" applyProtection="0"/>
    <xf numFmtId="0" fontId="13" fillId="3" borderId="2" applyNumberFormat="0" applyAlignment="0" applyProtection="0"/>
    <xf numFmtId="0" fontId="36" fillId="0" borderId="0"/>
    <xf numFmtId="43" fontId="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</cellStyleXfs>
  <cellXfs count="104">
    <xf numFmtId="0" fontId="0" fillId="0" borderId="0" xfId="0"/>
    <xf numFmtId="0" fontId="3" fillId="0" borderId="0" xfId="1" applyFont="1" applyAlignment="1">
      <alignment horizontal="center"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3" applyFont="1" applyAlignment="1">
      <alignment horizontal="center"/>
    </xf>
    <xf numFmtId="0" fontId="6" fillId="0" borderId="0" xfId="3" applyFont="1"/>
    <xf numFmtId="0" fontId="6" fillId="0" borderId="0" xfId="3" applyFont="1" applyAlignment="1">
      <alignment wrapText="1"/>
    </xf>
    <xf numFmtId="0" fontId="7" fillId="0" borderId="0" xfId="3" applyFont="1"/>
    <xf numFmtId="0" fontId="8" fillId="0" borderId="0" xfId="3" applyFont="1"/>
    <xf numFmtId="0" fontId="8" fillId="0" borderId="0" xfId="3" applyFont="1" applyAlignment="1">
      <alignment horizontal="center" wrapText="1"/>
    </xf>
    <xf numFmtId="0" fontId="9" fillId="0" borderId="0" xfId="3" applyFont="1" applyAlignment="1">
      <alignment wrapText="1"/>
    </xf>
    <xf numFmtId="0" fontId="10" fillId="0" borderId="0" xfId="4" applyFont="1"/>
    <xf numFmtId="0" fontId="4" fillId="0" borderId="0" xfId="3" applyFont="1" applyAlignment="1">
      <alignment horizontal="right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left"/>
    </xf>
    <xf numFmtId="2" fontId="4" fillId="0" borderId="0" xfId="3" applyNumberFormat="1" applyFont="1"/>
    <xf numFmtId="164" fontId="4" fillId="0" borderId="0" xfId="3" applyNumberFormat="1" applyFont="1"/>
    <xf numFmtId="1" fontId="4" fillId="0" borderId="0" xfId="3" applyNumberFormat="1" applyFont="1"/>
    <xf numFmtId="2" fontId="4" fillId="0" borderId="0" xfId="3" applyNumberFormat="1" applyFont="1" applyAlignment="1">
      <alignment horizontal="center"/>
    </xf>
    <xf numFmtId="2" fontId="9" fillId="0" borderId="0" xfId="3" applyNumberFormat="1" applyFont="1" applyAlignment="1">
      <alignment horizontal="center"/>
    </xf>
    <xf numFmtId="164" fontId="4" fillId="0" borderId="0" xfId="3" applyNumberFormat="1" applyFont="1" applyAlignment="1">
      <alignment horizontal="center"/>
    </xf>
    <xf numFmtId="165" fontId="4" fillId="0" borderId="0" xfId="3" applyNumberFormat="1" applyFont="1" applyAlignment="1">
      <alignment horizontal="center"/>
    </xf>
    <xf numFmtId="166" fontId="1" fillId="0" borderId="0" xfId="1" applyNumberFormat="1" applyFill="1"/>
    <xf numFmtId="0" fontId="1" fillId="0" borderId="0" xfId="1" applyFill="1"/>
    <xf numFmtId="166" fontId="1" fillId="0" borderId="1" xfId="1" applyNumberFormat="1" applyFill="1" applyBorder="1" applyAlignment="1">
      <alignment horizontal="left"/>
    </xf>
    <xf numFmtId="0" fontId="10" fillId="0" borderId="0" xfId="2" applyFont="1"/>
    <xf numFmtId="0" fontId="11" fillId="0" borderId="0" xfId="0" applyFont="1"/>
    <xf numFmtId="0" fontId="1" fillId="0" borderId="0" xfId="1" applyAlignment="1">
      <alignment horizontal="center" wrapText="1"/>
    </xf>
    <xf numFmtId="0" fontId="27" fillId="0" borderId="0" xfId="0" applyFont="1"/>
    <xf numFmtId="0" fontId="28" fillId="0" borderId="0" xfId="0" applyFont="1"/>
    <xf numFmtId="164" fontId="0" fillId="9" borderId="3" xfId="0" applyNumberFormat="1" applyFill="1" applyBorder="1"/>
    <xf numFmtId="0" fontId="0" fillId="0" borderId="3" xfId="0" applyBorder="1"/>
    <xf numFmtId="2" fontId="0" fillId="10" borderId="3" xfId="0" applyNumberFormat="1" applyFill="1" applyBorder="1"/>
    <xf numFmtId="2" fontId="0" fillId="11" borderId="3" xfId="0" applyNumberFormat="1" applyFill="1" applyBorder="1"/>
    <xf numFmtId="0" fontId="32" fillId="0" borderId="3" xfId="3" applyFont="1" applyBorder="1"/>
    <xf numFmtId="0" fontId="33" fillId="0" borderId="3" xfId="3" applyFont="1" applyBorder="1"/>
    <xf numFmtId="0" fontId="0" fillId="12" borderId="3" xfId="0" applyFill="1" applyBorder="1"/>
    <xf numFmtId="0" fontId="4" fillId="12" borderId="3" xfId="3" applyFont="1" applyFill="1" applyBorder="1"/>
    <xf numFmtId="166" fontId="1" fillId="0" borderId="3" xfId="1" applyNumberFormat="1" applyFill="1" applyBorder="1" applyAlignment="1">
      <alignment horizontal="left" wrapText="1"/>
    </xf>
    <xf numFmtId="166" fontId="1" fillId="0" borderId="3" xfId="1" applyNumberFormat="1" applyFill="1" applyBorder="1" applyAlignment="1">
      <alignment horizontal="left"/>
    </xf>
    <xf numFmtId="0" fontId="0" fillId="11" borderId="3" xfId="0" applyFill="1" applyBorder="1"/>
    <xf numFmtId="0" fontId="13" fillId="3" borderId="4" xfId="73" applyBorder="1"/>
    <xf numFmtId="168" fontId="13" fillId="13" borderId="3" xfId="73" applyNumberFormat="1" applyFill="1" applyBorder="1"/>
    <xf numFmtId="168" fontId="13" fillId="14" borderId="5" xfId="73" applyNumberFormat="1" applyFill="1" applyBorder="1"/>
    <xf numFmtId="168" fontId="13" fillId="14" borderId="2" xfId="73" applyNumberFormat="1" applyFill="1"/>
    <xf numFmtId="168" fontId="13" fillId="14" borderId="2" xfId="10" applyNumberFormat="1" applyFont="1" applyFill="1" applyBorder="1"/>
    <xf numFmtId="168" fontId="13" fillId="3" borderId="4" xfId="73" applyNumberFormat="1" applyBorder="1"/>
    <xf numFmtId="168" fontId="34" fillId="0" borderId="0" xfId="10" applyNumberFormat="1" applyFont="1"/>
    <xf numFmtId="9" fontId="11" fillId="15" borderId="0" xfId="15" applyFont="1" applyFill="1"/>
    <xf numFmtId="9" fontId="11" fillId="9" borderId="0" xfId="15" applyFont="1" applyFill="1"/>
    <xf numFmtId="168" fontId="0" fillId="15" borderId="3" xfId="10" applyNumberFormat="1" applyFont="1" applyFill="1" applyBorder="1"/>
    <xf numFmtId="168" fontId="0" fillId="9" borderId="3" xfId="15" applyNumberFormat="1" applyFont="1" applyFill="1" applyBorder="1"/>
    <xf numFmtId="3" fontId="0" fillId="16" borderId="3" xfId="0" applyNumberFormat="1" applyFill="1" applyBorder="1"/>
    <xf numFmtId="0" fontId="4" fillId="17" borderId="6" xfId="22" applyFont="1" applyFill="1" applyBorder="1" applyAlignment="1">
      <alignment horizontal="left" vertical="top" wrapText="1"/>
    </xf>
    <xf numFmtId="0" fontId="35" fillId="11" borderId="0" xfId="0" applyFont="1" applyFill="1" applyAlignment="1">
      <alignment wrapText="1"/>
    </xf>
    <xf numFmtId="0" fontId="23" fillId="0" borderId="0" xfId="29"/>
    <xf numFmtId="2" fontId="0" fillId="0" borderId="0" xfId="0" applyNumberFormat="1"/>
    <xf numFmtId="2" fontId="31" fillId="2" borderId="0" xfId="72" applyNumberFormat="1" applyAlignment="1">
      <alignment horizontal="center"/>
    </xf>
    <xf numFmtId="0" fontId="31" fillId="2" borderId="0" xfId="72"/>
    <xf numFmtId="165" fontId="4" fillId="0" borderId="0" xfId="3" applyNumberFormat="1" applyFont="1"/>
    <xf numFmtId="168" fontId="4" fillId="0" borderId="0" xfId="53" applyNumberFormat="1" applyFont="1"/>
    <xf numFmtId="3" fontId="4" fillId="0" borderId="0" xfId="3" applyNumberFormat="1" applyFont="1"/>
    <xf numFmtId="169" fontId="4" fillId="0" borderId="0" xfId="3" applyNumberFormat="1" applyFont="1" applyAlignment="1">
      <alignment horizontal="center"/>
    </xf>
    <xf numFmtId="164" fontId="29" fillId="7" borderId="0" xfId="70" applyNumberFormat="1" applyAlignment="1">
      <alignment horizontal="center"/>
    </xf>
    <xf numFmtId="2" fontId="30" fillId="8" borderId="0" xfId="71" applyNumberFormat="1" applyAlignment="1">
      <alignment horizontal="center"/>
    </xf>
    <xf numFmtId="164" fontId="30" fillId="8" borderId="0" xfId="71" applyNumberFormat="1" applyAlignment="1">
      <alignment horizontal="center"/>
    </xf>
    <xf numFmtId="0" fontId="0" fillId="0" borderId="7" xfId="0" applyBorder="1"/>
    <xf numFmtId="0" fontId="4" fillId="0" borderId="7" xfId="3" applyFont="1" applyBorder="1"/>
    <xf numFmtId="164" fontId="0" fillId="0" borderId="0" xfId="0" applyNumberFormat="1"/>
    <xf numFmtId="0" fontId="8" fillId="0" borderId="0" xfId="3" applyFont="1" applyAlignment="1">
      <alignment wrapText="1"/>
    </xf>
    <xf numFmtId="0" fontId="28" fillId="0" borderId="8" xfId="0" applyFont="1" applyBorder="1"/>
    <xf numFmtId="0" fontId="4" fillId="0" borderId="8" xfId="3" applyFont="1" applyBorder="1" applyAlignment="1">
      <alignment wrapText="1"/>
    </xf>
    <xf numFmtId="0" fontId="0" fillId="0" borderId="8" xfId="0" applyBorder="1"/>
    <xf numFmtId="0" fontId="8" fillId="0" borderId="8" xfId="3" applyFont="1" applyBorder="1" applyAlignment="1">
      <alignment wrapText="1"/>
    </xf>
    <xf numFmtId="2" fontId="4" fillId="0" borderId="8" xfId="3" applyNumberFormat="1" applyFont="1" applyBorder="1"/>
    <xf numFmtId="0" fontId="11" fillId="0" borderId="8" xfId="0" applyFont="1" applyBorder="1" applyAlignment="1">
      <alignment wrapText="1"/>
    </xf>
    <xf numFmtId="0" fontId="9" fillId="0" borderId="0" xfId="3" applyFont="1"/>
    <xf numFmtId="2" fontId="9" fillId="0" borderId="0" xfId="3" applyNumberFormat="1" applyFont="1"/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/>
    <xf numFmtId="0" fontId="11" fillId="0" borderId="11" xfId="0" applyFont="1" applyBorder="1" applyAlignment="1">
      <alignment wrapText="1"/>
    </xf>
    <xf numFmtId="2" fontId="4" fillId="0" borderId="9" xfId="3" applyNumberFormat="1" applyFont="1" applyBorder="1"/>
    <xf numFmtId="2" fontId="0" fillId="0" borderId="7" xfId="0" applyNumberFormat="1" applyBorder="1"/>
    <xf numFmtId="2" fontId="4" fillId="18" borderId="10" xfId="3" applyNumberFormat="1" applyFont="1" applyFill="1" applyBorder="1"/>
    <xf numFmtId="0" fontId="11" fillId="0" borderId="0" xfId="0" applyFont="1" applyAlignment="1">
      <alignment wrapText="1"/>
    </xf>
    <xf numFmtId="2" fontId="4" fillId="0" borderId="10" xfId="3" applyNumberFormat="1" applyFont="1" applyBorder="1"/>
    <xf numFmtId="0" fontId="11" fillId="0" borderId="11" xfId="0" applyFont="1" applyBorder="1"/>
    <xf numFmtId="0" fontId="37" fillId="0" borderId="3" xfId="3" applyFont="1" applyBorder="1"/>
    <xf numFmtId="0" fontId="0" fillId="0" borderId="9" xfId="0" applyBorder="1"/>
    <xf numFmtId="0" fontId="4" fillId="17" borderId="12" xfId="22" applyFont="1" applyFill="1" applyBorder="1" applyAlignment="1">
      <alignment horizontal="left" vertical="top" wrapText="1"/>
    </xf>
    <xf numFmtId="168" fontId="36" fillId="0" borderId="0" xfId="10" applyNumberFormat="1" applyFont="1"/>
    <xf numFmtId="0" fontId="2" fillId="0" borderId="0" xfId="2"/>
    <xf numFmtId="9" fontId="2" fillId="0" borderId="0" xfId="2" applyNumberFormat="1"/>
    <xf numFmtId="3" fontId="2" fillId="0" borderId="0" xfId="2" applyNumberFormat="1"/>
    <xf numFmtId="2" fontId="2" fillId="0" borderId="0" xfId="2" applyNumberFormat="1"/>
    <xf numFmtId="0" fontId="34" fillId="0" borderId="0" xfId="2" applyFont="1"/>
    <xf numFmtId="1" fontId="2" fillId="0" borderId="0" xfId="2" applyNumberFormat="1"/>
    <xf numFmtId="1" fontId="34" fillId="0" borderId="0" xfId="2" applyNumberFormat="1" applyFont="1"/>
    <xf numFmtId="168" fontId="2" fillId="0" borderId="0" xfId="2" applyNumberFormat="1"/>
    <xf numFmtId="0" fontId="32" fillId="19" borderId="3" xfId="3" applyFont="1" applyFill="1" applyBorder="1"/>
    <xf numFmtId="0" fontId="2" fillId="19" borderId="0" xfId="2" applyFill="1"/>
    <xf numFmtId="1" fontId="2" fillId="19" borderId="0" xfId="2" applyNumberFormat="1" applyFill="1"/>
    <xf numFmtId="2" fontId="2" fillId="19" borderId="0" xfId="2" applyNumberFormat="1" applyFill="1"/>
  </cellXfs>
  <cellStyles count="80">
    <cellStyle name="20% - Accent5 2" xfId="43" xr:uid="{EFF8B84A-AE81-4833-8C88-5277AC64F684}"/>
    <cellStyle name="60% - Accent2 2" xfId="44" xr:uid="{9A364631-52E1-4FFB-A351-9A88302CA461}"/>
    <cellStyle name="Bad" xfId="71" builtinId="27"/>
    <cellStyle name="Calculation 2" xfId="33" xr:uid="{2C390F0C-F415-4D66-89C5-DE74CB545B58}"/>
    <cellStyle name="Comma 2" xfId="9" xr:uid="{D63ADC79-8AC0-4506-8FB5-695C8293CFDC}"/>
    <cellStyle name="Comma 2 2" xfId="17" xr:uid="{074554D6-4299-439E-9FD2-A633EE12893B}"/>
    <cellStyle name="Comma 2 2 2" xfId="31" xr:uid="{C918EED9-9302-4546-903E-1A636C525FD9}"/>
    <cellStyle name="Comma 2 2 3" xfId="65" xr:uid="{3BD43706-40BB-4B7F-9634-647D007DD485}"/>
    <cellStyle name="Comma 2 2 4" xfId="76" xr:uid="{D1C8395E-322F-4B91-A4EE-7E357BB3DB87}"/>
    <cellStyle name="Comma 2 3" xfId="8" xr:uid="{6D8D9A6A-A979-454B-941D-893174AC3B79}"/>
    <cellStyle name="Comma 2 4" xfId="30" xr:uid="{2DD300BF-46C3-424B-8117-69CCB3D27383}"/>
    <cellStyle name="Comma 2 4 2" xfId="67" xr:uid="{D1077A0A-6F9D-4446-8EB4-650236AE1F7D}"/>
    <cellStyle name="Comma 2 4 3" xfId="77" xr:uid="{FD409EB6-BA38-4A3E-B5F9-070D371C8C32}"/>
    <cellStyle name="Comma 2 5" xfId="45" xr:uid="{827B8626-DF55-44EC-BB25-D43E594EF118}"/>
    <cellStyle name="Comma 2 5 2" xfId="69" xr:uid="{372C1012-7F90-45A4-B6EA-803AD3C3172D}"/>
    <cellStyle name="Comma 2 5 3" xfId="79" xr:uid="{2AE8C935-9225-4E1B-A34E-9EF7F5CA9916}"/>
    <cellStyle name="Comma 2 6" xfId="64" xr:uid="{17CE69C8-007D-4902-98CC-BFFFA293552D}"/>
    <cellStyle name="Comma 2 7" xfId="75" xr:uid="{A3A4BB7D-4B05-4116-A8B8-6E464BCE3216}"/>
    <cellStyle name="Comma 3" xfId="18" xr:uid="{ED7C5924-36A3-4767-B6E1-D8C9265F145F}"/>
    <cellStyle name="Comma 3 2" xfId="28" xr:uid="{624BEF3D-0272-41B6-A23F-F2179C47D5A9}"/>
    <cellStyle name="Comma 4" xfId="42" xr:uid="{387D432E-DCDD-40E8-AEF4-EF03F9F0F0DD}"/>
    <cellStyle name="Comma 5" xfId="37" xr:uid="{0B694F0E-DA63-4C5A-8563-9EEF77BB306E}"/>
    <cellStyle name="Comma 6" xfId="68" xr:uid="{CA57FB8A-23C9-494B-9617-BBA8E71BDECD}"/>
    <cellStyle name="Comma 7" xfId="78" xr:uid="{E4E36016-38EA-4CAE-885D-F7A83247E1C9}"/>
    <cellStyle name="Good" xfId="70" builtinId="26"/>
    <cellStyle name="Heading 4" xfId="1" builtinId="19"/>
    <cellStyle name="Hyperlink 2" xfId="13" xr:uid="{8ABD41A1-86B3-4FC3-B90E-180C367EB21F}"/>
    <cellStyle name="Hyperlink 2 2" xfId="29" xr:uid="{6A7C92E5-EFB3-45AA-9CD3-6586B6DC90B9}"/>
    <cellStyle name="Hyperlink 2 2 2" xfId="35" xr:uid="{D5D8E03E-D88E-48BD-BEF8-47604AFD10BE}"/>
    <cellStyle name="Hyperlink 3" xfId="66" xr:uid="{8C6DA98F-80F5-468B-B3D3-7FC9066C3DCF}"/>
    <cellStyle name="Input" xfId="73" builtinId="20"/>
    <cellStyle name="Input 2" xfId="34" xr:uid="{A4874C83-658E-4A8B-BD40-4E6A934FB5C8}"/>
    <cellStyle name="Neutral" xfId="72" builtinId="28"/>
    <cellStyle name="Neutral 2" xfId="46" xr:uid="{65298177-814E-447D-A380-8809359ECD28}"/>
    <cellStyle name="Normal" xfId="0" builtinId="0"/>
    <cellStyle name="Normal 10" xfId="47" xr:uid="{66D8D4CD-6B03-42A4-AC71-EF4B9B9BB1A6}"/>
    <cellStyle name="Normal 10 4" xfId="12" xr:uid="{9DF4DB45-523A-422E-B633-305B4469A1C3}"/>
    <cellStyle name="Normal 11" xfId="62" xr:uid="{84EDD815-3F2D-4CC8-89BE-47A527D72B43}"/>
    <cellStyle name="Normal 12" xfId="22" xr:uid="{69FBAA9F-FDF3-4764-A832-77D6C60B4841}"/>
    <cellStyle name="Normal 13" xfId="3" xr:uid="{2DC1E19E-CDF2-467A-A385-74A02992129C}"/>
    <cellStyle name="Normal 14" xfId="5" xr:uid="{A093F5AE-FFF9-4708-9232-30A18FAD9C93}"/>
    <cellStyle name="Normal 15" xfId="74" xr:uid="{BE3AF733-818A-4818-B0EA-81B93439FA37}"/>
    <cellStyle name="Normal 2" xfId="2" xr:uid="{FFCCBC39-8E84-42B9-A20F-9DD9062A0536}"/>
    <cellStyle name="Normal 2 2" xfId="6" xr:uid="{182B2576-1F73-4330-BA38-C06864CEE4EB}"/>
    <cellStyle name="Normal 2 2 2" xfId="4" xr:uid="{E26E27CC-120C-418A-92CD-DD7D47083794}"/>
    <cellStyle name="Normal 2 2 2 2" xfId="11" xr:uid="{EDF13718-5040-4AE4-AEEA-1187D9337531}"/>
    <cellStyle name="Normal 2 2 3" xfId="20" xr:uid="{5ED18436-1D07-4FC1-8D80-814F04A33FDC}"/>
    <cellStyle name="Normal 2 3" xfId="16" xr:uid="{252BCDF7-297C-42A6-BD5B-B5FD2D53FFB0}"/>
    <cellStyle name="Normal 2 3 2" xfId="32" xr:uid="{684953BC-A20E-4A3A-B487-DCFAD3303D5F}"/>
    <cellStyle name="Normal 3" xfId="7" xr:uid="{26753871-07A5-40DA-9EFE-86528EE6CBA4}"/>
    <cellStyle name="Normal 3 2" xfId="21" xr:uid="{20697CF4-A539-49B8-82B6-5F682B235D8A}"/>
    <cellStyle name="Normal 4" xfId="14" xr:uid="{E90E8A4B-91C7-488A-8E2A-FB2FF33DE47D}"/>
    <cellStyle name="Normal 4 2" xfId="49" xr:uid="{A2653CBE-22F3-4C94-B0CE-3C4FC68B2D25}"/>
    <cellStyle name="Normal 4 3" xfId="27" xr:uid="{52E7F9FE-E4A6-4684-9995-B3717849523C}"/>
    <cellStyle name="Normal 4 4" xfId="48" xr:uid="{C1D07383-E854-4ED6-881C-CEDAD2A1B895}"/>
    <cellStyle name="Normal 5" xfId="24" xr:uid="{D9BFA4EF-33DF-4FEC-9E12-C23A98CA1EE2}"/>
    <cellStyle name="Normal 6" xfId="23" xr:uid="{66BFA14F-8B7F-4774-B2F1-3FEA8119C865}"/>
    <cellStyle name="Normal 7" xfId="25" xr:uid="{2E7BB2C6-389F-4DA5-A614-8F333D07D51E}"/>
    <cellStyle name="Normal 8" xfId="38" xr:uid="{67822805-77E1-4907-BB1A-8E5EAACC24F0}"/>
    <cellStyle name="Normal 8 2" xfId="50" xr:uid="{B5675E73-B240-4270-B520-A128B2BBA43A}"/>
    <cellStyle name="Normal 9" xfId="40" xr:uid="{5302B41B-1498-4F03-A0CE-529B1A8ABDA1}"/>
    <cellStyle name="Normal 9 2" xfId="51" xr:uid="{697A3251-3C3A-4FA3-90B7-5E44ED5E7B65}"/>
    <cellStyle name="Normale_B2020" xfId="52" xr:uid="{A821FF25-1A85-4135-9E89-CEA9F3122C80}"/>
    <cellStyle name="Percent 2" xfId="15" xr:uid="{B13A1CED-E3A9-45FC-8569-C28703C25B33}"/>
    <cellStyle name="Percent 2 2" xfId="19" xr:uid="{E7C60B40-4787-4F06-A8E4-EF034E28ADE0}"/>
    <cellStyle name="Percent 2 3" xfId="26" xr:uid="{3E192555-0DFE-4839-B46E-7E5CB3AF0797}"/>
    <cellStyle name="Percent 2 4" xfId="53" xr:uid="{2CB4945C-DBD2-4554-960B-8DBE2D342AEE}"/>
    <cellStyle name="Percent 3" xfId="10" xr:uid="{ED4DBFE9-7B96-4272-8A18-84BC8FF5092A}"/>
    <cellStyle name="Percent 3 2" xfId="54" xr:uid="{5BF1F750-88FF-47D3-943A-E9609F8E347B}"/>
    <cellStyle name="Percent 3 3" xfId="55" xr:uid="{9A9735BD-CE95-4FBF-824E-4309D90490B9}"/>
    <cellStyle name="Percent 4" xfId="39" xr:uid="{CEDCBC0F-F4A1-4143-AE71-AACB96DB1CE8}"/>
    <cellStyle name="Percent 4 2" xfId="57" xr:uid="{408F5313-7ACE-4AE3-A54C-CD3A46221634}"/>
    <cellStyle name="Percent 4 3" xfId="58" xr:uid="{BD7BA922-4240-4CA4-9C24-DA837EFB5D8B}"/>
    <cellStyle name="Percent 4 4" xfId="56" xr:uid="{A2004E70-8377-4220-9205-A33414C09F32}"/>
    <cellStyle name="Percent 5" xfId="41" xr:uid="{6096F464-BA62-417E-97A0-BF7FC0482469}"/>
    <cellStyle name="Percent 5 2" xfId="59" xr:uid="{3B00CDBB-A0BC-415F-8F73-7CF56F6636BE}"/>
    <cellStyle name="Percent 6" xfId="60" xr:uid="{4E741128-C111-4B26-A56F-61DB9FA01AC9}"/>
    <cellStyle name="Percent 7" xfId="63" xr:uid="{1C887190-75CC-4DA0-A43B-966B310E9DF9}"/>
    <cellStyle name="Percent 8" xfId="36" xr:uid="{7C2FDCB9-DFD0-48A4-A32A-2493EADAE27D}"/>
    <cellStyle name="Standard_Sce_D_Extraction" xfId="61" xr:uid="{9DC03292-2D20-47E2-A7C6-2E0EE21595C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A6F7935-F363-4E97-A553-FB270B5101D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35</xdr:row>
      <xdr:rowOff>114300</xdr:rowOff>
    </xdr:from>
    <xdr:to>
      <xdr:col>3</xdr:col>
      <xdr:colOff>688975</xdr:colOff>
      <xdr:row>36</xdr:row>
      <xdr:rowOff>168275</xdr:rowOff>
    </xdr:to>
    <xdr:sp macro="" textlink="">
      <xdr:nvSpPr>
        <xdr:cNvPr id="2" name="cmdTechNameAndDesc" hidden="1">
          <a:extLst>
            <a:ext uri="{63B3BB69-23CF-44E3-9099-C40C66FF867C}">
              <a14:compatExt xmlns:a14="http://schemas.microsoft.com/office/drawing/2010/main" spid="_x0000_s259086"/>
            </a:ext>
            <a:ext uri="{FF2B5EF4-FFF2-40B4-BE49-F238E27FC236}">
              <a16:creationId xmlns:a16="http://schemas.microsoft.com/office/drawing/2014/main" id="{76124BD2-5CF7-42E4-BE23-80D3907A714E}"/>
            </a:ext>
          </a:extLst>
        </xdr:cNvPr>
        <xdr:cNvSpPr/>
      </xdr:nvSpPr>
      <xdr:spPr bwMode="auto">
        <a:xfrm>
          <a:off x="819150" y="257175"/>
          <a:ext cx="1870075" cy="244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</xdr:row>
      <xdr:rowOff>114300</xdr:rowOff>
    </xdr:from>
    <xdr:to>
      <xdr:col>5</xdr:col>
      <xdr:colOff>12700</xdr:colOff>
      <xdr:row>36</xdr:row>
      <xdr:rowOff>168275</xdr:rowOff>
    </xdr:to>
    <xdr:sp macro="" textlink="">
      <xdr:nvSpPr>
        <xdr:cNvPr id="3" name="cmdCommIN" hidden="1">
          <a:extLst>
            <a:ext uri="{63B3BB69-23CF-44E3-9099-C40C66FF867C}">
              <a14:compatExt xmlns:a14="http://schemas.microsoft.com/office/drawing/2010/main" spid="_x0000_s259087"/>
            </a:ext>
            <a:ext uri="{FF2B5EF4-FFF2-40B4-BE49-F238E27FC236}">
              <a16:creationId xmlns:a16="http://schemas.microsoft.com/office/drawing/2014/main" id="{70116745-2429-4F54-8DD6-ECBAB35FC35C}"/>
            </a:ext>
          </a:extLst>
        </xdr:cNvPr>
        <xdr:cNvSpPr/>
      </xdr:nvSpPr>
      <xdr:spPr bwMode="auto">
        <a:xfrm>
          <a:off x="4248150" y="257175"/>
          <a:ext cx="622300" cy="244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114300</xdr:rowOff>
    </xdr:from>
    <xdr:to>
      <xdr:col>5</xdr:col>
      <xdr:colOff>622300</xdr:colOff>
      <xdr:row>36</xdr:row>
      <xdr:rowOff>168275</xdr:rowOff>
    </xdr:to>
    <xdr:sp macro="" textlink="">
      <xdr:nvSpPr>
        <xdr:cNvPr id="4" name="cmdCommOUT" hidden="1">
          <a:extLst>
            <a:ext uri="{63B3BB69-23CF-44E3-9099-C40C66FF867C}">
              <a14:compatExt xmlns:a14="http://schemas.microsoft.com/office/drawing/2010/main" spid="_x0000_s259088"/>
            </a:ext>
            <a:ext uri="{FF2B5EF4-FFF2-40B4-BE49-F238E27FC236}">
              <a16:creationId xmlns:a16="http://schemas.microsoft.com/office/drawing/2014/main" id="{700E2F82-1594-4AEB-BE25-53DCAE9FC021}"/>
            </a:ext>
          </a:extLst>
        </xdr:cNvPr>
        <xdr:cNvSpPr/>
      </xdr:nvSpPr>
      <xdr:spPr bwMode="auto">
        <a:xfrm>
          <a:off x="5067300" y="257175"/>
          <a:ext cx="622300" cy="244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12700</xdr:colOff>
      <xdr:row>36</xdr:row>
      <xdr:rowOff>190500</xdr:rowOff>
    </xdr:from>
    <xdr:to>
      <xdr:col>2</xdr:col>
      <xdr:colOff>210236</xdr:colOff>
      <xdr:row>38</xdr:row>
      <xdr:rowOff>58349</xdr:rowOff>
    </xdr:to>
    <xdr:sp macro="" textlink="">
      <xdr:nvSpPr>
        <xdr:cNvPr id="5" name="cmdAddParameter" hidden="1">
          <a:extLst>
            <a:ext uri="{63B3BB69-23CF-44E3-9099-C40C66FF867C}">
              <a14:compatExt xmlns:a14="http://schemas.microsoft.com/office/drawing/2010/main" spid="_x0000_s259089"/>
            </a:ext>
            <a:ext uri="{FF2B5EF4-FFF2-40B4-BE49-F238E27FC236}">
              <a16:creationId xmlns:a16="http://schemas.microsoft.com/office/drawing/2014/main" id="{D0E61A7C-FD4B-4E8F-8362-2B04A9A45E62}"/>
            </a:ext>
          </a:extLst>
        </xdr:cNvPr>
        <xdr:cNvSpPr/>
      </xdr:nvSpPr>
      <xdr:spPr bwMode="auto">
        <a:xfrm>
          <a:off x="12700" y="476250"/>
          <a:ext cx="807136" cy="248849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12700</xdr:colOff>
      <xdr:row>37</xdr:row>
      <xdr:rowOff>177800</xdr:rowOff>
    </xdr:from>
    <xdr:to>
      <xdr:col>2</xdr:col>
      <xdr:colOff>210236</xdr:colOff>
      <xdr:row>39</xdr:row>
      <xdr:rowOff>34925</xdr:rowOff>
    </xdr:to>
    <xdr:sp macro="" textlink="">
      <xdr:nvSpPr>
        <xdr:cNvPr id="6" name="cmdAddParamQualifier1" hidden="1">
          <a:extLst>
            <a:ext uri="{63B3BB69-23CF-44E3-9099-C40C66FF867C}">
              <a14:compatExt xmlns:a14="http://schemas.microsoft.com/office/drawing/2010/main" spid="_x0000_s259090"/>
            </a:ext>
            <a:ext uri="{FF2B5EF4-FFF2-40B4-BE49-F238E27FC236}">
              <a16:creationId xmlns:a16="http://schemas.microsoft.com/office/drawing/2014/main" id="{75394607-011A-4D07-9D3F-DF09F665FA38}"/>
            </a:ext>
          </a:extLst>
        </xdr:cNvPr>
        <xdr:cNvSpPr/>
      </xdr:nvSpPr>
      <xdr:spPr bwMode="auto">
        <a:xfrm>
          <a:off x="12700" y="901700"/>
          <a:ext cx="807136" cy="2381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12700</xdr:colOff>
      <xdr:row>35</xdr:row>
      <xdr:rowOff>114300</xdr:rowOff>
    </xdr:from>
    <xdr:to>
      <xdr:col>2</xdr:col>
      <xdr:colOff>210236</xdr:colOff>
      <xdr:row>36</xdr:row>
      <xdr:rowOff>168275</xdr:rowOff>
    </xdr:to>
    <xdr:sp macro="" textlink="">
      <xdr:nvSpPr>
        <xdr:cNvPr id="7" name="cmdCheckTechDataSheet" hidden="1">
          <a:extLst>
            <a:ext uri="{63B3BB69-23CF-44E3-9099-C40C66FF867C}">
              <a14:compatExt xmlns:a14="http://schemas.microsoft.com/office/drawing/2010/main" spid="_x0000_s259091"/>
            </a:ext>
            <a:ext uri="{FF2B5EF4-FFF2-40B4-BE49-F238E27FC236}">
              <a16:creationId xmlns:a16="http://schemas.microsoft.com/office/drawing/2014/main" id="{45DE85BB-30D8-4426-A30F-96C0EF96BD09}"/>
            </a:ext>
          </a:extLst>
        </xdr:cNvPr>
        <xdr:cNvSpPr/>
      </xdr:nvSpPr>
      <xdr:spPr bwMode="auto">
        <a:xfrm>
          <a:off x="12700" y="257175"/>
          <a:ext cx="807136" cy="244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12700</xdr:colOff>
      <xdr:row>39</xdr:row>
      <xdr:rowOff>25400</xdr:rowOff>
    </xdr:from>
    <xdr:to>
      <xdr:col>2</xdr:col>
      <xdr:colOff>210236</xdr:colOff>
      <xdr:row>40</xdr:row>
      <xdr:rowOff>66675</xdr:rowOff>
    </xdr:to>
    <xdr:sp macro="" textlink="">
      <xdr:nvSpPr>
        <xdr:cNvPr id="8" name="cmdAddParamQualifier2" hidden="1">
          <a:extLst>
            <a:ext uri="{63B3BB69-23CF-44E3-9099-C40C66FF867C}">
              <a14:compatExt xmlns:a14="http://schemas.microsoft.com/office/drawing/2010/main" spid="_x0000_s259092"/>
            </a:ext>
            <a:ext uri="{FF2B5EF4-FFF2-40B4-BE49-F238E27FC236}">
              <a16:creationId xmlns:a16="http://schemas.microsoft.com/office/drawing/2014/main" id="{83D563DC-3690-4932-8137-DBEBD310EB60}"/>
            </a:ext>
          </a:extLst>
        </xdr:cNvPr>
        <xdr:cNvSpPr/>
      </xdr:nvSpPr>
      <xdr:spPr bwMode="auto">
        <a:xfrm>
          <a:off x="12700" y="1235075"/>
          <a:ext cx="807136" cy="2317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71</xdr:row>
      <xdr:rowOff>114300</xdr:rowOff>
    </xdr:from>
    <xdr:to>
      <xdr:col>3</xdr:col>
      <xdr:colOff>688975</xdr:colOff>
      <xdr:row>72</xdr:row>
      <xdr:rowOff>168275</xdr:rowOff>
    </xdr:to>
    <xdr:sp macro="" textlink="">
      <xdr:nvSpPr>
        <xdr:cNvPr id="9" name="cmdTechNameAndDesc" hidden="1">
          <a:extLst>
            <a:ext uri="{63B3BB69-23CF-44E3-9099-C40C66FF867C}">
              <a14:compatExt xmlns:a14="http://schemas.microsoft.com/office/drawing/2010/main" spid="_x0000_s260128"/>
            </a:ext>
            <a:ext uri="{FF2B5EF4-FFF2-40B4-BE49-F238E27FC236}">
              <a16:creationId xmlns:a16="http://schemas.microsoft.com/office/drawing/2014/main" id="{3B742C44-7C9F-49B3-AEA9-9252AFE70E8C}"/>
            </a:ext>
          </a:extLst>
        </xdr:cNvPr>
        <xdr:cNvSpPr/>
      </xdr:nvSpPr>
      <xdr:spPr bwMode="auto">
        <a:xfrm>
          <a:off x="819150" y="257175"/>
          <a:ext cx="1870075" cy="244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71</xdr:row>
      <xdr:rowOff>114300</xdr:rowOff>
    </xdr:from>
    <xdr:to>
      <xdr:col>5</xdr:col>
      <xdr:colOff>12700</xdr:colOff>
      <xdr:row>72</xdr:row>
      <xdr:rowOff>168275</xdr:rowOff>
    </xdr:to>
    <xdr:sp macro="" textlink="">
      <xdr:nvSpPr>
        <xdr:cNvPr id="10" name="cmdCommIN" hidden="1">
          <a:extLst>
            <a:ext uri="{63B3BB69-23CF-44E3-9099-C40C66FF867C}">
              <a14:compatExt xmlns:a14="http://schemas.microsoft.com/office/drawing/2010/main" spid="_x0000_s260129"/>
            </a:ext>
            <a:ext uri="{FF2B5EF4-FFF2-40B4-BE49-F238E27FC236}">
              <a16:creationId xmlns:a16="http://schemas.microsoft.com/office/drawing/2014/main" id="{AD14567E-5C5C-4B6D-9142-FA3334B70967}"/>
            </a:ext>
          </a:extLst>
        </xdr:cNvPr>
        <xdr:cNvSpPr/>
      </xdr:nvSpPr>
      <xdr:spPr bwMode="auto">
        <a:xfrm>
          <a:off x="2409825" y="257175"/>
          <a:ext cx="622300" cy="244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71</xdr:row>
      <xdr:rowOff>114300</xdr:rowOff>
    </xdr:from>
    <xdr:to>
      <xdr:col>5</xdr:col>
      <xdr:colOff>622300</xdr:colOff>
      <xdr:row>72</xdr:row>
      <xdr:rowOff>168275</xdr:rowOff>
    </xdr:to>
    <xdr:sp macro="" textlink="">
      <xdr:nvSpPr>
        <xdr:cNvPr id="11" name="cmdCommOUT" hidden="1">
          <a:extLst>
            <a:ext uri="{63B3BB69-23CF-44E3-9099-C40C66FF867C}">
              <a14:compatExt xmlns:a14="http://schemas.microsoft.com/office/drawing/2010/main" spid="_x0000_s260130"/>
            </a:ext>
            <a:ext uri="{FF2B5EF4-FFF2-40B4-BE49-F238E27FC236}">
              <a16:creationId xmlns:a16="http://schemas.microsoft.com/office/drawing/2014/main" id="{5CC3A77F-5CE9-425B-8D8D-DC06E54298C1}"/>
            </a:ext>
          </a:extLst>
        </xdr:cNvPr>
        <xdr:cNvSpPr/>
      </xdr:nvSpPr>
      <xdr:spPr bwMode="auto">
        <a:xfrm>
          <a:off x="3228975" y="257175"/>
          <a:ext cx="622300" cy="244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_Veda\SuppXLS\Scen_ELC_EAF_REFIT.xlsx" TargetMode="External"/><Relationship Id="rId1" Type="http://schemas.openxmlformats.org/officeDocument/2006/relationships/externalLinkPath" Target="/Models/SATIMGE_Veda/SuppXLS/Scen_ELC_EAF_REF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e REFIT"/>
      <sheetName val="Define RCAP_BND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y.gov.za/irp/irp-update-draft-report2018/epri-report-2017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576C-FDCA-49CF-8EEC-F47FF8AAA393}">
  <sheetPr>
    <tabColor theme="9"/>
  </sheetPr>
  <dimension ref="A1:O33"/>
  <sheetViews>
    <sheetView zoomScale="115" zoomScaleNormal="115" workbookViewId="0">
      <selection activeCell="H46" sqref="H46"/>
    </sheetView>
  </sheetViews>
  <sheetFormatPr defaultRowHeight="15" x14ac:dyDescent="0.25"/>
  <cols>
    <col min="3" max="3" width="14.7109375" customWidth="1"/>
    <col min="4" max="4" width="16.5703125" customWidth="1"/>
    <col min="5" max="5" width="20.42578125" customWidth="1"/>
    <col min="7" max="7" width="13" customWidth="1"/>
    <col min="11" max="11" width="10.85546875" customWidth="1"/>
    <col min="12" max="12" width="10.5703125" customWidth="1"/>
    <col min="13" max="13" width="11.140625" customWidth="1"/>
    <col min="14" max="14" width="14.42578125" customWidth="1"/>
  </cols>
  <sheetData>
    <row r="1" spans="1:15" x14ac:dyDescent="0.25">
      <c r="N1" t="s">
        <v>147</v>
      </c>
    </row>
    <row r="2" spans="1:15" x14ac:dyDescent="0.25">
      <c r="A2" s="26" t="s">
        <v>52</v>
      </c>
    </row>
    <row r="3" spans="1:15" x14ac:dyDescent="0.25">
      <c r="C3" s="2"/>
      <c r="D3" s="22" t="s">
        <v>42</v>
      </c>
      <c r="E3" s="23"/>
      <c r="F3" s="23"/>
      <c r="G3" s="23"/>
      <c r="H3" s="23"/>
      <c r="I3" s="23"/>
      <c r="J3" s="23"/>
      <c r="N3" s="39" t="s">
        <v>27</v>
      </c>
      <c r="O3" s="39" t="s">
        <v>28</v>
      </c>
    </row>
    <row r="4" spans="1:15" x14ac:dyDescent="0.25">
      <c r="C4" s="2"/>
      <c r="D4" s="24" t="s">
        <v>27</v>
      </c>
      <c r="E4" s="24" t="s">
        <v>28</v>
      </c>
      <c r="F4" s="24" t="s">
        <v>43</v>
      </c>
      <c r="G4" s="24" t="s">
        <v>44</v>
      </c>
      <c r="H4" s="24" t="s">
        <v>45</v>
      </c>
      <c r="I4" s="24" t="s">
        <v>46</v>
      </c>
      <c r="J4" s="24" t="s">
        <v>47</v>
      </c>
      <c r="N4" s="37"/>
      <c r="O4" s="37"/>
    </row>
    <row r="5" spans="1:15" x14ac:dyDescent="0.25">
      <c r="C5" s="11"/>
      <c r="D5" s="2" t="str">
        <f t="shared" ref="D5:D20" si="0">N5&amp;"-REAF"</f>
        <v>ETCLECAMD-E-REAF</v>
      </c>
      <c r="E5" s="2" t="str">
        <f t="shared" ref="E5:E20" si="1">O5&amp;" with EAF retrofit"</f>
        <v>CAMDEN with EAF retrofit</v>
      </c>
      <c r="F5" t="s">
        <v>48</v>
      </c>
      <c r="G5" t="s">
        <v>49</v>
      </c>
      <c r="H5" s="2" t="s">
        <v>26</v>
      </c>
      <c r="I5" s="2" t="s">
        <v>50</v>
      </c>
      <c r="J5" s="2" t="s">
        <v>51</v>
      </c>
      <c r="N5" s="35" t="s">
        <v>105</v>
      </c>
      <c r="O5" s="34" t="s">
        <v>104</v>
      </c>
    </row>
    <row r="6" spans="1:15" x14ac:dyDescent="0.25">
      <c r="C6" s="25"/>
      <c r="D6" s="2" t="str">
        <f t="shared" si="0"/>
        <v>ETCLEGROO-E-REAF</v>
      </c>
      <c r="E6" s="2" t="str">
        <f t="shared" si="1"/>
        <v>GROOTVLEI with EAF retrofit</v>
      </c>
      <c r="F6" t="s">
        <v>48</v>
      </c>
      <c r="G6" t="s">
        <v>49</v>
      </c>
      <c r="H6" s="2" t="s">
        <v>26</v>
      </c>
      <c r="I6" s="2" t="s">
        <v>50</v>
      </c>
      <c r="J6" s="2" t="s">
        <v>51</v>
      </c>
      <c r="N6" s="35" t="s">
        <v>102</v>
      </c>
      <c r="O6" s="34" t="s">
        <v>101</v>
      </c>
    </row>
    <row r="7" spans="1:15" x14ac:dyDescent="0.25">
      <c r="C7" s="25"/>
      <c r="D7" s="2" t="str">
        <f t="shared" si="0"/>
        <v>ETCLEKOMA-E-REAF</v>
      </c>
      <c r="E7" s="2" t="str">
        <f t="shared" si="1"/>
        <v>KOMATI with EAF retrofit</v>
      </c>
      <c r="F7" t="s">
        <v>48</v>
      </c>
      <c r="G7" t="s">
        <v>49</v>
      </c>
      <c r="H7" s="2" t="s">
        <v>26</v>
      </c>
      <c r="I7" s="2" t="s">
        <v>50</v>
      </c>
      <c r="J7" s="2" t="s">
        <v>51</v>
      </c>
      <c r="N7" s="35" t="s">
        <v>99</v>
      </c>
      <c r="O7" s="34" t="s">
        <v>98</v>
      </c>
    </row>
    <row r="8" spans="1:15" x14ac:dyDescent="0.25">
      <c r="C8" s="25"/>
      <c r="D8" s="2" t="str">
        <f t="shared" si="0"/>
        <v>ETCLEARNO-E-REAF</v>
      </c>
      <c r="E8" s="2" t="str">
        <f t="shared" si="1"/>
        <v>ARNOT with EAF retrofit</v>
      </c>
      <c r="F8" t="s">
        <v>48</v>
      </c>
      <c r="G8" t="s">
        <v>49</v>
      </c>
      <c r="H8" s="2" t="s">
        <v>26</v>
      </c>
      <c r="I8" s="2" t="s">
        <v>50</v>
      </c>
      <c r="J8" s="2" t="s">
        <v>51</v>
      </c>
      <c r="N8" s="35" t="s">
        <v>96</v>
      </c>
      <c r="O8" s="34" t="s">
        <v>95</v>
      </c>
    </row>
    <row r="9" spans="1:15" x14ac:dyDescent="0.25">
      <c r="C9" s="25"/>
      <c r="D9" s="2" t="str">
        <f t="shared" si="0"/>
        <v>ETCLEDUVH-E-REAF</v>
      </c>
      <c r="E9" s="2" t="str">
        <f t="shared" si="1"/>
        <v>DUVHA with EAF retrofit</v>
      </c>
      <c r="F9" t="s">
        <v>48</v>
      </c>
      <c r="G9" t="s">
        <v>49</v>
      </c>
      <c r="H9" s="2" t="s">
        <v>26</v>
      </c>
      <c r="I9" s="2" t="s">
        <v>50</v>
      </c>
      <c r="J9" s="2" t="s">
        <v>51</v>
      </c>
      <c r="N9" s="35" t="s">
        <v>93</v>
      </c>
      <c r="O9" s="34" t="s">
        <v>92</v>
      </c>
    </row>
    <row r="10" spans="1:15" x14ac:dyDescent="0.25">
      <c r="D10" s="2" t="str">
        <f t="shared" si="0"/>
        <v>ETCLEHEND-E-REAF</v>
      </c>
      <c r="E10" s="2" t="str">
        <f t="shared" si="1"/>
        <v>HENDRINA with EAF retrofit</v>
      </c>
      <c r="F10" t="s">
        <v>48</v>
      </c>
      <c r="G10" t="s">
        <v>49</v>
      </c>
      <c r="H10" s="2" t="s">
        <v>26</v>
      </c>
      <c r="I10" s="2" t="s">
        <v>50</v>
      </c>
      <c r="J10" s="2" t="s">
        <v>51</v>
      </c>
      <c r="N10" s="35" t="s">
        <v>90</v>
      </c>
      <c r="O10" s="34" t="s">
        <v>89</v>
      </c>
    </row>
    <row r="11" spans="1:15" x14ac:dyDescent="0.25">
      <c r="D11" s="2" t="str">
        <f t="shared" si="0"/>
        <v>ETCLEKEND-E-REAF</v>
      </c>
      <c r="E11" s="2" t="str">
        <f t="shared" si="1"/>
        <v>KENDAL with EAF retrofit</v>
      </c>
      <c r="F11" t="s">
        <v>48</v>
      </c>
      <c r="G11" t="s">
        <v>49</v>
      </c>
      <c r="H11" s="2" t="s">
        <v>26</v>
      </c>
      <c r="I11" s="2" t="s">
        <v>50</v>
      </c>
      <c r="J11" s="2" t="s">
        <v>51</v>
      </c>
      <c r="N11" s="35" t="s">
        <v>87</v>
      </c>
      <c r="O11" s="34" t="s">
        <v>86</v>
      </c>
    </row>
    <row r="12" spans="1:15" x14ac:dyDescent="0.25">
      <c r="D12" s="2" t="str">
        <f t="shared" si="0"/>
        <v>ETCLEKRIE-E-REAF</v>
      </c>
      <c r="E12" s="2" t="str">
        <f t="shared" si="1"/>
        <v>KRIEL with EAF retrofit</v>
      </c>
      <c r="F12" t="s">
        <v>48</v>
      </c>
      <c r="G12" t="s">
        <v>49</v>
      </c>
      <c r="H12" s="2" t="s">
        <v>26</v>
      </c>
      <c r="I12" s="2" t="s">
        <v>50</v>
      </c>
      <c r="J12" s="2" t="s">
        <v>51</v>
      </c>
      <c r="N12" s="35" t="s">
        <v>84</v>
      </c>
      <c r="O12" s="34" t="s">
        <v>83</v>
      </c>
    </row>
    <row r="13" spans="1:15" x14ac:dyDescent="0.25">
      <c r="D13" s="2" t="str">
        <f t="shared" si="0"/>
        <v>ETCLELETH-E-REAF</v>
      </c>
      <c r="E13" s="2" t="str">
        <f t="shared" si="1"/>
        <v>LETHABO with EAF retrofit</v>
      </c>
      <c r="F13" t="s">
        <v>48</v>
      </c>
      <c r="G13" t="s">
        <v>49</v>
      </c>
      <c r="H13" s="2" t="s">
        <v>26</v>
      </c>
      <c r="I13" s="2" t="s">
        <v>50</v>
      </c>
      <c r="J13" s="2" t="s">
        <v>51</v>
      </c>
      <c r="N13" s="35" t="s">
        <v>81</v>
      </c>
      <c r="O13" s="34" t="s">
        <v>80</v>
      </c>
    </row>
    <row r="14" spans="1:15" x14ac:dyDescent="0.25">
      <c r="D14" s="2" t="str">
        <f t="shared" si="0"/>
        <v>ETCLEMAJD-E-REAF</v>
      </c>
      <c r="E14" s="2" t="str">
        <f t="shared" si="1"/>
        <v>MAJUBA DRY with EAF retrofit</v>
      </c>
      <c r="F14" t="s">
        <v>48</v>
      </c>
      <c r="G14" t="s">
        <v>49</v>
      </c>
      <c r="H14" s="2" t="s">
        <v>26</v>
      </c>
      <c r="I14" s="2" t="s">
        <v>50</v>
      </c>
      <c r="J14" s="2" t="s">
        <v>51</v>
      </c>
      <c r="N14" s="35" t="s">
        <v>78</v>
      </c>
      <c r="O14" s="34" t="s">
        <v>77</v>
      </c>
    </row>
    <row r="15" spans="1:15" x14ac:dyDescent="0.25">
      <c r="D15" s="2" t="str">
        <f t="shared" si="0"/>
        <v>ETCLEMAJW-E-REAF</v>
      </c>
      <c r="E15" s="2" t="str">
        <f t="shared" si="1"/>
        <v>MAJUBA WET with EAF retrofit</v>
      </c>
      <c r="F15" t="s">
        <v>48</v>
      </c>
      <c r="G15" t="s">
        <v>49</v>
      </c>
      <c r="H15" s="2" t="s">
        <v>26</v>
      </c>
      <c r="I15" s="2" t="s">
        <v>50</v>
      </c>
      <c r="J15" s="2" t="s">
        <v>51</v>
      </c>
      <c r="N15" s="35" t="s">
        <v>76</v>
      </c>
      <c r="O15" s="34" t="s">
        <v>75</v>
      </c>
    </row>
    <row r="16" spans="1:15" x14ac:dyDescent="0.25">
      <c r="D16" s="2" t="str">
        <f t="shared" si="0"/>
        <v>ETCLEMATI-E-REAF</v>
      </c>
      <c r="E16" s="2" t="str">
        <f t="shared" si="1"/>
        <v>MATIMBA with EAF retrofit</v>
      </c>
      <c r="F16" t="s">
        <v>48</v>
      </c>
      <c r="G16" t="s">
        <v>49</v>
      </c>
      <c r="H16" s="2" t="s">
        <v>26</v>
      </c>
      <c r="I16" s="2" t="s">
        <v>50</v>
      </c>
      <c r="J16" s="2" t="s">
        <v>51</v>
      </c>
      <c r="N16" s="35" t="s">
        <v>73</v>
      </c>
      <c r="O16" s="34" t="s">
        <v>72</v>
      </c>
    </row>
    <row r="17" spans="1:15" x14ac:dyDescent="0.25">
      <c r="D17" s="2" t="str">
        <f t="shared" si="0"/>
        <v>ETCLEMATL-E-REAF</v>
      </c>
      <c r="E17" s="2" t="str">
        <f t="shared" si="1"/>
        <v>MATLA with EAF retrofit</v>
      </c>
      <c r="F17" t="s">
        <v>48</v>
      </c>
      <c r="G17" t="s">
        <v>49</v>
      </c>
      <c r="H17" s="2" t="s">
        <v>26</v>
      </c>
      <c r="I17" s="2" t="s">
        <v>50</v>
      </c>
      <c r="J17" s="2" t="s">
        <v>51</v>
      </c>
      <c r="N17" s="35" t="s">
        <v>70</v>
      </c>
      <c r="O17" s="34" t="s">
        <v>69</v>
      </c>
    </row>
    <row r="18" spans="1:15" x14ac:dyDescent="0.25">
      <c r="D18" s="2" t="str">
        <f t="shared" si="0"/>
        <v>ETCLETUTU-E-REAF</v>
      </c>
      <c r="E18" s="2" t="str">
        <f t="shared" si="1"/>
        <v>TUTUKA with EAF retrofit</v>
      </c>
      <c r="F18" t="s">
        <v>48</v>
      </c>
      <c r="G18" t="s">
        <v>49</v>
      </c>
      <c r="H18" s="2" t="s">
        <v>26</v>
      </c>
      <c r="I18" s="2" t="s">
        <v>50</v>
      </c>
      <c r="J18" s="2" t="s">
        <v>51</v>
      </c>
      <c r="N18" s="35" t="s">
        <v>67</v>
      </c>
      <c r="O18" s="34" t="s">
        <v>66</v>
      </c>
    </row>
    <row r="19" spans="1:15" x14ac:dyDescent="0.25">
      <c r="D19" s="2" t="str">
        <f t="shared" si="0"/>
        <v>ETCLEMEDU-N-REAF</v>
      </c>
      <c r="E19" s="2" t="str">
        <f t="shared" si="1"/>
        <v>MEDUPI with EAF retrofit</v>
      </c>
      <c r="F19" t="s">
        <v>48</v>
      </c>
      <c r="G19" t="s">
        <v>49</v>
      </c>
      <c r="H19" s="2" t="s">
        <v>26</v>
      </c>
      <c r="I19" s="2" t="s">
        <v>50</v>
      </c>
      <c r="J19" s="2" t="s">
        <v>51</v>
      </c>
      <c r="N19" s="35" t="s">
        <v>64</v>
      </c>
      <c r="O19" s="34" t="s">
        <v>63</v>
      </c>
    </row>
    <row r="20" spans="1:15" x14ac:dyDescent="0.25">
      <c r="D20" s="2" t="str">
        <f t="shared" si="0"/>
        <v>ETCLEKUSI-N-REAF</v>
      </c>
      <c r="E20" s="2" t="str">
        <f t="shared" si="1"/>
        <v>KUSILE with EAF retrofit</v>
      </c>
      <c r="F20" t="s">
        <v>48</v>
      </c>
      <c r="G20" t="s">
        <v>49</v>
      </c>
      <c r="H20" s="2" t="s">
        <v>26</v>
      </c>
      <c r="I20" s="2" t="s">
        <v>50</v>
      </c>
      <c r="J20" s="2" t="s">
        <v>51</v>
      </c>
      <c r="N20" s="35" t="s">
        <v>61</v>
      </c>
      <c r="O20" s="34" t="s">
        <v>60</v>
      </c>
    </row>
    <row r="28" spans="1:15" x14ac:dyDescent="0.25">
      <c r="A28" s="26"/>
    </row>
    <row r="29" spans="1:15" x14ac:dyDescent="0.25">
      <c r="B29" s="26"/>
    </row>
    <row r="31" spans="1:15" x14ac:dyDescent="0.25">
      <c r="C31" s="2"/>
      <c r="D31" s="2"/>
      <c r="E31" s="2"/>
      <c r="F31" s="8"/>
    </row>
    <row r="32" spans="1:15" x14ac:dyDescent="0.25">
      <c r="C32" s="8"/>
      <c r="E32" s="27"/>
      <c r="F32" s="12"/>
      <c r="I32" s="1"/>
    </row>
    <row r="33" spans="3:5" x14ac:dyDescent="0.25">
      <c r="C33" s="2"/>
      <c r="D33" s="2"/>
      <c r="E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4876-54B1-4D11-B258-C009E973C74D}">
  <sheetPr>
    <tabColor theme="9"/>
  </sheetPr>
  <dimension ref="A3:AT82"/>
  <sheetViews>
    <sheetView zoomScale="85" zoomScaleNormal="85" workbookViewId="0">
      <selection activeCell="X25" sqref="X25"/>
    </sheetView>
  </sheetViews>
  <sheetFormatPr defaultRowHeight="15" x14ac:dyDescent="0.25"/>
  <cols>
    <col min="3" max="3" width="17.7109375" customWidth="1"/>
    <col min="4" max="4" width="17.140625" customWidth="1"/>
    <col min="6" max="6" width="13.7109375" customWidth="1"/>
    <col min="7" max="7" width="11.85546875" customWidth="1"/>
    <col min="10" max="10" width="11.140625" customWidth="1"/>
    <col min="12" max="12" width="13.140625" customWidth="1"/>
  </cols>
  <sheetData>
    <row r="3" spans="1:19" ht="21" x14ac:dyDescent="0.35">
      <c r="B3" s="28" t="s">
        <v>53</v>
      </c>
    </row>
    <row r="6" spans="1:19" ht="23.25" x14ac:dyDescent="0.25">
      <c r="B6" s="2"/>
      <c r="C6" s="2"/>
      <c r="D6" s="2"/>
      <c r="E6" s="2"/>
      <c r="F6" s="2"/>
      <c r="G6" s="3" t="s">
        <v>0</v>
      </c>
      <c r="H6" s="3" t="s">
        <v>1</v>
      </c>
      <c r="I6" s="3" t="s">
        <v>4</v>
      </c>
      <c r="J6" s="3" t="s">
        <v>5</v>
      </c>
      <c r="K6" s="2" t="s">
        <v>7</v>
      </c>
      <c r="L6" s="2" t="s">
        <v>8</v>
      </c>
      <c r="M6" s="2"/>
      <c r="N6" s="2"/>
      <c r="O6" s="2"/>
      <c r="P6" s="2"/>
      <c r="Q6" s="2"/>
      <c r="R6" s="2"/>
      <c r="S6" s="2"/>
    </row>
    <row r="7" spans="1:19" x14ac:dyDescent="0.25">
      <c r="B7" s="2"/>
      <c r="C7" s="2"/>
      <c r="D7" s="4"/>
      <c r="E7" s="4"/>
      <c r="F7" s="4"/>
      <c r="H7" s="5"/>
      <c r="I7" s="5"/>
      <c r="J7" s="5"/>
      <c r="K7" s="6"/>
      <c r="L7" s="6"/>
      <c r="M7" s="6"/>
      <c r="N7" s="6"/>
      <c r="O7" s="6"/>
      <c r="P7" s="6"/>
      <c r="Q7" s="6"/>
      <c r="R7" s="6"/>
      <c r="S7" s="6"/>
    </row>
    <row r="8" spans="1:19" x14ac:dyDescent="0.25">
      <c r="B8" s="2"/>
      <c r="C8" s="2"/>
      <c r="D8" s="2"/>
      <c r="E8" s="2"/>
      <c r="F8" s="2"/>
      <c r="H8" s="5"/>
      <c r="I8" s="2"/>
      <c r="J8" s="7"/>
      <c r="K8" s="5" t="s">
        <v>16</v>
      </c>
      <c r="L8" s="5" t="s">
        <v>17</v>
      </c>
      <c r="M8" s="5" t="s">
        <v>18</v>
      </c>
      <c r="N8" s="5" t="s">
        <v>19</v>
      </c>
      <c r="O8" s="5" t="s">
        <v>20</v>
      </c>
      <c r="P8" s="5" t="s">
        <v>21</v>
      </c>
      <c r="Q8" s="5" t="s">
        <v>22</v>
      </c>
      <c r="R8" s="5" t="s">
        <v>23</v>
      </c>
      <c r="S8" s="5" t="s">
        <v>24</v>
      </c>
    </row>
    <row r="9" spans="1:19" x14ac:dyDescent="0.25">
      <c r="C9" s="2" t="s">
        <v>25</v>
      </c>
      <c r="D9" s="2"/>
      <c r="F9" s="2"/>
      <c r="H9" s="5"/>
      <c r="I9" s="2"/>
      <c r="J9" s="7"/>
      <c r="K9" s="5"/>
      <c r="L9" s="5"/>
      <c r="M9" s="5"/>
      <c r="N9" s="5"/>
      <c r="O9" s="5"/>
      <c r="P9" s="5"/>
      <c r="Q9" s="5"/>
      <c r="R9" s="5"/>
      <c r="S9" s="5"/>
    </row>
    <row r="10" spans="1:19" ht="23.25" x14ac:dyDescent="0.25">
      <c r="C10" s="8" t="s">
        <v>27</v>
      </c>
      <c r="D10" s="8" t="s">
        <v>29</v>
      </c>
      <c r="E10" s="8" t="s">
        <v>30</v>
      </c>
      <c r="F10" s="9" t="s">
        <v>31</v>
      </c>
      <c r="G10" s="3" t="s">
        <v>32</v>
      </c>
      <c r="H10" s="3" t="s">
        <v>9</v>
      </c>
      <c r="I10" s="3" t="s">
        <v>12</v>
      </c>
      <c r="J10" s="3" t="s">
        <v>13</v>
      </c>
      <c r="K10" s="2" t="s">
        <v>58</v>
      </c>
      <c r="L10" s="10" t="s">
        <v>33</v>
      </c>
      <c r="M10" s="10" t="s">
        <v>34</v>
      </c>
      <c r="N10" s="10" t="s">
        <v>35</v>
      </c>
      <c r="O10" s="10" t="s">
        <v>36</v>
      </c>
      <c r="P10" s="10" t="s">
        <v>37</v>
      </c>
      <c r="Q10" s="10" t="s">
        <v>38</v>
      </c>
      <c r="R10" s="10" t="s">
        <v>39</v>
      </c>
      <c r="S10" s="10" t="s">
        <v>40</v>
      </c>
    </row>
    <row r="11" spans="1:19" x14ac:dyDescent="0.25">
      <c r="A11" t="str">
        <f>'Define names'!O5</f>
        <v>CAMDEN</v>
      </c>
      <c r="C11" s="2" t="str">
        <f>'Define names'!D5</f>
        <v>ETCLECAMD-E-REAF</v>
      </c>
      <c r="D11" t="str">
        <f t="shared" ref="D11:J24" si="0">INDEX($E$43:$AT$64,MATCH($A11,$D$43:$D$64,0),MATCH(D$10,$E$41:$AT$41,0))</f>
        <v>PWRCLECAMD</v>
      </c>
      <c r="E11" t="str">
        <f t="shared" si="0"/>
        <v>ELCC</v>
      </c>
      <c r="F11" t="str">
        <f t="shared" si="0"/>
        <v>PWRCLECAMD</v>
      </c>
      <c r="G11">
        <f t="shared" si="0"/>
        <v>0.2805027762784329</v>
      </c>
      <c r="H11">
        <f t="shared" si="0"/>
        <v>13.031476138327839</v>
      </c>
      <c r="I11">
        <f t="shared" si="0"/>
        <v>30</v>
      </c>
      <c r="J11">
        <f t="shared" si="0"/>
        <v>31.536000000000001</v>
      </c>
      <c r="K11">
        <f t="shared" ref="K11:K24" si="1">AL43</f>
        <v>277.77800000000002</v>
      </c>
      <c r="L11">
        <f t="shared" ref="L11:L24" si="2">AM43</f>
        <v>96.25</v>
      </c>
      <c r="M11">
        <f t="shared" ref="M11:M24" si="3">AN43</f>
        <v>1E-3</v>
      </c>
      <c r="N11">
        <f t="shared" ref="N11:N24" si="4">AO43</f>
        <v>1.5E-3</v>
      </c>
      <c r="O11">
        <f t="shared" ref="O11:O24" si="5">AP43</f>
        <v>0.8675671912423536</v>
      </c>
      <c r="P11">
        <f t="shared" ref="P11:P24" si="6">AQ43</f>
        <v>0.41576701555456169</v>
      </c>
      <c r="Q11">
        <f t="shared" ref="Q11:Q24" si="7">AR43</f>
        <v>0.02</v>
      </c>
      <c r="R11">
        <f t="shared" ref="R11:R24" si="8">AS43</f>
        <v>5.0000000000000001E-3</v>
      </c>
      <c r="S11">
        <f t="shared" ref="S11:S24" si="9">AT43</f>
        <v>4.5769644752755773E-2</v>
      </c>
    </row>
    <row r="12" spans="1:19" x14ac:dyDescent="0.25">
      <c r="A12" t="str">
        <f>'Define names'!O6</f>
        <v>GROOTVLEI</v>
      </c>
      <c r="C12" s="2" t="str">
        <f>'Define names'!D6</f>
        <v>ETCLEGROO-E-REAF</v>
      </c>
      <c r="D12" t="str">
        <f t="shared" si="0"/>
        <v>PWRCLEGROO</v>
      </c>
      <c r="E12" t="str">
        <f t="shared" si="0"/>
        <v>ELCC</v>
      </c>
      <c r="F12" t="str">
        <f t="shared" si="0"/>
        <v>PWRCLEGROO</v>
      </c>
      <c r="G12">
        <f t="shared" si="0"/>
        <v>0.25956842465744412</v>
      </c>
      <c r="H12">
        <f t="shared" si="0"/>
        <v>13.031476138327839</v>
      </c>
      <c r="I12">
        <f t="shared" si="0"/>
        <v>30</v>
      </c>
      <c r="J12">
        <f t="shared" si="0"/>
        <v>31.536000000000001</v>
      </c>
      <c r="K12">
        <f t="shared" si="1"/>
        <v>277.77800000000002</v>
      </c>
      <c r="L12">
        <f t="shared" si="2"/>
        <v>96.25</v>
      </c>
      <c r="M12">
        <f t="shared" si="3"/>
        <v>1E-3</v>
      </c>
      <c r="N12">
        <f t="shared" si="4"/>
        <v>1.5E-3</v>
      </c>
      <c r="O12">
        <f t="shared" si="5"/>
        <v>0.8675671912423536</v>
      </c>
      <c r="P12">
        <f t="shared" si="6"/>
        <v>0.41576701555456169</v>
      </c>
      <c r="Q12">
        <f t="shared" si="7"/>
        <v>0.02</v>
      </c>
      <c r="R12">
        <f t="shared" si="8"/>
        <v>5.0000000000000001E-3</v>
      </c>
      <c r="S12">
        <f t="shared" si="9"/>
        <v>4.5769644752755773E-2</v>
      </c>
    </row>
    <row r="13" spans="1:19" x14ac:dyDescent="0.25">
      <c r="A13" t="str">
        <f>'Define names'!O7</f>
        <v>KOMATI</v>
      </c>
      <c r="C13" s="2" t="str">
        <f>'Define names'!D7</f>
        <v>ETCLEKOMA-E-REAF</v>
      </c>
      <c r="D13" t="str">
        <f t="shared" si="0"/>
        <v>PWRCLEKOMA</v>
      </c>
      <c r="E13" t="str">
        <f t="shared" si="0"/>
        <v>ELCC</v>
      </c>
      <c r="F13" t="str">
        <f t="shared" si="0"/>
        <v>PWRCLEKOMA</v>
      </c>
      <c r="G13">
        <f t="shared" si="0"/>
        <v>0.24202040664976729</v>
      </c>
      <c r="H13">
        <f t="shared" si="0"/>
        <v>13.031476138327839</v>
      </c>
      <c r="I13">
        <f t="shared" si="0"/>
        <v>30</v>
      </c>
      <c r="J13">
        <f t="shared" si="0"/>
        <v>31.536000000000001</v>
      </c>
      <c r="K13">
        <f t="shared" si="1"/>
        <v>277.77800000000002</v>
      </c>
      <c r="L13">
        <f t="shared" si="2"/>
        <v>96.25</v>
      </c>
      <c r="M13">
        <f t="shared" si="3"/>
        <v>1E-3</v>
      </c>
      <c r="N13">
        <f t="shared" si="4"/>
        <v>1.5E-3</v>
      </c>
      <c r="O13">
        <f t="shared" si="5"/>
        <v>0.8675671912423536</v>
      </c>
      <c r="P13">
        <f t="shared" si="6"/>
        <v>0.41576701555456169</v>
      </c>
      <c r="Q13">
        <f t="shared" si="7"/>
        <v>0.02</v>
      </c>
      <c r="R13">
        <f t="shared" si="8"/>
        <v>5.0000000000000001E-3</v>
      </c>
      <c r="S13">
        <f t="shared" si="9"/>
        <v>4.5769644752755773E-2</v>
      </c>
    </row>
    <row r="14" spans="1:19" x14ac:dyDescent="0.25">
      <c r="A14" t="str">
        <f>'Define names'!O8</f>
        <v>ARNOT</v>
      </c>
      <c r="C14" s="2" t="str">
        <f>'Define names'!D8</f>
        <v>ETCLEARNO-E-REAF</v>
      </c>
      <c r="D14" t="str">
        <f t="shared" si="0"/>
        <v>PWRCLEARNO</v>
      </c>
      <c r="E14" t="str">
        <f t="shared" si="0"/>
        <v>ELCC</v>
      </c>
      <c r="F14" t="str">
        <f t="shared" si="0"/>
        <v>PWRCLEARNO</v>
      </c>
      <c r="G14">
        <f t="shared" si="0"/>
        <v>0.31</v>
      </c>
      <c r="H14">
        <f t="shared" si="0"/>
        <v>13.031476138327839</v>
      </c>
      <c r="I14">
        <f t="shared" si="0"/>
        <v>30</v>
      </c>
      <c r="J14">
        <f t="shared" si="0"/>
        <v>31.536000000000001</v>
      </c>
      <c r="K14">
        <f t="shared" si="1"/>
        <v>277.77800000000002</v>
      </c>
      <c r="L14">
        <f t="shared" si="2"/>
        <v>96.25</v>
      </c>
      <c r="M14">
        <f t="shared" si="3"/>
        <v>1E-3</v>
      </c>
      <c r="N14">
        <f t="shared" si="4"/>
        <v>1.5E-3</v>
      </c>
      <c r="O14">
        <f t="shared" si="5"/>
        <v>0.8675671912423536</v>
      </c>
      <c r="P14">
        <f t="shared" si="6"/>
        <v>0.41576701555456169</v>
      </c>
      <c r="Q14">
        <f t="shared" si="7"/>
        <v>0.02</v>
      </c>
      <c r="R14">
        <f t="shared" si="8"/>
        <v>5.0000000000000001E-3</v>
      </c>
      <c r="S14">
        <f t="shared" si="9"/>
        <v>4.5769644752755773E-2</v>
      </c>
    </row>
    <row r="15" spans="1:19" x14ac:dyDescent="0.25">
      <c r="A15" t="str">
        <f>'Define names'!O9</f>
        <v>DUVHA</v>
      </c>
      <c r="C15" s="2" t="str">
        <f>'Define names'!D9</f>
        <v>ETCLEDUVH-E-REAF</v>
      </c>
      <c r="D15" t="str">
        <f t="shared" si="0"/>
        <v>PWRCLEDUVH</v>
      </c>
      <c r="E15" t="str">
        <f t="shared" si="0"/>
        <v>ELCC</v>
      </c>
      <c r="F15" t="str">
        <f t="shared" si="0"/>
        <v>PWRCLEDUVH</v>
      </c>
      <c r="G15">
        <f t="shared" si="0"/>
        <v>0.33058235797930735</v>
      </c>
      <c r="H15">
        <f t="shared" si="0"/>
        <v>13.031476138327839</v>
      </c>
      <c r="I15">
        <f t="shared" si="0"/>
        <v>30</v>
      </c>
      <c r="J15">
        <f t="shared" si="0"/>
        <v>31.536000000000001</v>
      </c>
      <c r="K15">
        <f t="shared" si="1"/>
        <v>277.77800000000002</v>
      </c>
      <c r="L15">
        <f t="shared" si="2"/>
        <v>96.25</v>
      </c>
      <c r="M15">
        <f t="shared" si="3"/>
        <v>1E-3</v>
      </c>
      <c r="N15">
        <f t="shared" si="4"/>
        <v>1.5E-3</v>
      </c>
      <c r="O15">
        <f t="shared" si="5"/>
        <v>0.8675671912423536</v>
      </c>
      <c r="P15">
        <f t="shared" si="6"/>
        <v>0.41576701555456169</v>
      </c>
      <c r="Q15">
        <f t="shared" si="7"/>
        <v>0.02</v>
      </c>
      <c r="R15">
        <f t="shared" si="8"/>
        <v>5.0000000000000001E-3</v>
      </c>
      <c r="S15">
        <f t="shared" si="9"/>
        <v>4.5769644752755773E-2</v>
      </c>
    </row>
    <row r="16" spans="1:19" x14ac:dyDescent="0.25">
      <c r="A16" t="str">
        <f>'Define names'!O10</f>
        <v>HENDRINA</v>
      </c>
      <c r="C16" s="2" t="str">
        <f>'Define names'!D10</f>
        <v>ETCLEHEND-E-REAF</v>
      </c>
      <c r="D16" t="str">
        <f t="shared" si="0"/>
        <v>PWRCLEHEND</v>
      </c>
      <c r="E16" t="str">
        <f t="shared" si="0"/>
        <v>ELCC</v>
      </c>
      <c r="F16" t="str">
        <f t="shared" si="0"/>
        <v>PWRCLEHEND</v>
      </c>
      <c r="G16">
        <f t="shared" si="0"/>
        <v>0.26887733443497819</v>
      </c>
      <c r="H16">
        <f t="shared" si="0"/>
        <v>13.031476138327839</v>
      </c>
      <c r="I16">
        <f t="shared" si="0"/>
        <v>30</v>
      </c>
      <c r="J16">
        <f t="shared" si="0"/>
        <v>31.536000000000001</v>
      </c>
      <c r="K16">
        <f t="shared" si="1"/>
        <v>277.77800000000002</v>
      </c>
      <c r="L16">
        <f t="shared" si="2"/>
        <v>96.25</v>
      </c>
      <c r="M16">
        <f t="shared" si="3"/>
        <v>1E-3</v>
      </c>
      <c r="N16">
        <f t="shared" si="4"/>
        <v>1.5E-3</v>
      </c>
      <c r="O16">
        <f t="shared" si="5"/>
        <v>0.8675671912423536</v>
      </c>
      <c r="P16">
        <f t="shared" si="6"/>
        <v>0.41576701555456169</v>
      </c>
      <c r="Q16">
        <f t="shared" si="7"/>
        <v>0.02</v>
      </c>
      <c r="R16">
        <f t="shared" si="8"/>
        <v>5.0000000000000001E-3</v>
      </c>
      <c r="S16">
        <f t="shared" si="9"/>
        <v>4.5769644752755773E-2</v>
      </c>
    </row>
    <row r="17" spans="1:19" x14ac:dyDescent="0.25">
      <c r="A17" t="str">
        <f>'Define names'!O11</f>
        <v>KENDAL</v>
      </c>
      <c r="C17" s="2" t="str">
        <f>'Define names'!D11</f>
        <v>ETCLEKEND-E-REAF</v>
      </c>
      <c r="D17" t="str">
        <f t="shared" si="0"/>
        <v>PWRCLEKEND</v>
      </c>
      <c r="E17" t="str">
        <f t="shared" si="0"/>
        <v>ELCC</v>
      </c>
      <c r="F17" t="str">
        <f t="shared" si="0"/>
        <v>PWRCLEKEND</v>
      </c>
      <c r="G17">
        <f t="shared" si="0"/>
        <v>0.32453714221152569</v>
      </c>
      <c r="H17">
        <f t="shared" si="0"/>
        <v>13.031476138327839</v>
      </c>
      <c r="I17">
        <f t="shared" si="0"/>
        <v>30</v>
      </c>
      <c r="J17">
        <f t="shared" si="0"/>
        <v>31.536000000000001</v>
      </c>
      <c r="K17">
        <f t="shared" si="1"/>
        <v>277.77800000000002</v>
      </c>
      <c r="L17">
        <f t="shared" si="2"/>
        <v>96.25</v>
      </c>
      <c r="M17">
        <f t="shared" si="3"/>
        <v>1E-3</v>
      </c>
      <c r="N17">
        <f t="shared" si="4"/>
        <v>1.5E-3</v>
      </c>
      <c r="O17">
        <f t="shared" si="5"/>
        <v>0.8675671912423536</v>
      </c>
      <c r="P17">
        <f t="shared" si="6"/>
        <v>0.41576701555456169</v>
      </c>
      <c r="Q17">
        <f t="shared" si="7"/>
        <v>0.02</v>
      </c>
      <c r="R17">
        <f t="shared" si="8"/>
        <v>5.0000000000000001E-3</v>
      </c>
      <c r="S17">
        <f t="shared" si="9"/>
        <v>4.5769644752755773E-2</v>
      </c>
    </row>
    <row r="18" spans="1:19" x14ac:dyDescent="0.25">
      <c r="A18" t="str">
        <f>'Define names'!O12</f>
        <v>KRIEL</v>
      </c>
      <c r="C18" s="2" t="str">
        <f>'Define names'!D12</f>
        <v>ETCLEKRIE-E-REAF</v>
      </c>
      <c r="D18" t="str">
        <f t="shared" si="0"/>
        <v>PWRCLEKRIE</v>
      </c>
      <c r="E18" t="str">
        <f t="shared" si="0"/>
        <v>ELCC</v>
      </c>
      <c r="F18" t="str">
        <f t="shared" si="0"/>
        <v>PWRCLEKRIE</v>
      </c>
      <c r="G18">
        <f t="shared" si="0"/>
        <v>0.31292646716362432</v>
      </c>
      <c r="H18">
        <f t="shared" si="0"/>
        <v>13.031476138327839</v>
      </c>
      <c r="I18">
        <f t="shared" si="0"/>
        <v>30</v>
      </c>
      <c r="J18">
        <f t="shared" si="0"/>
        <v>31.536000000000001</v>
      </c>
      <c r="K18">
        <f t="shared" si="1"/>
        <v>277.77800000000002</v>
      </c>
      <c r="L18">
        <f t="shared" si="2"/>
        <v>96.25</v>
      </c>
      <c r="M18">
        <f t="shared" si="3"/>
        <v>1E-3</v>
      </c>
      <c r="N18">
        <f t="shared" si="4"/>
        <v>1.5E-3</v>
      </c>
      <c r="O18">
        <f t="shared" si="5"/>
        <v>0.8675671912423536</v>
      </c>
      <c r="P18">
        <f t="shared" si="6"/>
        <v>0.41576701555456169</v>
      </c>
      <c r="Q18">
        <f t="shared" si="7"/>
        <v>0.02</v>
      </c>
      <c r="R18">
        <f t="shared" si="8"/>
        <v>5.0000000000000001E-3</v>
      </c>
      <c r="S18">
        <f t="shared" si="9"/>
        <v>4.5769644752755773E-2</v>
      </c>
    </row>
    <row r="19" spans="1:19" x14ac:dyDescent="0.25">
      <c r="A19" t="str">
        <f>'Define names'!O13</f>
        <v>LETHABO</v>
      </c>
      <c r="C19" s="2" t="str">
        <f>'Define names'!D13</f>
        <v>ETCLELETH-E-REAF</v>
      </c>
      <c r="D19" t="str">
        <f t="shared" si="0"/>
        <v>PWRCLELETH</v>
      </c>
      <c r="E19" t="str">
        <f t="shared" si="0"/>
        <v>ELCC</v>
      </c>
      <c r="F19" t="str">
        <f t="shared" si="0"/>
        <v>PWRCLELETH</v>
      </c>
      <c r="G19">
        <f t="shared" si="0"/>
        <v>0.34</v>
      </c>
      <c r="H19">
        <f t="shared" si="0"/>
        <v>13.031476138327839</v>
      </c>
      <c r="I19">
        <f t="shared" si="0"/>
        <v>30</v>
      </c>
      <c r="J19">
        <f t="shared" si="0"/>
        <v>31.536000000000001</v>
      </c>
      <c r="K19">
        <f t="shared" si="1"/>
        <v>277.77800000000002</v>
      </c>
      <c r="L19">
        <f t="shared" si="2"/>
        <v>96.25</v>
      </c>
      <c r="M19">
        <f t="shared" si="3"/>
        <v>1E-3</v>
      </c>
      <c r="N19">
        <f t="shared" si="4"/>
        <v>1.5E-3</v>
      </c>
      <c r="O19">
        <f t="shared" si="5"/>
        <v>0.8675671912423536</v>
      </c>
      <c r="P19">
        <f t="shared" si="6"/>
        <v>0.41576701555456169</v>
      </c>
      <c r="Q19">
        <f t="shared" si="7"/>
        <v>0.02</v>
      </c>
      <c r="R19">
        <f t="shared" si="8"/>
        <v>5.0000000000000001E-3</v>
      </c>
      <c r="S19">
        <f t="shared" si="9"/>
        <v>4.5769644752755773E-2</v>
      </c>
    </row>
    <row r="20" spans="1:19" x14ac:dyDescent="0.25">
      <c r="A20" t="str">
        <f>'Define names'!O14</f>
        <v>MAJUBA DRY</v>
      </c>
      <c r="C20" s="2" t="str">
        <f>'Define names'!D14</f>
        <v>ETCLEMAJD-E-REAF</v>
      </c>
      <c r="D20" t="str">
        <f t="shared" si="0"/>
        <v>PWRCLEMAJU</v>
      </c>
      <c r="E20" t="str">
        <f t="shared" si="0"/>
        <v>ELCC</v>
      </c>
      <c r="F20" t="str">
        <f t="shared" si="0"/>
        <v>PWRCLEMAJU</v>
      </c>
      <c r="G20">
        <f t="shared" si="0"/>
        <v>0.3</v>
      </c>
      <c r="H20">
        <f t="shared" si="0"/>
        <v>13.031476138327839</v>
      </c>
      <c r="I20">
        <f t="shared" si="0"/>
        <v>30</v>
      </c>
      <c r="J20">
        <f t="shared" si="0"/>
        <v>31.536000000000001</v>
      </c>
      <c r="K20">
        <f t="shared" si="1"/>
        <v>277.77800000000002</v>
      </c>
      <c r="L20">
        <f t="shared" si="2"/>
        <v>96.25</v>
      </c>
      <c r="M20">
        <f t="shared" si="3"/>
        <v>1E-3</v>
      </c>
      <c r="N20">
        <f t="shared" si="4"/>
        <v>1.5E-3</v>
      </c>
      <c r="O20">
        <f t="shared" si="5"/>
        <v>0.8675671912423536</v>
      </c>
      <c r="P20">
        <f t="shared" si="6"/>
        <v>0.41576701555456169</v>
      </c>
      <c r="Q20">
        <f t="shared" si="7"/>
        <v>0.02</v>
      </c>
      <c r="R20">
        <f t="shared" si="8"/>
        <v>5.0000000000000001E-3</v>
      </c>
      <c r="S20">
        <f t="shared" si="9"/>
        <v>4.5769644752755773E-2</v>
      </c>
    </row>
    <row r="21" spans="1:19" x14ac:dyDescent="0.25">
      <c r="A21" t="str">
        <f>'Define names'!O15</f>
        <v>MAJUBA WET</v>
      </c>
      <c r="C21" s="2" t="str">
        <f>'Define names'!D15</f>
        <v>ETCLEMAJW-E-REAF</v>
      </c>
      <c r="D21" t="str">
        <f t="shared" si="0"/>
        <v>PWRCLEMAJU</v>
      </c>
      <c r="E21" t="str">
        <f t="shared" si="0"/>
        <v>ELCC</v>
      </c>
      <c r="F21" t="str">
        <f t="shared" si="0"/>
        <v>PWRCLEMAJU</v>
      </c>
      <c r="G21">
        <f t="shared" si="0"/>
        <v>0.31</v>
      </c>
      <c r="H21">
        <f t="shared" si="0"/>
        <v>13.031476138327839</v>
      </c>
      <c r="I21">
        <f t="shared" si="0"/>
        <v>30</v>
      </c>
      <c r="J21">
        <f t="shared" si="0"/>
        <v>31.536000000000001</v>
      </c>
      <c r="K21">
        <f t="shared" si="1"/>
        <v>277.77800000000002</v>
      </c>
      <c r="L21">
        <f t="shared" si="2"/>
        <v>96.25</v>
      </c>
      <c r="M21">
        <f t="shared" si="3"/>
        <v>1E-3</v>
      </c>
      <c r="N21">
        <f t="shared" si="4"/>
        <v>1.5E-3</v>
      </c>
      <c r="O21">
        <f t="shared" si="5"/>
        <v>0.8675671912423536</v>
      </c>
      <c r="P21">
        <f t="shared" si="6"/>
        <v>0.41576701555456169</v>
      </c>
      <c r="Q21">
        <f t="shared" si="7"/>
        <v>0.02</v>
      </c>
      <c r="R21">
        <f t="shared" si="8"/>
        <v>5.0000000000000001E-3</v>
      </c>
      <c r="S21">
        <f t="shared" si="9"/>
        <v>4.5769644752755773E-2</v>
      </c>
    </row>
    <row r="22" spans="1:19" x14ac:dyDescent="0.25">
      <c r="A22" t="str">
        <f>'Define names'!O16</f>
        <v>MATIMBA</v>
      </c>
      <c r="C22" s="2" t="str">
        <f>'Define names'!D16</f>
        <v>ETCLEMATI-E-REAF</v>
      </c>
      <c r="D22" t="str">
        <f t="shared" si="0"/>
        <v>PWRCLEMATI</v>
      </c>
      <c r="E22" t="str">
        <f t="shared" si="0"/>
        <v>ELCC</v>
      </c>
      <c r="F22" t="str">
        <f t="shared" si="0"/>
        <v>PWRCLEMATI</v>
      </c>
      <c r="G22">
        <f t="shared" si="0"/>
        <v>0.34000258749678802</v>
      </c>
      <c r="H22">
        <f t="shared" si="0"/>
        <v>13.031476138327839</v>
      </c>
      <c r="I22">
        <f t="shared" si="0"/>
        <v>30</v>
      </c>
      <c r="J22">
        <f t="shared" si="0"/>
        <v>31.536000000000001</v>
      </c>
      <c r="K22">
        <f t="shared" si="1"/>
        <v>277.77800000000002</v>
      </c>
      <c r="L22">
        <f t="shared" si="2"/>
        <v>96.25</v>
      </c>
      <c r="M22">
        <f t="shared" si="3"/>
        <v>1E-3</v>
      </c>
      <c r="N22">
        <f t="shared" si="4"/>
        <v>1.5E-3</v>
      </c>
      <c r="O22">
        <f t="shared" si="5"/>
        <v>0.8675671912423536</v>
      </c>
      <c r="P22">
        <f t="shared" si="6"/>
        <v>0.41576701555456169</v>
      </c>
      <c r="Q22">
        <f t="shared" si="7"/>
        <v>0.02</v>
      </c>
      <c r="R22">
        <f t="shared" si="8"/>
        <v>5.0000000000000001E-3</v>
      </c>
      <c r="S22">
        <f t="shared" si="9"/>
        <v>4.5769644752755773E-2</v>
      </c>
    </row>
    <row r="23" spans="1:19" x14ac:dyDescent="0.25">
      <c r="A23" t="str">
        <f>'Define names'!O17</f>
        <v>MATLA</v>
      </c>
      <c r="C23" s="2" t="str">
        <f>'Define names'!D17</f>
        <v>ETCLEMATL-E-REAF</v>
      </c>
      <c r="D23" t="str">
        <f t="shared" si="0"/>
        <v>PWRCLEMATL</v>
      </c>
      <c r="E23" t="str">
        <f t="shared" si="0"/>
        <v>ELCC</v>
      </c>
      <c r="F23" t="str">
        <f t="shared" si="0"/>
        <v>PWRCLEMATL</v>
      </c>
      <c r="G23">
        <f t="shared" si="0"/>
        <v>0.33160382650844367</v>
      </c>
      <c r="H23">
        <f t="shared" si="0"/>
        <v>13.031476138327839</v>
      </c>
      <c r="I23">
        <f t="shared" si="0"/>
        <v>30</v>
      </c>
      <c r="J23">
        <f t="shared" si="0"/>
        <v>31.536000000000001</v>
      </c>
      <c r="K23">
        <f t="shared" si="1"/>
        <v>277.77800000000002</v>
      </c>
      <c r="L23">
        <f t="shared" si="2"/>
        <v>96.25</v>
      </c>
      <c r="M23">
        <f t="shared" si="3"/>
        <v>1E-3</v>
      </c>
      <c r="N23">
        <f t="shared" si="4"/>
        <v>1.5E-3</v>
      </c>
      <c r="O23">
        <f t="shared" si="5"/>
        <v>0.8675671912423536</v>
      </c>
      <c r="P23">
        <f t="shared" si="6"/>
        <v>0.41576701555456169</v>
      </c>
      <c r="Q23">
        <f t="shared" si="7"/>
        <v>0.02</v>
      </c>
      <c r="R23">
        <f t="shared" si="8"/>
        <v>5.0000000000000001E-3</v>
      </c>
      <c r="S23">
        <f t="shared" si="9"/>
        <v>4.5769644752755773E-2</v>
      </c>
    </row>
    <row r="24" spans="1:19" x14ac:dyDescent="0.25">
      <c r="A24" s="66" t="str">
        <f>'Define names'!O18</f>
        <v>TUTUKA</v>
      </c>
      <c r="B24" s="66"/>
      <c r="C24" s="67" t="str">
        <f>'Define names'!D18</f>
        <v>ETCLETUTU-E-REAF</v>
      </c>
      <c r="D24" s="66" t="str">
        <f t="shared" si="0"/>
        <v>PWRCLETUTU</v>
      </c>
      <c r="E24" s="66" t="str">
        <f t="shared" si="0"/>
        <v>ELCC</v>
      </c>
      <c r="F24" s="66" t="str">
        <f t="shared" si="0"/>
        <v>PWRCLETUTU</v>
      </c>
      <c r="G24" s="66">
        <f t="shared" si="0"/>
        <v>0.31090796372879914</v>
      </c>
      <c r="H24" s="66">
        <f t="shared" si="0"/>
        <v>13.031476138327839</v>
      </c>
      <c r="I24" s="66">
        <f t="shared" si="0"/>
        <v>30</v>
      </c>
      <c r="J24" s="66">
        <f t="shared" si="0"/>
        <v>31.536000000000001</v>
      </c>
      <c r="K24" s="66">
        <f t="shared" si="1"/>
        <v>277.77800000000002</v>
      </c>
      <c r="L24" s="66">
        <f t="shared" si="2"/>
        <v>96.25</v>
      </c>
      <c r="M24" s="66">
        <f t="shared" si="3"/>
        <v>1E-3</v>
      </c>
      <c r="N24" s="66">
        <f t="shared" si="4"/>
        <v>1.5E-3</v>
      </c>
      <c r="O24" s="66">
        <f t="shared" si="5"/>
        <v>0.8675671912423536</v>
      </c>
      <c r="P24" s="66">
        <f t="shared" si="6"/>
        <v>0.41576701555456169</v>
      </c>
      <c r="Q24" s="66">
        <f t="shared" si="7"/>
        <v>0.02</v>
      </c>
      <c r="R24" s="66">
        <f t="shared" si="8"/>
        <v>5.0000000000000001E-3</v>
      </c>
      <c r="S24" s="66">
        <f t="shared" si="9"/>
        <v>4.5769644752755773E-2</v>
      </c>
    </row>
    <row r="25" spans="1:19" x14ac:dyDescent="0.25">
      <c r="C25" s="2"/>
    </row>
    <row r="26" spans="1:19" x14ac:dyDescent="0.25">
      <c r="C26" s="2"/>
    </row>
    <row r="27" spans="1:19" x14ac:dyDescent="0.25">
      <c r="C27" s="2"/>
    </row>
    <row r="28" spans="1:19" x14ac:dyDescent="0.25">
      <c r="C28" s="2"/>
    </row>
    <row r="29" spans="1:19" x14ac:dyDescent="0.25">
      <c r="A29" t="str">
        <f>'Define names'!O19</f>
        <v>MEDUPI</v>
      </c>
      <c r="C29" s="2" t="str">
        <f>'Define names'!D19</f>
        <v>ETCLEMEDU-N-REAF</v>
      </c>
      <c r="D29" t="str">
        <f t="shared" ref="D29:J30" si="10">INDEX($E$79:$AT$100,MATCH($A29,$D$79:$D$100,0),MATCH(D$10,$E$77:$AT$77,0))</f>
        <v>PWRCLEMEDU</v>
      </c>
      <c r="E29" t="str">
        <f t="shared" si="10"/>
        <v>ELCC</v>
      </c>
      <c r="F29" t="str">
        <f t="shared" si="10"/>
        <v>PWRCLEMEDU</v>
      </c>
      <c r="G29">
        <f t="shared" si="10"/>
        <v>0.37099999999999994</v>
      </c>
      <c r="H29">
        <f t="shared" si="10"/>
        <v>13.031476138327839</v>
      </c>
      <c r="I29">
        <f t="shared" si="10"/>
        <v>50</v>
      </c>
      <c r="J29">
        <f t="shared" si="10"/>
        <v>31.536000000000001</v>
      </c>
      <c r="K29">
        <f>Q79</f>
        <v>277.77800000000002</v>
      </c>
      <c r="L29" s="56">
        <f t="shared" ref="L29:S30" si="11">AK79</f>
        <v>96.25</v>
      </c>
      <c r="M29" s="68">
        <f t="shared" si="11"/>
        <v>1E-3</v>
      </c>
      <c r="N29" s="68">
        <f t="shared" si="11"/>
        <v>1.5E-3</v>
      </c>
      <c r="O29" s="68">
        <f t="shared" si="11"/>
        <v>0.93059166666666648</v>
      </c>
      <c r="P29" s="68">
        <f t="shared" si="11"/>
        <v>0.19683611111111107</v>
      </c>
      <c r="Q29" s="68">
        <f t="shared" si="11"/>
        <v>0.02</v>
      </c>
      <c r="R29" s="68">
        <f t="shared" si="11"/>
        <v>5.0000000000000001E-3</v>
      </c>
      <c r="S29" s="68">
        <f t="shared" si="11"/>
        <v>4.5769644752755773E-2</v>
      </c>
    </row>
    <row r="30" spans="1:19" x14ac:dyDescent="0.25">
      <c r="A30" t="str">
        <f>'Define names'!O20</f>
        <v>KUSILE</v>
      </c>
      <c r="C30" s="2" t="str">
        <f>'Define names'!D20</f>
        <v>ETCLEKUSI-N-REAF</v>
      </c>
      <c r="D30" t="str">
        <f t="shared" si="10"/>
        <v>PWRCLEKUSI</v>
      </c>
      <c r="E30" t="str">
        <f t="shared" si="10"/>
        <v>ELCC</v>
      </c>
      <c r="F30" t="str">
        <f t="shared" si="10"/>
        <v>PWRCLEKUSI</v>
      </c>
      <c r="G30">
        <f t="shared" si="10"/>
        <v>0.36689767631471665</v>
      </c>
      <c r="H30">
        <f t="shared" si="10"/>
        <v>13.031476138327839</v>
      </c>
      <c r="I30">
        <f t="shared" si="10"/>
        <v>50</v>
      </c>
      <c r="J30">
        <f t="shared" si="10"/>
        <v>31.536000000000001</v>
      </c>
      <c r="K30">
        <f>Q80</f>
        <v>277.77800000000002</v>
      </c>
      <c r="L30" s="56">
        <f t="shared" si="11"/>
        <v>96.25</v>
      </c>
      <c r="M30" s="68">
        <f t="shared" si="11"/>
        <v>1E-3</v>
      </c>
      <c r="N30" s="68">
        <f t="shared" si="11"/>
        <v>1.5E-3</v>
      </c>
      <c r="O30" s="68">
        <f t="shared" si="11"/>
        <v>6.5141416666666604E-2</v>
      </c>
      <c r="P30" s="68">
        <f t="shared" si="11"/>
        <v>0.19683611111111107</v>
      </c>
      <c r="Q30" s="68">
        <f t="shared" si="11"/>
        <v>0.02</v>
      </c>
      <c r="R30" s="68">
        <f t="shared" si="11"/>
        <v>5.0000000000000001E-3</v>
      </c>
      <c r="S30" s="68">
        <f t="shared" si="11"/>
        <v>4.5769644752755773E-2</v>
      </c>
    </row>
    <row r="31" spans="1:19" x14ac:dyDescent="0.25">
      <c r="C31" s="2"/>
    </row>
    <row r="32" spans="1:19" x14ac:dyDescent="0.25">
      <c r="C32" s="2"/>
    </row>
    <row r="33" spans="1:46" x14ac:dyDescent="0.25">
      <c r="C33" s="2"/>
    </row>
    <row r="34" spans="1:46" x14ac:dyDescent="0.25">
      <c r="C34" s="2"/>
    </row>
    <row r="35" spans="1:46" ht="18.75" x14ac:dyDescent="0.3">
      <c r="A35" s="29" t="s">
        <v>223</v>
      </c>
    </row>
    <row r="36" spans="1:46" x14ac:dyDescent="0.25">
      <c r="D36" s="2"/>
    </row>
    <row r="37" spans="1:46" ht="34.5" x14ac:dyDescent="0.25">
      <c r="C37" s="2"/>
      <c r="D37" s="2"/>
      <c r="E37" s="2"/>
      <c r="F37" s="2"/>
      <c r="G37" s="2"/>
      <c r="H37" s="3" t="s">
        <v>148</v>
      </c>
      <c r="I37" s="3" t="s">
        <v>0</v>
      </c>
      <c r="J37" s="3" t="s">
        <v>149</v>
      </c>
      <c r="K37" s="3" t="s">
        <v>1</v>
      </c>
      <c r="L37" s="3" t="s">
        <v>2</v>
      </c>
      <c r="M37" s="3" t="s">
        <v>3</v>
      </c>
      <c r="N37" s="3" t="s">
        <v>4</v>
      </c>
      <c r="O37" s="3" t="s">
        <v>5</v>
      </c>
      <c r="P37" s="3" t="s">
        <v>6</v>
      </c>
      <c r="Q37" s="2"/>
      <c r="R37" s="2"/>
      <c r="S37" s="2" t="s">
        <v>150</v>
      </c>
      <c r="T37" s="2" t="s">
        <v>150</v>
      </c>
      <c r="U37" s="2" t="s">
        <v>150</v>
      </c>
      <c r="V37" s="2" t="s">
        <v>150</v>
      </c>
      <c r="W37" s="2" t="s">
        <v>150</v>
      </c>
      <c r="X37" s="2" t="s">
        <v>150</v>
      </c>
      <c r="Y37" s="2" t="s">
        <v>150</v>
      </c>
      <c r="Z37" s="2" t="s">
        <v>150</v>
      </c>
      <c r="AA37" s="2" t="s">
        <v>150</v>
      </c>
      <c r="AB37" s="2" t="s">
        <v>150</v>
      </c>
      <c r="AC37" s="2" t="s">
        <v>150</v>
      </c>
      <c r="AD37" s="2" t="s">
        <v>150</v>
      </c>
      <c r="AE37" s="2" t="s">
        <v>150</v>
      </c>
      <c r="AF37" s="2" t="s">
        <v>150</v>
      </c>
      <c r="AG37" s="2" t="s">
        <v>151</v>
      </c>
      <c r="AH37" s="2" t="s">
        <v>151</v>
      </c>
      <c r="AI37" s="2" t="s">
        <v>151</v>
      </c>
      <c r="AJ37" s="2" t="s">
        <v>151</v>
      </c>
      <c r="AK37" s="2" t="s">
        <v>152</v>
      </c>
      <c r="AL37" s="2" t="s">
        <v>7</v>
      </c>
      <c r="AM37" s="2" t="s">
        <v>8</v>
      </c>
      <c r="AN37" s="2"/>
      <c r="AO37" s="2"/>
      <c r="AP37" s="2"/>
      <c r="AQ37" s="2"/>
      <c r="AR37" s="2"/>
      <c r="AS37" s="2"/>
      <c r="AT37" s="2"/>
    </row>
    <row r="38" spans="1:46" ht="23.25" x14ac:dyDescent="0.25">
      <c r="C38" s="2"/>
      <c r="D38" s="2"/>
      <c r="E38" s="4"/>
      <c r="F38" s="4"/>
      <c r="G38" s="4"/>
      <c r="H38" s="5" t="s">
        <v>153</v>
      </c>
      <c r="I38" s="5" t="s">
        <v>154</v>
      </c>
      <c r="J38" s="5" t="s">
        <v>155</v>
      </c>
      <c r="K38" s="5" t="s">
        <v>9</v>
      </c>
      <c r="L38" s="5" t="s">
        <v>10</v>
      </c>
      <c r="M38" s="5" t="s">
        <v>11</v>
      </c>
      <c r="N38" s="5" t="s">
        <v>12</v>
      </c>
      <c r="O38" s="5" t="s">
        <v>13</v>
      </c>
      <c r="P38" s="5" t="s">
        <v>14</v>
      </c>
      <c r="Q38" s="6" t="s">
        <v>156</v>
      </c>
      <c r="R38" s="6" t="s">
        <v>156</v>
      </c>
      <c r="S38" s="6" t="s">
        <v>157</v>
      </c>
      <c r="T38" s="6" t="s">
        <v>157</v>
      </c>
      <c r="U38" s="6" t="s">
        <v>157</v>
      </c>
      <c r="V38" s="6" t="s">
        <v>157</v>
      </c>
      <c r="W38" s="6" t="s">
        <v>157</v>
      </c>
      <c r="X38" s="6" t="s">
        <v>157</v>
      </c>
      <c r="Y38" s="6" t="s">
        <v>157</v>
      </c>
      <c r="Z38" s="6" t="s">
        <v>157</v>
      </c>
      <c r="AA38" s="6" t="s">
        <v>157</v>
      </c>
      <c r="AB38" s="6" t="s">
        <v>157</v>
      </c>
      <c r="AC38" s="6" t="s">
        <v>157</v>
      </c>
      <c r="AD38" s="6" t="s">
        <v>157</v>
      </c>
      <c r="AE38" s="6" t="s">
        <v>157</v>
      </c>
      <c r="AF38" s="6" t="s">
        <v>157</v>
      </c>
      <c r="AG38" s="6" t="s">
        <v>158</v>
      </c>
      <c r="AH38" s="6" t="s">
        <v>158</v>
      </c>
      <c r="AI38" s="6" t="s">
        <v>158</v>
      </c>
      <c r="AJ38" s="6" t="s">
        <v>158</v>
      </c>
      <c r="AK38" s="6" t="s">
        <v>159</v>
      </c>
      <c r="AL38" s="6" t="s">
        <v>160</v>
      </c>
      <c r="AM38" s="6" t="s">
        <v>161</v>
      </c>
      <c r="AN38" s="6" t="s">
        <v>161</v>
      </c>
      <c r="AO38" s="6" t="s">
        <v>161</v>
      </c>
      <c r="AP38" s="6" t="s">
        <v>161</v>
      </c>
      <c r="AQ38" s="6" t="s">
        <v>161</v>
      </c>
      <c r="AR38" s="6" t="s">
        <v>161</v>
      </c>
      <c r="AS38" s="6" t="s">
        <v>161</v>
      </c>
      <c r="AT38" s="6" t="s">
        <v>161</v>
      </c>
    </row>
    <row r="39" spans="1:46" x14ac:dyDescent="0.25">
      <c r="C39" s="2"/>
      <c r="D39" s="2"/>
      <c r="E39" s="2"/>
      <c r="F39" s="2"/>
      <c r="G39" s="2"/>
      <c r="H39" s="5" t="s">
        <v>162</v>
      </c>
      <c r="I39" s="5" t="s">
        <v>15</v>
      </c>
      <c r="J39" s="5"/>
      <c r="K39" s="5"/>
      <c r="L39" s="2"/>
      <c r="M39" s="2"/>
      <c r="N39" s="2"/>
      <c r="O39" s="7"/>
      <c r="P39" s="5" t="s">
        <v>163</v>
      </c>
      <c r="Q39" s="2">
        <v>0</v>
      </c>
      <c r="R39" s="2"/>
      <c r="S39" s="2">
        <v>2017</v>
      </c>
      <c r="T39" s="2">
        <v>2018</v>
      </c>
      <c r="U39" s="2">
        <v>2019</v>
      </c>
      <c r="V39" s="2">
        <v>2020</v>
      </c>
      <c r="W39" s="2">
        <v>2021</v>
      </c>
      <c r="X39" s="2">
        <v>2022</v>
      </c>
      <c r="Y39" s="2">
        <v>2023</v>
      </c>
      <c r="Z39" s="2">
        <v>2024</v>
      </c>
      <c r="AA39" s="2">
        <v>2025</v>
      </c>
      <c r="AB39" s="2">
        <v>2026</v>
      </c>
      <c r="AC39" s="2">
        <v>2027</v>
      </c>
      <c r="AD39" s="2">
        <v>2028</v>
      </c>
      <c r="AE39" s="2">
        <v>2029</v>
      </c>
      <c r="AF39" s="2">
        <v>2030</v>
      </c>
      <c r="AG39" s="2">
        <v>2017</v>
      </c>
      <c r="AH39" s="2">
        <v>2018</v>
      </c>
      <c r="AI39" s="2">
        <v>2019</v>
      </c>
      <c r="AJ39" s="2">
        <v>2020</v>
      </c>
      <c r="AK39" s="5" t="s">
        <v>162</v>
      </c>
      <c r="AL39" s="5" t="s">
        <v>16</v>
      </c>
      <c r="AM39" s="5" t="s">
        <v>17</v>
      </c>
      <c r="AN39" s="5" t="s">
        <v>18</v>
      </c>
      <c r="AO39" s="5" t="s">
        <v>19</v>
      </c>
      <c r="AP39" s="5" t="s">
        <v>20</v>
      </c>
      <c r="AQ39" s="5" t="s">
        <v>21</v>
      </c>
      <c r="AR39" s="5" t="s">
        <v>22</v>
      </c>
      <c r="AS39" s="5" t="s">
        <v>23</v>
      </c>
      <c r="AT39" s="5" t="s">
        <v>24</v>
      </c>
    </row>
    <row r="40" spans="1:46" x14ac:dyDescent="0.25">
      <c r="C40" s="2"/>
      <c r="D40" s="2"/>
      <c r="E40" s="2"/>
      <c r="F40" s="2"/>
      <c r="G40" s="2"/>
      <c r="H40" s="5" t="s">
        <v>163</v>
      </c>
      <c r="I40" s="5" t="s">
        <v>163</v>
      </c>
      <c r="J40" s="5"/>
      <c r="K40" s="5"/>
      <c r="L40" s="2"/>
      <c r="M40" s="2"/>
      <c r="N40" s="2"/>
      <c r="O40" s="7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5" t="s">
        <v>26</v>
      </c>
      <c r="AL40" s="5" t="s">
        <v>163</v>
      </c>
      <c r="AM40" s="5" t="s">
        <v>163</v>
      </c>
      <c r="AN40" s="5" t="s">
        <v>163</v>
      </c>
      <c r="AO40" s="5" t="s">
        <v>163</v>
      </c>
      <c r="AP40" s="5" t="s">
        <v>163</v>
      </c>
      <c r="AQ40" s="5" t="s">
        <v>163</v>
      </c>
      <c r="AR40" s="5" t="s">
        <v>163</v>
      </c>
      <c r="AS40" s="5" t="s">
        <v>163</v>
      </c>
      <c r="AT40" s="5" t="s">
        <v>163</v>
      </c>
    </row>
    <row r="41" spans="1:46" ht="23.25" x14ac:dyDescent="0.25">
      <c r="C41" s="8" t="s">
        <v>27</v>
      </c>
      <c r="D41" s="8" t="s">
        <v>28</v>
      </c>
      <c r="E41" s="8" t="s">
        <v>29</v>
      </c>
      <c r="F41" s="8" t="s">
        <v>30</v>
      </c>
      <c r="G41" s="9" t="s">
        <v>31</v>
      </c>
      <c r="H41" s="2" t="s">
        <v>153</v>
      </c>
      <c r="I41" s="3" t="s">
        <v>32</v>
      </c>
      <c r="J41" s="3" t="s">
        <v>155</v>
      </c>
      <c r="K41" s="3" t="s">
        <v>9</v>
      </c>
      <c r="L41" s="3" t="s">
        <v>10</v>
      </c>
      <c r="M41" s="3" t="s">
        <v>11</v>
      </c>
      <c r="N41" s="3" t="s">
        <v>12</v>
      </c>
      <c r="O41" s="3" t="s">
        <v>13</v>
      </c>
      <c r="P41" s="3" t="s">
        <v>14</v>
      </c>
      <c r="Q41" s="3" t="s">
        <v>174</v>
      </c>
      <c r="R41" s="3" t="s">
        <v>175</v>
      </c>
      <c r="S41" s="3" t="s">
        <v>176</v>
      </c>
      <c r="T41" s="3" t="s">
        <v>177</v>
      </c>
      <c r="U41" s="3" t="s">
        <v>178</v>
      </c>
      <c r="V41" s="3" t="s">
        <v>117</v>
      </c>
      <c r="W41" s="3" t="s">
        <v>116</v>
      </c>
      <c r="X41" s="3" t="s">
        <v>115</v>
      </c>
      <c r="Y41" s="3" t="s">
        <v>114</v>
      </c>
      <c r="Z41" s="3" t="s">
        <v>113</v>
      </c>
      <c r="AA41" s="3" t="s">
        <v>112</v>
      </c>
      <c r="AB41" s="3" t="s">
        <v>111</v>
      </c>
      <c r="AC41" s="3" t="s">
        <v>110</v>
      </c>
      <c r="AD41" s="3" t="s">
        <v>109</v>
      </c>
      <c r="AE41" s="3" t="s">
        <v>108</v>
      </c>
      <c r="AF41" s="3" t="s">
        <v>107</v>
      </c>
      <c r="AG41" s="3" t="s">
        <v>179</v>
      </c>
      <c r="AH41" s="3" t="s">
        <v>180</v>
      </c>
      <c r="AI41" s="3" t="s">
        <v>181</v>
      </c>
      <c r="AJ41" s="3" t="s">
        <v>182</v>
      </c>
      <c r="AK41" s="3" t="s">
        <v>183</v>
      </c>
      <c r="AL41" s="3" t="s">
        <v>184</v>
      </c>
      <c r="AM41" s="10" t="s">
        <v>33</v>
      </c>
      <c r="AN41" s="10" t="s">
        <v>34</v>
      </c>
      <c r="AO41" s="10" t="s">
        <v>35</v>
      </c>
      <c r="AP41" s="10" t="s">
        <v>36</v>
      </c>
      <c r="AQ41" s="10" t="s">
        <v>37</v>
      </c>
      <c r="AR41" s="10" t="s">
        <v>38</v>
      </c>
      <c r="AS41" s="10" t="s">
        <v>39</v>
      </c>
      <c r="AT41" s="10" t="s">
        <v>40</v>
      </c>
    </row>
    <row r="42" spans="1:46" x14ac:dyDescent="0.25">
      <c r="C42" s="11" t="s">
        <v>164</v>
      </c>
      <c r="D42" s="2"/>
      <c r="E42" s="2"/>
      <c r="F42" s="12"/>
      <c r="G42" s="13"/>
      <c r="H42" s="2"/>
      <c r="I42" s="2"/>
      <c r="J42" s="2"/>
      <c r="K42" s="2"/>
      <c r="L42" s="2"/>
      <c r="M42" s="2"/>
      <c r="N42" s="2"/>
      <c r="O42" s="2"/>
      <c r="P42" s="2"/>
      <c r="Q42" s="2"/>
      <c r="R42" s="13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13"/>
      <c r="AM42" s="2"/>
      <c r="AN42" s="2"/>
      <c r="AO42" s="13"/>
      <c r="AP42" s="13"/>
      <c r="AQ42" s="2"/>
      <c r="AR42" s="2"/>
      <c r="AS42" s="2"/>
      <c r="AT42" s="2"/>
    </row>
    <row r="43" spans="1:46" x14ac:dyDescent="0.25">
      <c r="C43" s="2" t="s">
        <v>105</v>
      </c>
      <c r="D43" s="2" t="s">
        <v>104</v>
      </c>
      <c r="E43" s="14" t="s">
        <v>185</v>
      </c>
      <c r="F43" s="2" t="s">
        <v>15</v>
      </c>
      <c r="G43" s="13" t="s">
        <v>185</v>
      </c>
      <c r="H43" s="15"/>
      <c r="I43" s="16">
        <v>0.2805027762784329</v>
      </c>
      <c r="J43" s="15"/>
      <c r="K43" s="15">
        <v>13.031476138327839</v>
      </c>
      <c r="L43" s="15">
        <v>543.03708177844862</v>
      </c>
      <c r="M43" s="15">
        <v>12066.046460195865</v>
      </c>
      <c r="N43" s="17">
        <v>30</v>
      </c>
      <c r="O43" s="2">
        <v>31.536000000000001</v>
      </c>
      <c r="P43" s="2">
        <v>1</v>
      </c>
      <c r="Q43" s="13">
        <v>5</v>
      </c>
      <c r="R43" s="13">
        <v>0</v>
      </c>
      <c r="S43" s="18">
        <v>0.54111740129475128</v>
      </c>
      <c r="T43" s="18">
        <v>0.5458421750378587</v>
      </c>
      <c r="U43" s="18">
        <v>0.52298965046383672</v>
      </c>
      <c r="V43" s="18">
        <v>0.6</v>
      </c>
      <c r="W43" s="18">
        <v>0.55810000000000004</v>
      </c>
      <c r="X43" s="18">
        <v>0.61240000000000006</v>
      </c>
      <c r="Y43" s="18">
        <v>0.64670000000000005</v>
      </c>
      <c r="Z43" s="18">
        <v>0.63060000000000005</v>
      </c>
      <c r="AA43" s="18">
        <v>0.63060000000000005</v>
      </c>
      <c r="AB43" s="18">
        <v>0.63060000000000005</v>
      </c>
      <c r="AC43" s="18">
        <v>0.63060000000000005</v>
      </c>
      <c r="AD43" s="18">
        <v>0.63060000000000005</v>
      </c>
      <c r="AE43" s="18"/>
      <c r="AF43" s="18"/>
      <c r="AG43" s="18">
        <v>0.54057628389345658</v>
      </c>
      <c r="AH43" s="18">
        <v>0.54529633286282087</v>
      </c>
      <c r="AI43" s="18">
        <v>0.51775975395919838</v>
      </c>
      <c r="AJ43" s="19">
        <v>0.05</v>
      </c>
      <c r="AK43" s="18"/>
      <c r="AL43" s="13">
        <v>277.77800000000002</v>
      </c>
      <c r="AM43" s="18">
        <v>96.25</v>
      </c>
      <c r="AN43" s="13">
        <v>1E-3</v>
      </c>
      <c r="AO43" s="13">
        <v>1.5E-3</v>
      </c>
      <c r="AP43" s="20">
        <v>0.8675671912423536</v>
      </c>
      <c r="AQ43" s="20">
        <v>0.41576701555456169</v>
      </c>
      <c r="AR43" s="13">
        <v>0.02</v>
      </c>
      <c r="AS43" s="13">
        <v>5.0000000000000001E-3</v>
      </c>
      <c r="AT43" s="20">
        <v>4.5769644752755773E-2</v>
      </c>
    </row>
    <row r="44" spans="1:46" x14ac:dyDescent="0.25">
      <c r="C44" s="2" t="s">
        <v>102</v>
      </c>
      <c r="D44" s="2" t="s">
        <v>101</v>
      </c>
      <c r="E44" s="14" t="s">
        <v>186</v>
      </c>
      <c r="F44" s="2" t="s">
        <v>15</v>
      </c>
      <c r="G44" s="13" t="s">
        <v>186</v>
      </c>
      <c r="H44" s="15"/>
      <c r="I44" s="16">
        <v>0.25956842465744412</v>
      </c>
      <c r="J44" s="15"/>
      <c r="K44" s="15">
        <v>13.031476138327839</v>
      </c>
      <c r="L44" s="15">
        <v>543.03708177844862</v>
      </c>
      <c r="M44" s="15">
        <v>12066.046460195863</v>
      </c>
      <c r="N44" s="17">
        <v>30</v>
      </c>
      <c r="O44" s="2">
        <v>31.536000000000001</v>
      </c>
      <c r="P44" s="2">
        <v>1</v>
      </c>
      <c r="Q44" s="13">
        <v>5</v>
      </c>
      <c r="R44" s="13">
        <v>0</v>
      </c>
      <c r="S44" s="18">
        <v>0.36749690039180255</v>
      </c>
      <c r="T44" s="18">
        <v>0.37070570443597112</v>
      </c>
      <c r="U44" s="18">
        <v>0.35518553833710637</v>
      </c>
      <c r="V44" s="18">
        <v>0.89150000000000007</v>
      </c>
      <c r="W44" s="18">
        <v>0.89150000000000007</v>
      </c>
      <c r="X44" s="18">
        <v>0.89150000000000007</v>
      </c>
      <c r="Y44" s="18"/>
      <c r="Z44" s="18"/>
      <c r="AA44" s="18"/>
      <c r="AB44" s="18"/>
      <c r="AC44" s="18"/>
      <c r="AD44" s="18"/>
      <c r="AE44" s="18"/>
      <c r="AF44" s="18"/>
      <c r="AG44" s="18">
        <v>0.36712940349141077</v>
      </c>
      <c r="AH44" s="18">
        <v>0.37033499873153514</v>
      </c>
      <c r="AI44" s="18">
        <v>0.35163368295373532</v>
      </c>
      <c r="AJ44" s="19">
        <v>0.05</v>
      </c>
      <c r="AK44" s="18"/>
      <c r="AL44" s="13">
        <v>277.77800000000002</v>
      </c>
      <c r="AM44" s="18">
        <v>96.25</v>
      </c>
      <c r="AN44" s="18">
        <v>1E-3</v>
      </c>
      <c r="AO44" s="21">
        <v>1.5E-3</v>
      </c>
      <c r="AP44" s="20">
        <v>0.8675671912423536</v>
      </c>
      <c r="AQ44" s="20">
        <v>0.41576701555456169</v>
      </c>
      <c r="AR44" s="18">
        <v>0.02</v>
      </c>
      <c r="AS44" s="18">
        <v>5.0000000000000001E-3</v>
      </c>
      <c r="AT44" s="18">
        <v>4.5769644752755773E-2</v>
      </c>
    </row>
    <row r="45" spans="1:46" x14ac:dyDescent="0.25">
      <c r="C45" s="2" t="s">
        <v>99</v>
      </c>
      <c r="D45" s="2" t="s">
        <v>98</v>
      </c>
      <c r="E45" s="14" t="s">
        <v>187</v>
      </c>
      <c r="F45" s="2" t="s">
        <v>15</v>
      </c>
      <c r="G45" s="13" t="s">
        <v>187</v>
      </c>
      <c r="H45" s="15"/>
      <c r="I45" s="16">
        <v>0.24202040664976729</v>
      </c>
      <c r="J45" s="15"/>
      <c r="K45" s="15">
        <v>13.031476138327839</v>
      </c>
      <c r="L45" s="15">
        <v>543.03708177844862</v>
      </c>
      <c r="M45" s="15">
        <v>12066.046460195863</v>
      </c>
      <c r="N45" s="17">
        <v>30</v>
      </c>
      <c r="O45" s="2">
        <v>31.536000000000001</v>
      </c>
      <c r="P45" s="2">
        <v>1</v>
      </c>
      <c r="Q45" s="13">
        <v>5</v>
      </c>
      <c r="R45" s="13">
        <v>0</v>
      </c>
      <c r="S45" s="18">
        <v>0.33923410885870708</v>
      </c>
      <c r="T45" s="18">
        <v>0.34219613596496345</v>
      </c>
      <c r="U45" s="18">
        <v>0.32786956692377073</v>
      </c>
      <c r="V45" s="18">
        <v>0.87390000000000001</v>
      </c>
      <c r="W45" s="18">
        <v>0.87390000000000001</v>
      </c>
      <c r="X45" s="18">
        <v>0.87390000000000001</v>
      </c>
      <c r="Y45" s="18"/>
      <c r="Z45" s="18"/>
      <c r="AA45" s="18"/>
      <c r="AB45" s="18"/>
      <c r="AC45" s="18"/>
      <c r="AD45" s="18"/>
      <c r="AE45" s="18"/>
      <c r="AF45" s="18"/>
      <c r="AG45" s="18">
        <v>0.33889487474984836</v>
      </c>
      <c r="AH45" s="18">
        <v>0.34185393982899848</v>
      </c>
      <c r="AI45" s="18">
        <v>0.32459087125453301</v>
      </c>
      <c r="AJ45" s="19">
        <v>0.05</v>
      </c>
      <c r="AK45" s="18"/>
      <c r="AL45" s="13">
        <v>277.77800000000002</v>
      </c>
      <c r="AM45" s="18">
        <v>96.25</v>
      </c>
      <c r="AN45" s="18">
        <v>1E-3</v>
      </c>
      <c r="AO45" s="21">
        <v>1.5E-3</v>
      </c>
      <c r="AP45" s="20">
        <v>0.8675671912423536</v>
      </c>
      <c r="AQ45" s="20">
        <v>0.41576701555456169</v>
      </c>
      <c r="AR45" s="18">
        <v>0.02</v>
      </c>
      <c r="AS45" s="18">
        <v>5.0000000000000001E-3</v>
      </c>
      <c r="AT45" s="18">
        <v>4.5769644752755773E-2</v>
      </c>
    </row>
    <row r="46" spans="1:46" x14ac:dyDescent="0.25">
      <c r="C46" s="2" t="s">
        <v>96</v>
      </c>
      <c r="D46" s="2" t="s">
        <v>95</v>
      </c>
      <c r="E46" s="14" t="s">
        <v>188</v>
      </c>
      <c r="F46" s="2" t="s">
        <v>15</v>
      </c>
      <c r="G46" s="13" t="s">
        <v>188</v>
      </c>
      <c r="H46" s="15"/>
      <c r="I46" s="16">
        <v>0.31</v>
      </c>
      <c r="J46" s="15"/>
      <c r="K46" s="15">
        <v>13.031476138327839</v>
      </c>
      <c r="L46" s="15">
        <v>543.03708177844862</v>
      </c>
      <c r="M46" s="15">
        <v>12066.046460195861</v>
      </c>
      <c r="N46" s="17">
        <v>30</v>
      </c>
      <c r="O46" s="2">
        <v>31.536000000000001</v>
      </c>
      <c r="P46" s="2">
        <v>1</v>
      </c>
      <c r="Q46" s="13">
        <v>5</v>
      </c>
      <c r="R46" s="13">
        <v>0</v>
      </c>
      <c r="S46" s="18">
        <v>0.52901509650216993</v>
      </c>
      <c r="T46" s="18">
        <v>0.53363419881098562</v>
      </c>
      <c r="U46" s="18">
        <v>0.51129277999148759</v>
      </c>
      <c r="V46" s="18">
        <v>0.65060000000000007</v>
      </c>
      <c r="W46" s="18">
        <v>0.62439999999999996</v>
      </c>
      <c r="X46" s="18">
        <v>0.65359999999999996</v>
      </c>
      <c r="Y46" s="18">
        <v>0.62270000000000003</v>
      </c>
      <c r="Z46" s="18">
        <v>0.62819999999999998</v>
      </c>
      <c r="AA46" s="18">
        <v>0.65480000000000005</v>
      </c>
      <c r="AB46" s="18">
        <v>0.69370000000000009</v>
      </c>
      <c r="AC46" s="18">
        <v>0.67420000000000002</v>
      </c>
      <c r="AD46" s="18">
        <v>0.60799999999999998</v>
      </c>
      <c r="AE46" s="18">
        <v>0.5454</v>
      </c>
      <c r="AF46" s="18">
        <v>0.54579999999999995</v>
      </c>
      <c r="AG46" s="18">
        <v>0.52848608140566777</v>
      </c>
      <c r="AH46" s="18">
        <v>0.53310056461217459</v>
      </c>
      <c r="AI46" s="18">
        <v>0.50617985219157269</v>
      </c>
      <c r="AJ46" s="19">
        <v>0.05</v>
      </c>
      <c r="AK46" s="18"/>
      <c r="AL46" s="13">
        <v>277.77800000000002</v>
      </c>
      <c r="AM46" s="18">
        <v>96.25</v>
      </c>
      <c r="AN46" s="18">
        <v>1E-3</v>
      </c>
      <c r="AO46" s="21">
        <v>1.5E-3</v>
      </c>
      <c r="AP46" s="20">
        <v>0.8675671912423536</v>
      </c>
      <c r="AQ46" s="20">
        <v>0.41576701555456169</v>
      </c>
      <c r="AR46" s="18">
        <v>0.02</v>
      </c>
      <c r="AS46" s="18">
        <v>5.0000000000000001E-3</v>
      </c>
      <c r="AT46" s="18">
        <v>4.5769644752755773E-2</v>
      </c>
    </row>
    <row r="47" spans="1:46" x14ac:dyDescent="0.25">
      <c r="C47" s="2" t="s">
        <v>93</v>
      </c>
      <c r="D47" s="2" t="s">
        <v>92</v>
      </c>
      <c r="E47" s="14" t="s">
        <v>189</v>
      </c>
      <c r="F47" s="2" t="s">
        <v>15</v>
      </c>
      <c r="G47" s="13" t="s">
        <v>189</v>
      </c>
      <c r="H47" s="15"/>
      <c r="I47" s="16">
        <v>0.33058235797930735</v>
      </c>
      <c r="J47" s="15"/>
      <c r="K47" s="15">
        <v>13.031476138327839</v>
      </c>
      <c r="L47" s="15">
        <v>543.03708177844862</v>
      </c>
      <c r="M47" s="15">
        <v>12066.046460195863</v>
      </c>
      <c r="N47" s="17">
        <v>30</v>
      </c>
      <c r="O47" s="2">
        <v>31.536000000000001</v>
      </c>
      <c r="P47" s="2">
        <v>1</v>
      </c>
      <c r="Q47" s="13">
        <v>5</v>
      </c>
      <c r="R47" s="13">
        <v>0</v>
      </c>
      <c r="S47" s="18">
        <v>0.5492283190063032</v>
      </c>
      <c r="T47" s="18">
        <v>0.55402391333463741</v>
      </c>
      <c r="U47" s="18">
        <v>0.53082884766717142</v>
      </c>
      <c r="V47" s="18">
        <v>0.54479999999999995</v>
      </c>
      <c r="W47" s="18">
        <v>0.49670000000000003</v>
      </c>
      <c r="X47" s="18">
        <v>0.60159999999999991</v>
      </c>
      <c r="Y47" s="18">
        <v>0.56920000000000004</v>
      </c>
      <c r="Z47" s="18">
        <v>0.62819999999999998</v>
      </c>
      <c r="AA47" s="18">
        <v>0.61119999999999997</v>
      </c>
      <c r="AB47" s="18">
        <v>0.67220000000000002</v>
      </c>
      <c r="AC47" s="18">
        <v>0.63649999999999995</v>
      </c>
      <c r="AD47" s="18">
        <v>0.59439999999999993</v>
      </c>
      <c r="AE47" s="18">
        <v>0.60909999999999997</v>
      </c>
      <c r="AF47" s="18">
        <v>0.60209999999999997</v>
      </c>
      <c r="AG47" s="18">
        <v>0.54867909068729692</v>
      </c>
      <c r="AH47" s="18">
        <v>0.55346988942130282</v>
      </c>
      <c r="AI47" s="18">
        <v>0.52552055919049967</v>
      </c>
      <c r="AJ47" s="19">
        <v>0.05</v>
      </c>
      <c r="AK47" s="18"/>
      <c r="AL47" s="13">
        <v>277.77800000000002</v>
      </c>
      <c r="AM47" s="18">
        <v>96.25</v>
      </c>
      <c r="AN47" s="18">
        <v>1E-3</v>
      </c>
      <c r="AO47" s="21">
        <v>1.5E-3</v>
      </c>
      <c r="AP47" s="20">
        <v>0.8675671912423536</v>
      </c>
      <c r="AQ47" s="20">
        <v>0.41576701555456169</v>
      </c>
      <c r="AR47" s="18">
        <v>0.02</v>
      </c>
      <c r="AS47" s="18">
        <v>5.0000000000000001E-3</v>
      </c>
      <c r="AT47" s="18">
        <v>4.5769644752755773E-2</v>
      </c>
    </row>
    <row r="48" spans="1:46" x14ac:dyDescent="0.25">
      <c r="C48" s="2" t="s">
        <v>90</v>
      </c>
      <c r="D48" s="2" t="s">
        <v>89</v>
      </c>
      <c r="E48" s="14" t="s">
        <v>190</v>
      </c>
      <c r="F48" s="2" t="s">
        <v>15</v>
      </c>
      <c r="G48" s="13" t="s">
        <v>190</v>
      </c>
      <c r="H48" s="15"/>
      <c r="I48" s="16">
        <v>0.26887733443497819</v>
      </c>
      <c r="J48" s="15"/>
      <c r="K48" s="15">
        <v>13.031476138327839</v>
      </c>
      <c r="L48" s="15">
        <v>543.03708177844862</v>
      </c>
      <c r="M48" s="15">
        <v>12066.046460195863</v>
      </c>
      <c r="N48" s="17">
        <v>30</v>
      </c>
      <c r="O48" s="2">
        <v>31.536000000000001</v>
      </c>
      <c r="P48" s="2">
        <v>1</v>
      </c>
      <c r="Q48" s="13">
        <v>5</v>
      </c>
      <c r="R48" s="13">
        <v>0</v>
      </c>
      <c r="S48" s="18">
        <v>0.55583709036115203</v>
      </c>
      <c r="T48" s="18">
        <v>0.56069038926394066</v>
      </c>
      <c r="U48" s="18">
        <v>0.53721622129921087</v>
      </c>
      <c r="V48" s="18">
        <v>0.60929999999999995</v>
      </c>
      <c r="W48" s="18">
        <v>0.55959999999999999</v>
      </c>
      <c r="X48" s="18">
        <v>0.69349999999999989</v>
      </c>
      <c r="Y48" s="18">
        <v>0.69349999999999989</v>
      </c>
      <c r="Z48" s="18">
        <v>0.69349999999999989</v>
      </c>
      <c r="AA48" s="18">
        <v>0.69349999999999989</v>
      </c>
      <c r="AB48" s="18"/>
      <c r="AC48" s="18"/>
      <c r="AD48" s="18"/>
      <c r="AE48" s="18"/>
      <c r="AF48" s="18"/>
      <c r="AG48" s="18">
        <v>0.55528125327079092</v>
      </c>
      <c r="AH48" s="18">
        <v>0.56012969887467667</v>
      </c>
      <c r="AI48" s="18">
        <v>0.53184405908621879</v>
      </c>
      <c r="AJ48" s="19">
        <v>0.05</v>
      </c>
      <c r="AK48" s="18"/>
      <c r="AL48" s="13">
        <v>277.77800000000002</v>
      </c>
      <c r="AM48" s="18">
        <v>96.25</v>
      </c>
      <c r="AN48" s="18">
        <v>1E-3</v>
      </c>
      <c r="AO48" s="21">
        <v>1.5E-3</v>
      </c>
      <c r="AP48" s="20">
        <v>0.8675671912423536</v>
      </c>
      <c r="AQ48" s="20">
        <v>0.41576701555456169</v>
      </c>
      <c r="AR48" s="18">
        <v>0.02</v>
      </c>
      <c r="AS48" s="18">
        <v>5.0000000000000001E-3</v>
      </c>
      <c r="AT48" s="18">
        <v>4.5769644752755773E-2</v>
      </c>
    </row>
    <row r="49" spans="3:46" x14ac:dyDescent="0.25">
      <c r="C49" s="2" t="s">
        <v>87</v>
      </c>
      <c r="D49" s="2" t="s">
        <v>86</v>
      </c>
      <c r="E49" s="14" t="s">
        <v>41</v>
      </c>
      <c r="F49" s="2" t="s">
        <v>15</v>
      </c>
      <c r="G49" s="13" t="s">
        <v>41</v>
      </c>
      <c r="H49" s="15"/>
      <c r="I49" s="16">
        <v>0.32453714221152569</v>
      </c>
      <c r="J49" s="15"/>
      <c r="K49" s="15">
        <v>13.031476138327839</v>
      </c>
      <c r="L49" s="15">
        <v>543.03708177844851</v>
      </c>
      <c r="M49" s="15">
        <v>12066.046460195863</v>
      </c>
      <c r="N49" s="17">
        <v>30</v>
      </c>
      <c r="O49" s="2">
        <v>31.536000000000001</v>
      </c>
      <c r="P49" s="2">
        <v>1</v>
      </c>
      <c r="Q49" s="13">
        <v>5</v>
      </c>
      <c r="R49" s="13">
        <v>0</v>
      </c>
      <c r="S49" s="18">
        <v>0.7392028286823541</v>
      </c>
      <c r="T49" s="18">
        <v>0.7456571879534335</v>
      </c>
      <c r="U49" s="18">
        <v>0.71443909966569696</v>
      </c>
      <c r="V49" s="18">
        <v>0.69099999999999995</v>
      </c>
      <c r="W49" s="18">
        <v>0.71340000000000003</v>
      </c>
      <c r="X49" s="18">
        <v>0.65469999999999995</v>
      </c>
      <c r="Y49" s="18">
        <v>0.73170000000000002</v>
      </c>
      <c r="Z49" s="18">
        <v>0.69030000000000002</v>
      </c>
      <c r="AA49" s="18">
        <v>0.74140000000000006</v>
      </c>
      <c r="AB49" s="18">
        <v>0.75360000000000005</v>
      </c>
      <c r="AC49" s="18">
        <v>0.69409999999999994</v>
      </c>
      <c r="AD49" s="18">
        <v>0.79330000000000001</v>
      </c>
      <c r="AE49" s="18">
        <v>0.73640000000000005</v>
      </c>
      <c r="AF49" s="18">
        <v>0.72939999999999994</v>
      </c>
      <c r="AG49" s="18">
        <v>0.73846362585367176</v>
      </c>
      <c r="AH49" s="18">
        <v>0.74491153076548011</v>
      </c>
      <c r="AI49" s="18">
        <v>0.70729470866903998</v>
      </c>
      <c r="AJ49" s="19">
        <v>0.05</v>
      </c>
      <c r="AK49" s="18"/>
      <c r="AL49" s="13">
        <v>277.77800000000002</v>
      </c>
      <c r="AM49" s="18">
        <v>96.25</v>
      </c>
      <c r="AN49" s="18">
        <v>1E-3</v>
      </c>
      <c r="AO49" s="21">
        <v>1.5E-3</v>
      </c>
      <c r="AP49" s="20">
        <v>0.8675671912423536</v>
      </c>
      <c r="AQ49" s="20">
        <v>0.41576701555456169</v>
      </c>
      <c r="AR49" s="18">
        <v>0.02</v>
      </c>
      <c r="AS49" s="18">
        <v>5.0000000000000001E-3</v>
      </c>
      <c r="AT49" s="18">
        <v>4.5769644752755773E-2</v>
      </c>
    </row>
    <row r="50" spans="3:46" x14ac:dyDescent="0.25">
      <c r="C50" s="2" t="s">
        <v>84</v>
      </c>
      <c r="D50" s="2" t="s">
        <v>83</v>
      </c>
      <c r="E50" s="14" t="s">
        <v>191</v>
      </c>
      <c r="F50" s="2" t="s">
        <v>15</v>
      </c>
      <c r="G50" s="13" t="s">
        <v>191</v>
      </c>
      <c r="H50" s="15"/>
      <c r="I50" s="16">
        <v>0.31292646716362432</v>
      </c>
      <c r="J50" s="15"/>
      <c r="K50" s="15">
        <v>13.031476138327839</v>
      </c>
      <c r="L50" s="15">
        <v>543.03708177844851</v>
      </c>
      <c r="M50" s="15">
        <v>12066.046460195865</v>
      </c>
      <c r="N50" s="17">
        <v>30</v>
      </c>
      <c r="O50" s="2">
        <v>31.536000000000001</v>
      </c>
      <c r="P50" s="2">
        <v>1</v>
      </c>
      <c r="Q50" s="13">
        <v>5</v>
      </c>
      <c r="R50" s="13">
        <v>0</v>
      </c>
      <c r="S50" s="18">
        <v>0.51428303219089555</v>
      </c>
      <c r="T50" s="18">
        <v>0.51877350128541588</v>
      </c>
      <c r="U50" s="18">
        <v>0.4970542484892132</v>
      </c>
      <c r="V50" s="18">
        <v>0.54100000000000004</v>
      </c>
      <c r="W50" s="18">
        <v>0.63419999999999999</v>
      </c>
      <c r="X50" s="18">
        <v>0.54630000000000001</v>
      </c>
      <c r="Y50" s="18">
        <v>0.51390000000000002</v>
      </c>
      <c r="Z50" s="18">
        <v>0.65200000000000002</v>
      </c>
      <c r="AA50" s="18">
        <v>0.64439999999999997</v>
      </c>
      <c r="AB50" s="18">
        <v>0.65390000000000004</v>
      </c>
      <c r="AC50" s="18">
        <v>0.68889999999999996</v>
      </c>
      <c r="AD50" s="18">
        <v>0.51119999999999999</v>
      </c>
      <c r="AE50" s="18">
        <v>0.60539999999999994</v>
      </c>
      <c r="AF50" s="18">
        <v>0.64150000000000007</v>
      </c>
      <c r="AG50" s="18">
        <v>0.51376874915870463</v>
      </c>
      <c r="AH50" s="18">
        <v>0.51825472778413051</v>
      </c>
      <c r="AI50" s="18">
        <v>0.49208370600432105</v>
      </c>
      <c r="AJ50" s="19">
        <v>0.05</v>
      </c>
      <c r="AK50" s="18"/>
      <c r="AL50" s="13">
        <v>277.77800000000002</v>
      </c>
      <c r="AM50" s="18">
        <v>96.25</v>
      </c>
      <c r="AN50" s="18">
        <v>1E-3</v>
      </c>
      <c r="AO50" s="21">
        <v>1.5E-3</v>
      </c>
      <c r="AP50" s="20">
        <v>0.8675671912423536</v>
      </c>
      <c r="AQ50" s="20">
        <v>0.41576701555456169</v>
      </c>
      <c r="AR50" s="18">
        <v>0.02</v>
      </c>
      <c r="AS50" s="18">
        <v>5.0000000000000001E-3</v>
      </c>
      <c r="AT50" s="18">
        <v>4.5769644752755773E-2</v>
      </c>
    </row>
    <row r="51" spans="3:46" x14ac:dyDescent="0.25">
      <c r="C51" s="2" t="s">
        <v>81</v>
      </c>
      <c r="D51" s="2" t="s">
        <v>80</v>
      </c>
      <c r="E51" s="14" t="s">
        <v>192</v>
      </c>
      <c r="F51" s="2" t="s">
        <v>15</v>
      </c>
      <c r="G51" s="13" t="s">
        <v>192</v>
      </c>
      <c r="H51" s="15"/>
      <c r="I51" s="16">
        <v>0.34</v>
      </c>
      <c r="J51" s="15"/>
      <c r="K51" s="15">
        <v>13.031476138327839</v>
      </c>
      <c r="L51" s="15">
        <v>543.03708177844862</v>
      </c>
      <c r="M51" s="15">
        <v>12066.046460195865</v>
      </c>
      <c r="N51" s="17">
        <v>30</v>
      </c>
      <c r="O51" s="2">
        <v>31.536000000000001</v>
      </c>
      <c r="P51" s="2">
        <v>1</v>
      </c>
      <c r="Q51" s="13">
        <v>5</v>
      </c>
      <c r="R51" s="13">
        <v>0</v>
      </c>
      <c r="S51" s="18">
        <v>0.61629073285527491</v>
      </c>
      <c r="T51" s="18">
        <v>0.62167188353671265</v>
      </c>
      <c r="U51" s="18">
        <v>0.59564463125538081</v>
      </c>
      <c r="V51" s="18">
        <v>0.73980000000000001</v>
      </c>
      <c r="W51" s="18">
        <v>0.7238</v>
      </c>
      <c r="X51" s="18">
        <v>0.75609999999999999</v>
      </c>
      <c r="Y51" s="18">
        <v>0.71</v>
      </c>
      <c r="Z51" s="18">
        <v>0.70409999999999995</v>
      </c>
      <c r="AA51" s="18">
        <v>0.74879999999999991</v>
      </c>
      <c r="AB51" s="18">
        <v>0.68469999999999998</v>
      </c>
      <c r="AC51" s="18">
        <v>0.67909999999999993</v>
      </c>
      <c r="AD51" s="18">
        <v>0.68819999999999992</v>
      </c>
      <c r="AE51" s="18">
        <v>0.74060000000000004</v>
      </c>
      <c r="AF51" s="18">
        <v>0.73360000000000003</v>
      </c>
      <c r="AG51" s="18">
        <v>0.61567444212241962</v>
      </c>
      <c r="AH51" s="18">
        <v>0.62105021165317598</v>
      </c>
      <c r="AI51" s="18">
        <v>0.58968818494282704</v>
      </c>
      <c r="AJ51" s="19">
        <v>0.05</v>
      </c>
      <c r="AK51" s="18"/>
      <c r="AL51" s="13">
        <v>277.77800000000002</v>
      </c>
      <c r="AM51" s="18">
        <v>96.25</v>
      </c>
      <c r="AN51" s="18">
        <v>1E-3</v>
      </c>
      <c r="AO51" s="21">
        <v>1.5E-3</v>
      </c>
      <c r="AP51" s="20">
        <v>0.8675671912423536</v>
      </c>
      <c r="AQ51" s="20">
        <v>0.41576701555456169</v>
      </c>
      <c r="AR51" s="18">
        <v>0.02</v>
      </c>
      <c r="AS51" s="18">
        <v>5.0000000000000001E-3</v>
      </c>
      <c r="AT51" s="18">
        <v>4.5769644752755773E-2</v>
      </c>
    </row>
    <row r="52" spans="3:46" x14ac:dyDescent="0.25">
      <c r="C52" s="2" t="s">
        <v>78</v>
      </c>
      <c r="D52" s="2" t="s">
        <v>77</v>
      </c>
      <c r="E52" s="14" t="s">
        <v>165</v>
      </c>
      <c r="F52" s="2" t="s">
        <v>15</v>
      </c>
      <c r="G52" s="13" t="s">
        <v>165</v>
      </c>
      <c r="H52" s="15"/>
      <c r="I52" s="16">
        <v>0.3</v>
      </c>
      <c r="J52" s="15"/>
      <c r="K52" s="15">
        <v>13.031476138327839</v>
      </c>
      <c r="L52" s="15">
        <v>543.03708177844862</v>
      </c>
      <c r="M52" s="15">
        <v>12066.046460195863</v>
      </c>
      <c r="N52" s="17">
        <v>30</v>
      </c>
      <c r="O52" s="2">
        <v>31.536000000000001</v>
      </c>
      <c r="P52" s="2">
        <v>1</v>
      </c>
      <c r="Q52" s="13">
        <v>5</v>
      </c>
      <c r="R52" s="13">
        <v>0</v>
      </c>
      <c r="S52" s="18">
        <v>0.69869089871477885</v>
      </c>
      <c r="T52" s="18">
        <v>0.70479152753376895</v>
      </c>
      <c r="U52" s="18">
        <v>0.67528434315137709</v>
      </c>
      <c r="V52" s="18">
        <v>0.73049999999999993</v>
      </c>
      <c r="W52" s="18">
        <v>0.74620000000000009</v>
      </c>
      <c r="X52" s="18">
        <v>0.75319999999999998</v>
      </c>
      <c r="Y52" s="18">
        <v>0.72620000000000007</v>
      </c>
      <c r="Z52" s="18">
        <v>0.745</v>
      </c>
      <c r="AA52" s="18">
        <v>0.77040000000000008</v>
      </c>
      <c r="AB52" s="18">
        <v>0.70129999999999992</v>
      </c>
      <c r="AC52" s="18">
        <v>0.72180000000000011</v>
      </c>
      <c r="AD52" s="18">
        <v>0.71930000000000005</v>
      </c>
      <c r="AE52" s="18">
        <v>0.71629999999999994</v>
      </c>
      <c r="AF52" s="18">
        <v>0.70930000000000004</v>
      </c>
      <c r="AG52" s="18">
        <v>0.69799220781606408</v>
      </c>
      <c r="AH52" s="18">
        <v>0.70408673600623517</v>
      </c>
      <c r="AI52" s="18">
        <v>0.66853149971986336</v>
      </c>
      <c r="AJ52" s="19">
        <v>0.05</v>
      </c>
      <c r="AK52" s="18"/>
      <c r="AL52" s="13">
        <v>277.77800000000002</v>
      </c>
      <c r="AM52" s="18">
        <v>96.25</v>
      </c>
      <c r="AN52" s="18">
        <v>1E-3</v>
      </c>
      <c r="AO52" s="21">
        <v>1.5E-3</v>
      </c>
      <c r="AP52" s="20">
        <v>0.8675671912423536</v>
      </c>
      <c r="AQ52" s="20">
        <v>0.41576701555456169</v>
      </c>
      <c r="AR52" s="18">
        <v>0.02</v>
      </c>
      <c r="AS52" s="18">
        <v>5.0000000000000001E-3</v>
      </c>
      <c r="AT52" s="18">
        <v>4.5769644752755773E-2</v>
      </c>
    </row>
    <row r="53" spans="3:46" x14ac:dyDescent="0.25">
      <c r="C53" s="2" t="s">
        <v>76</v>
      </c>
      <c r="D53" s="2" t="s">
        <v>75</v>
      </c>
      <c r="E53" s="14" t="s">
        <v>165</v>
      </c>
      <c r="F53" s="2" t="s">
        <v>15</v>
      </c>
      <c r="G53" s="13" t="s">
        <v>165</v>
      </c>
      <c r="H53" s="15"/>
      <c r="I53" s="16">
        <v>0.31</v>
      </c>
      <c r="J53" s="15"/>
      <c r="K53" s="15">
        <v>13.031476138327839</v>
      </c>
      <c r="L53" s="15">
        <v>543.03708177844851</v>
      </c>
      <c r="M53" s="15">
        <v>12066.046460195865</v>
      </c>
      <c r="N53" s="17">
        <v>30</v>
      </c>
      <c r="O53" s="2">
        <v>31.536000000000001</v>
      </c>
      <c r="P53" s="2">
        <v>1</v>
      </c>
      <c r="Q53" s="13">
        <v>5</v>
      </c>
      <c r="R53" s="13">
        <v>0</v>
      </c>
      <c r="S53" s="18">
        <v>0.69869089871477885</v>
      </c>
      <c r="T53" s="18">
        <v>0.70479152753376895</v>
      </c>
      <c r="U53" s="18">
        <v>0.67528434315137709</v>
      </c>
      <c r="V53" s="18">
        <v>0.73049999999999993</v>
      </c>
      <c r="W53" s="18">
        <v>0.74620000000000009</v>
      </c>
      <c r="X53" s="18">
        <v>0.75319999999999998</v>
      </c>
      <c r="Y53" s="18">
        <v>0.72620000000000007</v>
      </c>
      <c r="Z53" s="18">
        <v>0.745</v>
      </c>
      <c r="AA53" s="18">
        <v>0.77040000000000008</v>
      </c>
      <c r="AB53" s="18">
        <v>0.70129999999999992</v>
      </c>
      <c r="AC53" s="18">
        <v>0.72180000000000011</v>
      </c>
      <c r="AD53" s="18">
        <v>0.71930000000000005</v>
      </c>
      <c r="AE53" s="18">
        <v>0.71629999999999994</v>
      </c>
      <c r="AF53" s="18">
        <v>0.70930000000000004</v>
      </c>
      <c r="AG53" s="18">
        <v>0.69799220781606408</v>
      </c>
      <c r="AH53" s="18">
        <v>0.70408673600623517</v>
      </c>
      <c r="AI53" s="18">
        <v>0.66853149971986336</v>
      </c>
      <c r="AJ53" s="19">
        <v>0.05</v>
      </c>
      <c r="AK53" s="18"/>
      <c r="AL53" s="13">
        <v>277.77800000000002</v>
      </c>
      <c r="AM53" s="18">
        <v>96.25</v>
      </c>
      <c r="AN53" s="18">
        <v>1E-3</v>
      </c>
      <c r="AO53" s="21">
        <v>1.5E-3</v>
      </c>
      <c r="AP53" s="20">
        <v>0.8675671912423536</v>
      </c>
      <c r="AQ53" s="20">
        <v>0.41576701555456169</v>
      </c>
      <c r="AR53" s="18">
        <v>0.02</v>
      </c>
      <c r="AS53" s="18">
        <v>5.0000000000000001E-3</v>
      </c>
      <c r="AT53" s="18">
        <v>4.5769644752755773E-2</v>
      </c>
    </row>
    <row r="54" spans="3:46" x14ac:dyDescent="0.25">
      <c r="C54" s="2" t="s">
        <v>73</v>
      </c>
      <c r="D54" s="2" t="s">
        <v>72</v>
      </c>
      <c r="E54" s="14" t="s">
        <v>193</v>
      </c>
      <c r="F54" s="2" t="s">
        <v>15</v>
      </c>
      <c r="G54" s="13" t="s">
        <v>193</v>
      </c>
      <c r="H54" s="15"/>
      <c r="I54" s="16">
        <v>0.34000258749678802</v>
      </c>
      <c r="J54" s="15"/>
      <c r="K54" s="15">
        <v>13.031476138327839</v>
      </c>
      <c r="L54" s="15">
        <v>543.03708177844862</v>
      </c>
      <c r="M54" s="15">
        <v>12066.046460195867</v>
      </c>
      <c r="N54" s="17">
        <v>30</v>
      </c>
      <c r="O54" s="2">
        <v>31.536000000000001</v>
      </c>
      <c r="P54" s="2">
        <v>1</v>
      </c>
      <c r="Q54" s="13">
        <v>5</v>
      </c>
      <c r="R54" s="13">
        <v>0</v>
      </c>
      <c r="S54" s="18">
        <v>0.8094138159760893</v>
      </c>
      <c r="T54" s="18">
        <v>0.8164812234109301</v>
      </c>
      <c r="U54" s="18">
        <v>0.78229797763859366</v>
      </c>
      <c r="V54" s="18">
        <v>0.82750000000000001</v>
      </c>
      <c r="W54" s="18">
        <v>0.8014</v>
      </c>
      <c r="X54" s="18">
        <v>0.81640000000000001</v>
      </c>
      <c r="Y54" s="18">
        <v>0.81120000000000003</v>
      </c>
      <c r="Z54" s="18">
        <v>0.81200000000000006</v>
      </c>
      <c r="AA54" s="18">
        <v>0.78370000000000006</v>
      </c>
      <c r="AB54" s="18">
        <v>0.79349999999999998</v>
      </c>
      <c r="AC54" s="18">
        <v>0.78790000000000004</v>
      </c>
      <c r="AD54" s="18">
        <v>0.76450000000000007</v>
      </c>
      <c r="AE54" s="18">
        <v>0.80110000000000003</v>
      </c>
      <c r="AF54" s="18">
        <v>0.79409999999999992</v>
      </c>
      <c r="AG54" s="18">
        <v>0.8086044021601132</v>
      </c>
      <c r="AH54" s="18">
        <v>0.81566474218751917</v>
      </c>
      <c r="AI54" s="18">
        <v>0.77447499786220775</v>
      </c>
      <c r="AJ54" s="19">
        <v>0.05</v>
      </c>
      <c r="AK54" s="18"/>
      <c r="AL54" s="13">
        <v>277.77800000000002</v>
      </c>
      <c r="AM54" s="18">
        <v>96.25</v>
      </c>
      <c r="AN54" s="18">
        <v>1E-3</v>
      </c>
      <c r="AO54" s="21">
        <v>1.5E-3</v>
      </c>
      <c r="AP54" s="20">
        <v>0.8675671912423536</v>
      </c>
      <c r="AQ54" s="20">
        <v>0.41576701555456169</v>
      </c>
      <c r="AR54" s="18">
        <v>0.02</v>
      </c>
      <c r="AS54" s="18">
        <v>5.0000000000000001E-3</v>
      </c>
      <c r="AT54" s="18">
        <v>4.5769644752755773E-2</v>
      </c>
    </row>
    <row r="55" spans="3:46" x14ac:dyDescent="0.25">
      <c r="C55" s="2" t="s">
        <v>70</v>
      </c>
      <c r="D55" s="2" t="s">
        <v>69</v>
      </c>
      <c r="E55" s="14" t="s">
        <v>194</v>
      </c>
      <c r="F55" s="2" t="s">
        <v>15</v>
      </c>
      <c r="G55" s="13" t="s">
        <v>194</v>
      </c>
      <c r="H55" s="15"/>
      <c r="I55" s="16">
        <v>0.33160382650844367</v>
      </c>
      <c r="J55" s="15"/>
      <c r="K55" s="15">
        <v>13.031476138327839</v>
      </c>
      <c r="L55" s="15">
        <v>543.03708177844851</v>
      </c>
      <c r="M55" s="15">
        <v>12066.046460195865</v>
      </c>
      <c r="N55" s="17">
        <v>30</v>
      </c>
      <c r="O55" s="2">
        <v>31.536000000000001</v>
      </c>
      <c r="P55" s="2">
        <v>1</v>
      </c>
      <c r="Q55" s="13">
        <v>5</v>
      </c>
      <c r="R55" s="13">
        <v>0</v>
      </c>
      <c r="S55" s="18">
        <v>0.64697127709025493</v>
      </c>
      <c r="T55" s="18">
        <v>0.65262031534928455</v>
      </c>
      <c r="U55" s="18">
        <v>0.62529735923474272</v>
      </c>
      <c r="V55" s="18">
        <v>0.67299999999999993</v>
      </c>
      <c r="W55" s="18">
        <v>0.6876000000000001</v>
      </c>
      <c r="X55" s="18">
        <v>0.70739999999999992</v>
      </c>
      <c r="Y55" s="18">
        <v>0.7097</v>
      </c>
      <c r="Z55" s="18">
        <v>0.69489999999999996</v>
      </c>
      <c r="AA55" s="18">
        <v>0.70530000000000004</v>
      </c>
      <c r="AB55" s="18">
        <v>0.6966</v>
      </c>
      <c r="AC55" s="18">
        <v>0.69099999999999995</v>
      </c>
      <c r="AD55" s="18">
        <v>0.75959999999999994</v>
      </c>
      <c r="AE55" s="18">
        <v>0.70369999999999999</v>
      </c>
      <c r="AF55" s="18">
        <v>0.69669999999999999</v>
      </c>
      <c r="AG55" s="18">
        <v>0.64632430581316469</v>
      </c>
      <c r="AH55" s="18">
        <v>0.65196769503393526</v>
      </c>
      <c r="AI55" s="18">
        <v>0.61904438564239528</v>
      </c>
      <c r="AJ55" s="19">
        <v>0.05</v>
      </c>
      <c r="AK55" s="18"/>
      <c r="AL55" s="13">
        <v>277.77800000000002</v>
      </c>
      <c r="AM55" s="18">
        <v>96.25</v>
      </c>
      <c r="AN55" s="18">
        <v>1E-3</v>
      </c>
      <c r="AO55" s="21">
        <v>1.5E-3</v>
      </c>
      <c r="AP55" s="20">
        <v>0.8675671912423536</v>
      </c>
      <c r="AQ55" s="20">
        <v>0.41576701555456169</v>
      </c>
      <c r="AR55" s="18">
        <v>0.02</v>
      </c>
      <c r="AS55" s="18">
        <v>5.0000000000000001E-3</v>
      </c>
      <c r="AT55" s="18">
        <v>4.5769644752755773E-2</v>
      </c>
    </row>
    <row r="56" spans="3:46" x14ac:dyDescent="0.25">
      <c r="C56" s="2" t="s">
        <v>67</v>
      </c>
      <c r="D56" s="2" t="s">
        <v>66</v>
      </c>
      <c r="E56" s="14" t="s">
        <v>195</v>
      </c>
      <c r="F56" s="2" t="s">
        <v>15</v>
      </c>
      <c r="G56" s="13" t="s">
        <v>195</v>
      </c>
      <c r="H56" s="15"/>
      <c r="I56" s="16">
        <v>0.31090796372879914</v>
      </c>
      <c r="J56" s="15"/>
      <c r="K56" s="15">
        <v>13.031476138327839</v>
      </c>
      <c r="L56" s="15">
        <v>543.03708177844862</v>
      </c>
      <c r="M56" s="15">
        <v>12066.046460195865</v>
      </c>
      <c r="N56" s="17">
        <v>30</v>
      </c>
      <c r="O56" s="2">
        <v>31.536000000000001</v>
      </c>
      <c r="P56" s="2">
        <v>1</v>
      </c>
      <c r="Q56" s="13">
        <v>5</v>
      </c>
      <c r="R56" s="13">
        <v>0</v>
      </c>
      <c r="S56" s="18">
        <v>0.5381100970535827</v>
      </c>
      <c r="T56" s="18">
        <v>0.54280861247995105</v>
      </c>
      <c r="U56" s="18">
        <v>0.52008309268143327</v>
      </c>
      <c r="V56" s="18">
        <v>0.56059999999999999</v>
      </c>
      <c r="W56" s="18">
        <v>0.56859999999999999</v>
      </c>
      <c r="X56" s="18">
        <v>0.54049999999999998</v>
      </c>
      <c r="Y56" s="18">
        <v>0.59150000000000003</v>
      </c>
      <c r="Z56" s="18">
        <v>0.54920000000000002</v>
      </c>
      <c r="AA56" s="18">
        <v>0.61149999999999993</v>
      </c>
      <c r="AB56" s="18">
        <v>0.57840000000000003</v>
      </c>
      <c r="AC56" s="18">
        <v>0.57369999999999999</v>
      </c>
      <c r="AD56" s="18">
        <v>0.62549999999999994</v>
      </c>
      <c r="AE56" s="18">
        <v>0.58779999999999999</v>
      </c>
      <c r="AF56" s="18">
        <v>0.58030000000000004</v>
      </c>
      <c r="AG56" s="18">
        <v>0.53757198695652908</v>
      </c>
      <c r="AH56" s="18">
        <v>0.54226580386747114</v>
      </c>
      <c r="AI56" s="18">
        <v>0.51488226175461893</v>
      </c>
      <c r="AJ56" s="19">
        <v>0.05</v>
      </c>
      <c r="AK56" s="18"/>
      <c r="AL56" s="13">
        <v>277.77800000000002</v>
      </c>
      <c r="AM56" s="18">
        <v>96.25</v>
      </c>
      <c r="AN56" s="18">
        <v>1E-3</v>
      </c>
      <c r="AO56" s="21">
        <v>1.5E-3</v>
      </c>
      <c r="AP56" s="20">
        <v>0.8675671912423536</v>
      </c>
      <c r="AQ56" s="20">
        <v>0.41576701555456169</v>
      </c>
      <c r="AR56" s="18">
        <v>0.02</v>
      </c>
      <c r="AS56" s="18">
        <v>5.0000000000000001E-3</v>
      </c>
      <c r="AT56" s="18">
        <v>4.5769644752755773E-2</v>
      </c>
    </row>
    <row r="57" spans="3:46" x14ac:dyDescent="0.25">
      <c r="C57" s="2" t="s">
        <v>196</v>
      </c>
      <c r="D57" s="2" t="s">
        <v>197</v>
      </c>
      <c r="E57" s="2" t="s">
        <v>166</v>
      </c>
      <c r="F57" s="2" t="s">
        <v>15</v>
      </c>
      <c r="G57" s="13" t="s">
        <v>166</v>
      </c>
      <c r="H57" s="2"/>
      <c r="I57" s="16">
        <v>0.249</v>
      </c>
      <c r="J57" s="2"/>
      <c r="K57" s="15">
        <v>13.031476138327839</v>
      </c>
      <c r="L57" s="15">
        <v>543.03708177844862</v>
      </c>
      <c r="M57" s="15">
        <v>12066.046460195863</v>
      </c>
      <c r="N57" s="17">
        <v>30</v>
      </c>
      <c r="O57" s="2">
        <v>31.536000000000001</v>
      </c>
      <c r="P57" s="2">
        <v>1</v>
      </c>
      <c r="Q57" s="13">
        <v>5</v>
      </c>
      <c r="R57" s="13">
        <v>0</v>
      </c>
      <c r="S57" s="18">
        <v>0.32478976407914761</v>
      </c>
      <c r="T57" s="18"/>
      <c r="U57" s="18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18">
        <v>0.32478976407914761</v>
      </c>
      <c r="AH57" s="18"/>
      <c r="AI57" s="18"/>
      <c r="AJ57" s="2"/>
      <c r="AK57" s="2"/>
      <c r="AL57" s="13">
        <v>277.77800000000002</v>
      </c>
      <c r="AM57" s="57"/>
      <c r="AN57" s="18"/>
      <c r="AO57" s="21"/>
      <c r="AP57" s="18"/>
      <c r="AQ57" s="18"/>
      <c r="AR57" s="18"/>
      <c r="AS57" s="18"/>
      <c r="AT57" s="18"/>
    </row>
    <row r="58" spans="3:46" x14ac:dyDescent="0.25">
      <c r="C58" s="2" t="s">
        <v>198</v>
      </c>
      <c r="D58" s="2" t="s">
        <v>199</v>
      </c>
      <c r="E58" s="2" t="s">
        <v>167</v>
      </c>
      <c r="F58" s="2" t="s">
        <v>168</v>
      </c>
      <c r="G58" s="13" t="s">
        <v>167</v>
      </c>
      <c r="H58" s="16">
        <v>0.25429035508469455</v>
      </c>
      <c r="I58" s="16"/>
      <c r="J58" s="16"/>
      <c r="K58" s="15">
        <v>13.031476138327839</v>
      </c>
      <c r="L58" s="15">
        <v>543.03708177844862</v>
      </c>
      <c r="M58" s="15">
        <v>12066.046460195863</v>
      </c>
      <c r="N58" s="17">
        <v>30</v>
      </c>
      <c r="O58" s="2">
        <v>31.536000000000001</v>
      </c>
      <c r="P58" s="2">
        <v>0</v>
      </c>
      <c r="Q58" s="13">
        <v>5</v>
      </c>
      <c r="R58" s="13">
        <v>0</v>
      </c>
      <c r="S58" s="18">
        <v>0.73182243390231716</v>
      </c>
      <c r="T58" s="18"/>
      <c r="U58" s="18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18">
        <v>0.73182243390231716</v>
      </c>
      <c r="AH58" s="18"/>
      <c r="AI58" s="18"/>
      <c r="AJ58" s="2"/>
      <c r="AK58" s="2"/>
      <c r="AL58" s="13">
        <v>277.77800000000002</v>
      </c>
      <c r="AM58" s="18">
        <v>96.25</v>
      </c>
      <c r="AN58" s="18">
        <v>1E-3</v>
      </c>
      <c r="AO58" s="18">
        <v>1.5E-3</v>
      </c>
      <c r="AP58" s="18">
        <v>0.8675671912423536</v>
      </c>
      <c r="AQ58" s="18">
        <v>0.41576701555456169</v>
      </c>
      <c r="AR58" s="18">
        <v>0.02</v>
      </c>
      <c r="AS58" s="18">
        <v>5.0000000000000001E-3</v>
      </c>
      <c r="AT58" s="18">
        <v>4.5769644752755773E-2</v>
      </c>
    </row>
    <row r="59" spans="3:46" x14ac:dyDescent="0.25">
      <c r="C59" s="2" t="s">
        <v>200</v>
      </c>
      <c r="D59" s="2" t="s">
        <v>201</v>
      </c>
      <c r="E59" s="2" t="s">
        <v>169</v>
      </c>
      <c r="F59" s="2" t="s">
        <v>170</v>
      </c>
      <c r="G59" s="13" t="s">
        <v>169</v>
      </c>
      <c r="H59" s="16">
        <v>0.25429035508469455</v>
      </c>
      <c r="I59" s="16"/>
      <c r="J59" s="16"/>
      <c r="K59" s="15">
        <v>13.031476138327839</v>
      </c>
      <c r="L59" s="15">
        <v>543.03708177844851</v>
      </c>
      <c r="M59" s="15">
        <v>12066.046460195865</v>
      </c>
      <c r="N59" s="17">
        <v>30</v>
      </c>
      <c r="O59" s="2">
        <v>31.536000000000001</v>
      </c>
      <c r="P59" s="2">
        <v>0</v>
      </c>
      <c r="Q59" s="13">
        <v>5</v>
      </c>
      <c r="R59" s="13">
        <v>0</v>
      </c>
      <c r="S59" s="18">
        <v>0.55688169145976019</v>
      </c>
      <c r="T59" s="18"/>
      <c r="U59" s="18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18">
        <v>0.55688169145976019</v>
      </c>
      <c r="AH59" s="18"/>
      <c r="AI59" s="18"/>
      <c r="AJ59" s="2"/>
      <c r="AK59" s="2"/>
      <c r="AL59" s="13">
        <v>277.77800000000002</v>
      </c>
      <c r="AM59" s="57"/>
      <c r="AN59" s="57"/>
      <c r="AO59" s="57"/>
      <c r="AP59" s="57"/>
      <c r="AQ59" s="57"/>
      <c r="AR59" s="57"/>
      <c r="AS59" s="57"/>
      <c r="AT59" s="57"/>
    </row>
    <row r="60" spans="3:46" x14ac:dyDescent="0.25">
      <c r="C60" s="2" t="s">
        <v>202</v>
      </c>
      <c r="D60" s="2" t="s">
        <v>203</v>
      </c>
      <c r="E60" s="2" t="s">
        <v>171</v>
      </c>
      <c r="F60" s="2" t="s">
        <v>15</v>
      </c>
      <c r="G60" s="13" t="s">
        <v>171</v>
      </c>
      <c r="H60" s="16">
        <v>0.32271024591215164</v>
      </c>
      <c r="I60" s="16"/>
      <c r="J60" s="16"/>
      <c r="K60" s="15">
        <v>0</v>
      </c>
      <c r="L60" s="15">
        <v>94.469172806428347</v>
      </c>
      <c r="M60" s="15">
        <v>2549.1787236695927</v>
      </c>
      <c r="N60" s="17">
        <v>30</v>
      </c>
      <c r="O60" s="2">
        <v>31.536000000000001</v>
      </c>
      <c r="P60" s="2">
        <v>1</v>
      </c>
      <c r="Q60" s="13">
        <v>5</v>
      </c>
      <c r="R60" s="13">
        <v>0</v>
      </c>
      <c r="S60" s="2">
        <v>0.95879999999999999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1">
        <v>2.9606004647677766E-3</v>
      </c>
      <c r="AH60" s="21">
        <v>2.8781988551988529E-2</v>
      </c>
      <c r="AI60" s="21">
        <v>7.090683283222167E-2</v>
      </c>
      <c r="AJ60" s="2">
        <v>0.01</v>
      </c>
      <c r="AK60" s="2"/>
      <c r="AL60" s="13">
        <v>277.77800000000002</v>
      </c>
      <c r="AM60" s="57"/>
      <c r="AN60" s="57"/>
      <c r="AO60" s="57"/>
      <c r="AP60" s="57"/>
      <c r="AQ60" s="57"/>
      <c r="AR60" s="57"/>
      <c r="AS60" s="57"/>
      <c r="AT60" s="58"/>
    </row>
    <row r="61" spans="3:46" x14ac:dyDescent="0.25">
      <c r="C61" s="2" t="s">
        <v>204</v>
      </c>
      <c r="D61" s="2" t="s">
        <v>205</v>
      </c>
      <c r="E61" s="2" t="s">
        <v>172</v>
      </c>
      <c r="F61" s="2" t="s">
        <v>15</v>
      </c>
      <c r="G61" s="2"/>
      <c r="H61" s="2">
        <v>1</v>
      </c>
      <c r="I61" s="2"/>
      <c r="J61" s="2"/>
      <c r="K61" s="15">
        <v>0</v>
      </c>
      <c r="L61" s="15">
        <v>58.762396075334657</v>
      </c>
      <c r="M61" s="15">
        <v>7065.6415898987534</v>
      </c>
      <c r="N61" s="17">
        <v>50</v>
      </c>
      <c r="O61" s="2">
        <v>31.536000000000001</v>
      </c>
      <c r="P61" s="2">
        <v>1</v>
      </c>
      <c r="Q61" s="13">
        <v>5</v>
      </c>
      <c r="R61" s="13">
        <v>0</v>
      </c>
      <c r="S61" s="59">
        <v>0.12001708037216328</v>
      </c>
      <c r="T61" s="59"/>
      <c r="U61" s="59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18">
        <v>0.12001708037216328</v>
      </c>
      <c r="AH61" s="18"/>
      <c r="AI61" s="18"/>
      <c r="AJ61" s="2"/>
      <c r="AK61" s="2"/>
      <c r="AL61" s="13"/>
      <c r="AM61" s="57"/>
      <c r="AN61" s="57"/>
      <c r="AO61" s="57"/>
      <c r="AP61" s="57"/>
      <c r="AQ61" s="57"/>
      <c r="AR61" s="57"/>
      <c r="AS61" s="57"/>
      <c r="AT61" s="58"/>
    </row>
    <row r="62" spans="3:46" x14ac:dyDescent="0.25">
      <c r="C62" s="2" t="s">
        <v>206</v>
      </c>
      <c r="D62" s="2" t="s">
        <v>207</v>
      </c>
      <c r="E62" s="2"/>
      <c r="F62" s="2" t="s">
        <v>15</v>
      </c>
      <c r="G62" s="2"/>
      <c r="H62" s="2"/>
      <c r="I62" s="2"/>
      <c r="J62" s="2"/>
      <c r="K62" s="15">
        <v>94.444444444444443</v>
      </c>
      <c r="L62" s="15">
        <v>58.762396075334657</v>
      </c>
      <c r="M62" s="15">
        <v>7065.6415898987516</v>
      </c>
      <c r="N62" s="17">
        <v>50</v>
      </c>
      <c r="O62" s="2">
        <v>31.536000000000001</v>
      </c>
      <c r="P62" s="2">
        <v>1</v>
      </c>
      <c r="Q62" s="13">
        <v>5</v>
      </c>
      <c r="R62" s="13">
        <v>0</v>
      </c>
      <c r="S62" s="59">
        <v>0.6898696347031964</v>
      </c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2"/>
      <c r="AG62" s="18">
        <v>0.6898696347031964</v>
      </c>
      <c r="AH62" s="18"/>
      <c r="AI62" s="18"/>
      <c r="AJ62" s="59"/>
      <c r="AK62" s="2"/>
      <c r="AL62" s="13"/>
      <c r="AM62" s="57"/>
      <c r="AN62" s="57"/>
      <c r="AO62" s="57"/>
      <c r="AP62" s="57"/>
      <c r="AQ62" s="57"/>
      <c r="AR62" s="57"/>
      <c r="AS62" s="57"/>
      <c r="AT62" s="58"/>
    </row>
    <row r="63" spans="3:46" x14ac:dyDescent="0.25">
      <c r="C63" s="2" t="s">
        <v>208</v>
      </c>
      <c r="D63" s="2" t="s">
        <v>209</v>
      </c>
      <c r="E63" s="2" t="s">
        <v>173</v>
      </c>
      <c r="F63" s="2" t="s">
        <v>15</v>
      </c>
      <c r="G63" s="2"/>
      <c r="H63" s="16">
        <v>0.32001521850150205</v>
      </c>
      <c r="I63" s="16"/>
      <c r="J63" s="16"/>
      <c r="K63" s="15">
        <v>0</v>
      </c>
      <c r="L63" s="15">
        <v>568.74297914074202</v>
      </c>
      <c r="M63" s="15">
        <v>22572.762447558838</v>
      </c>
      <c r="N63" s="17">
        <v>50</v>
      </c>
      <c r="O63" s="2">
        <v>31.536000000000001</v>
      </c>
      <c r="P63" s="2">
        <v>1</v>
      </c>
      <c r="Q63" s="13">
        <v>5</v>
      </c>
      <c r="R63" s="13">
        <v>0</v>
      </c>
      <c r="S63" s="59">
        <v>0.92601880492954292</v>
      </c>
      <c r="T63" s="59">
        <v>0.64727451269210001</v>
      </c>
      <c r="U63" s="59">
        <v>0.83381609957283842</v>
      </c>
      <c r="V63" s="2">
        <v>0.84160000000000001</v>
      </c>
      <c r="W63" s="2">
        <v>0.82959999999999989</v>
      </c>
      <c r="X63" s="2">
        <v>0.70319999999999994</v>
      </c>
      <c r="Y63" s="2">
        <v>0.90079999999999993</v>
      </c>
      <c r="Z63" s="2">
        <v>0.86459999999999992</v>
      </c>
      <c r="AA63" s="2">
        <v>0.74930000000000008</v>
      </c>
      <c r="AB63" s="2">
        <v>0.90040000000000009</v>
      </c>
      <c r="AC63" s="2">
        <v>0.89500000000000002</v>
      </c>
      <c r="AD63" s="2">
        <v>0.92110000000000003</v>
      </c>
      <c r="AE63" s="2">
        <v>0.84499999999999997</v>
      </c>
      <c r="AF63" s="2">
        <v>0.84540000000000004</v>
      </c>
      <c r="AG63" s="18">
        <v>0.92601880492954292</v>
      </c>
      <c r="AH63" s="18">
        <v>0.64662723817940793</v>
      </c>
      <c r="AI63" s="18">
        <v>0.83298228347326553</v>
      </c>
      <c r="AJ63" s="15">
        <v>0.64662723817940793</v>
      </c>
      <c r="AK63" s="2"/>
      <c r="AL63" s="13">
        <v>277.77800000000002</v>
      </c>
      <c r="AM63" s="58"/>
      <c r="AN63" s="58"/>
      <c r="AO63" s="58"/>
      <c r="AP63" s="58"/>
      <c r="AQ63" s="58"/>
      <c r="AR63" s="58"/>
      <c r="AS63" s="58"/>
      <c r="AT63" s="58"/>
    </row>
    <row r="64" spans="3:46" x14ac:dyDescent="0.25">
      <c r="C64" s="2" t="s">
        <v>210</v>
      </c>
      <c r="D64" s="2" t="s">
        <v>211</v>
      </c>
      <c r="E64" s="2" t="s">
        <v>15</v>
      </c>
      <c r="F64" s="2" t="s">
        <v>15</v>
      </c>
      <c r="G64" s="2"/>
      <c r="H64" s="2"/>
      <c r="I64" s="2"/>
      <c r="J64" s="2">
        <v>0.73</v>
      </c>
      <c r="K64" s="15">
        <v>0</v>
      </c>
      <c r="L64" s="15">
        <v>6.3557831228270487</v>
      </c>
      <c r="M64" s="15">
        <v>6963.1608337923444</v>
      </c>
      <c r="N64" s="17">
        <v>50</v>
      </c>
      <c r="O64" s="2">
        <v>31.536000000000001</v>
      </c>
      <c r="P64" s="2">
        <v>1</v>
      </c>
      <c r="Q64" s="13">
        <v>5</v>
      </c>
      <c r="R64" s="13">
        <v>0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>
        <v>1</v>
      </c>
      <c r="AL64" s="13"/>
      <c r="AM64" s="2"/>
      <c r="AN64" s="2"/>
      <c r="AO64" s="2"/>
      <c r="AP64" s="2"/>
      <c r="AQ64" s="2"/>
      <c r="AR64" s="2"/>
      <c r="AS64" s="2"/>
      <c r="AT64" s="2"/>
    </row>
    <row r="65" spans="3:46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3:46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3:46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3:46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3:46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3:46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3" spans="3:46" ht="34.5" x14ac:dyDescent="0.25">
      <c r="C73" s="2"/>
      <c r="D73" s="2"/>
      <c r="E73" s="2"/>
      <c r="F73" s="2"/>
      <c r="G73" s="13"/>
      <c r="H73" s="3" t="s">
        <v>148</v>
      </c>
      <c r="I73" s="3" t="s">
        <v>0</v>
      </c>
      <c r="J73" s="3" t="s">
        <v>149</v>
      </c>
      <c r="K73" s="3" t="s">
        <v>1</v>
      </c>
      <c r="L73" s="3" t="s">
        <v>2</v>
      </c>
      <c r="M73" s="3" t="s">
        <v>212</v>
      </c>
      <c r="N73" s="3" t="s">
        <v>213</v>
      </c>
      <c r="O73" s="3" t="s">
        <v>4</v>
      </c>
      <c r="P73" s="3" t="s">
        <v>5</v>
      </c>
      <c r="Q73" s="3" t="s">
        <v>7</v>
      </c>
      <c r="R73" s="2" t="s">
        <v>150</v>
      </c>
      <c r="S73" s="2" t="s">
        <v>150</v>
      </c>
      <c r="T73" s="2" t="s">
        <v>150</v>
      </c>
      <c r="U73" s="2" t="s">
        <v>150</v>
      </c>
      <c r="V73" s="2" t="s">
        <v>150</v>
      </c>
      <c r="W73" s="2" t="s">
        <v>150</v>
      </c>
      <c r="X73" s="2" t="s">
        <v>150</v>
      </c>
      <c r="Y73" s="2" t="s">
        <v>150</v>
      </c>
      <c r="Z73" s="2" t="s">
        <v>150</v>
      </c>
      <c r="AA73" s="2" t="s">
        <v>150</v>
      </c>
      <c r="AB73" s="2" t="s">
        <v>150</v>
      </c>
      <c r="AC73" s="2" t="s">
        <v>150</v>
      </c>
      <c r="AD73" s="2" t="s">
        <v>150</v>
      </c>
      <c r="AE73" s="2" t="s">
        <v>150</v>
      </c>
      <c r="AF73" s="2" t="s">
        <v>150</v>
      </c>
      <c r="AG73" s="2" t="s">
        <v>150</v>
      </c>
      <c r="AH73" s="2" t="s">
        <v>150</v>
      </c>
      <c r="AI73" s="2" t="s">
        <v>150</v>
      </c>
      <c r="AJ73" s="2" t="s">
        <v>152</v>
      </c>
      <c r="AK73" s="2" t="s">
        <v>8</v>
      </c>
      <c r="AL73" s="2"/>
      <c r="AM73" s="2"/>
      <c r="AN73" s="2"/>
      <c r="AO73" s="2"/>
      <c r="AP73" s="2"/>
      <c r="AQ73" s="2"/>
      <c r="AR73" s="2"/>
    </row>
    <row r="74" spans="3:46" ht="23.25" x14ac:dyDescent="0.25">
      <c r="C74" s="2"/>
      <c r="D74" s="2"/>
      <c r="E74" s="4"/>
      <c r="F74" s="4"/>
      <c r="G74" s="4"/>
      <c r="H74" s="5" t="s">
        <v>153</v>
      </c>
      <c r="I74" s="5" t="s">
        <v>154</v>
      </c>
      <c r="J74" s="5" t="s">
        <v>155</v>
      </c>
      <c r="K74" s="5" t="s">
        <v>9</v>
      </c>
      <c r="L74" s="5" t="s">
        <v>10</v>
      </c>
      <c r="M74" s="5" t="s">
        <v>11</v>
      </c>
      <c r="N74" s="5" t="s">
        <v>214</v>
      </c>
      <c r="O74" s="5" t="s">
        <v>12</v>
      </c>
      <c r="P74" s="5" t="s">
        <v>13</v>
      </c>
      <c r="Q74" s="6" t="s">
        <v>160</v>
      </c>
      <c r="R74" s="6" t="s">
        <v>158</v>
      </c>
      <c r="S74" s="6" t="s">
        <v>158</v>
      </c>
      <c r="T74" s="6" t="s">
        <v>158</v>
      </c>
      <c r="U74" s="6" t="s">
        <v>158</v>
      </c>
      <c r="V74" s="6" t="s">
        <v>158</v>
      </c>
      <c r="W74" s="6" t="s">
        <v>157</v>
      </c>
      <c r="X74" s="6" t="s">
        <v>157</v>
      </c>
      <c r="Y74" s="6" t="s">
        <v>157</v>
      </c>
      <c r="Z74" s="6" t="s">
        <v>157</v>
      </c>
      <c r="AA74" s="6" t="s">
        <v>157</v>
      </c>
      <c r="AB74" s="6" t="s">
        <v>157</v>
      </c>
      <c r="AC74" s="6" t="s">
        <v>157</v>
      </c>
      <c r="AD74" s="6" t="s">
        <v>157</v>
      </c>
      <c r="AE74" s="6" t="s">
        <v>157</v>
      </c>
      <c r="AF74" s="6" t="s">
        <v>157</v>
      </c>
      <c r="AG74" s="6" t="s">
        <v>157</v>
      </c>
      <c r="AH74" s="6" t="s">
        <v>157</v>
      </c>
      <c r="AI74" s="6" t="s">
        <v>157</v>
      </c>
      <c r="AJ74" s="6" t="s">
        <v>159</v>
      </c>
      <c r="AK74" s="6" t="s">
        <v>161</v>
      </c>
      <c r="AL74" s="6" t="s">
        <v>161</v>
      </c>
      <c r="AM74" s="6" t="s">
        <v>161</v>
      </c>
      <c r="AN74" s="6" t="s">
        <v>161</v>
      </c>
      <c r="AO74" s="6" t="s">
        <v>161</v>
      </c>
      <c r="AP74" s="6" t="s">
        <v>161</v>
      </c>
      <c r="AQ74" s="6" t="s">
        <v>161</v>
      </c>
      <c r="AR74" s="6" t="s">
        <v>161</v>
      </c>
    </row>
    <row r="75" spans="3:46" x14ac:dyDescent="0.25">
      <c r="C75" s="2"/>
      <c r="D75" s="2"/>
      <c r="E75" s="2"/>
      <c r="F75" s="2"/>
      <c r="G75" s="13"/>
      <c r="H75" s="5" t="s">
        <v>162</v>
      </c>
      <c r="I75" s="5" t="s">
        <v>15</v>
      </c>
      <c r="J75" s="5"/>
      <c r="K75" s="5"/>
      <c r="L75" s="60"/>
      <c r="M75" s="2"/>
      <c r="N75" s="2"/>
      <c r="O75" s="2"/>
      <c r="P75" s="7"/>
      <c r="Q75" s="5" t="s">
        <v>16</v>
      </c>
      <c r="R75" s="2">
        <v>2017</v>
      </c>
      <c r="S75" s="2">
        <v>2018</v>
      </c>
      <c r="T75" s="2">
        <v>2019</v>
      </c>
      <c r="U75" s="2">
        <v>2020</v>
      </c>
      <c r="V75" s="2">
        <v>2021</v>
      </c>
      <c r="W75" s="5"/>
      <c r="X75" s="2">
        <v>2017</v>
      </c>
      <c r="Y75" s="2">
        <v>2020</v>
      </c>
      <c r="Z75" s="2">
        <v>2021</v>
      </c>
      <c r="AA75" s="2">
        <v>2022</v>
      </c>
      <c r="AB75" s="2">
        <v>2023</v>
      </c>
      <c r="AC75" s="2">
        <v>2024</v>
      </c>
      <c r="AD75" s="2">
        <v>2025</v>
      </c>
      <c r="AE75" s="2">
        <v>2026</v>
      </c>
      <c r="AF75" s="2">
        <v>2027</v>
      </c>
      <c r="AG75" s="2">
        <v>2028</v>
      </c>
      <c r="AH75" s="2">
        <v>2029</v>
      </c>
      <c r="AI75" s="2">
        <v>2030</v>
      </c>
      <c r="AJ75" s="5" t="s">
        <v>162</v>
      </c>
      <c r="AK75" s="5" t="s">
        <v>17</v>
      </c>
      <c r="AL75" s="5" t="s">
        <v>18</v>
      </c>
      <c r="AM75" s="5" t="s">
        <v>19</v>
      </c>
      <c r="AN75" s="5" t="s">
        <v>20</v>
      </c>
      <c r="AO75" s="5" t="s">
        <v>21</v>
      </c>
      <c r="AP75" s="5" t="s">
        <v>22</v>
      </c>
      <c r="AQ75" s="5" t="s">
        <v>23</v>
      </c>
      <c r="AR75" s="5" t="s">
        <v>24</v>
      </c>
    </row>
    <row r="76" spans="3:46" x14ac:dyDescent="0.25">
      <c r="C76" s="2"/>
      <c r="D76" s="2"/>
      <c r="E76" s="2"/>
      <c r="F76" s="2"/>
      <c r="G76" s="13"/>
      <c r="H76" s="5"/>
      <c r="I76" s="5"/>
      <c r="J76" s="5"/>
      <c r="K76" s="5"/>
      <c r="L76" s="60"/>
      <c r="M76" s="2"/>
      <c r="N76" s="2"/>
      <c r="O76" s="2"/>
      <c r="P76" s="7"/>
      <c r="Q76" s="5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5"/>
      <c r="AK76" s="5"/>
      <c r="AL76" s="5"/>
      <c r="AM76" s="5"/>
      <c r="AN76" s="5"/>
      <c r="AO76" s="5"/>
      <c r="AP76" s="5"/>
      <c r="AQ76" s="5"/>
      <c r="AR76" s="5"/>
    </row>
    <row r="77" spans="3:46" ht="23.25" x14ac:dyDescent="0.25">
      <c r="C77" s="8" t="s">
        <v>27</v>
      </c>
      <c r="D77" s="8" t="s">
        <v>28</v>
      </c>
      <c r="E77" s="8" t="s">
        <v>29</v>
      </c>
      <c r="F77" s="8" t="s">
        <v>30</v>
      </c>
      <c r="G77" s="9" t="s">
        <v>31</v>
      </c>
      <c r="H77" s="2" t="s">
        <v>153</v>
      </c>
      <c r="I77" s="2" t="s">
        <v>32</v>
      </c>
      <c r="J77" s="2" t="s">
        <v>155</v>
      </c>
      <c r="K77" s="2" t="s">
        <v>9</v>
      </c>
      <c r="L77" s="2" t="s">
        <v>10</v>
      </c>
      <c r="M77" s="2" t="s">
        <v>11</v>
      </c>
      <c r="N77" s="2" t="s">
        <v>214</v>
      </c>
      <c r="O77" s="2" t="s">
        <v>12</v>
      </c>
      <c r="P77" s="2" t="s">
        <v>13</v>
      </c>
      <c r="Q77" s="2" t="s">
        <v>58</v>
      </c>
      <c r="R77" s="3" t="s">
        <v>179</v>
      </c>
      <c r="S77" s="3" t="s">
        <v>180</v>
      </c>
      <c r="T77" s="3" t="s">
        <v>181</v>
      </c>
      <c r="U77" s="3" t="s">
        <v>182</v>
      </c>
      <c r="V77" s="3" t="s">
        <v>215</v>
      </c>
      <c r="W77" s="3" t="s">
        <v>216</v>
      </c>
      <c r="X77" s="3" t="s">
        <v>176</v>
      </c>
      <c r="Y77" s="3" t="s">
        <v>117</v>
      </c>
      <c r="Z77" s="3" t="s">
        <v>116</v>
      </c>
      <c r="AA77" s="3" t="s">
        <v>115</v>
      </c>
      <c r="AB77" s="3" t="s">
        <v>114</v>
      </c>
      <c r="AC77" s="3" t="s">
        <v>113</v>
      </c>
      <c r="AD77" s="3" t="s">
        <v>112</v>
      </c>
      <c r="AE77" s="3" t="s">
        <v>111</v>
      </c>
      <c r="AF77" s="3" t="s">
        <v>110</v>
      </c>
      <c r="AG77" s="3" t="s">
        <v>109</v>
      </c>
      <c r="AH77" s="3" t="s">
        <v>108</v>
      </c>
      <c r="AI77" s="3" t="s">
        <v>107</v>
      </c>
      <c r="AJ77" s="3" t="s">
        <v>183</v>
      </c>
      <c r="AK77" s="10" t="s">
        <v>33</v>
      </c>
      <c r="AL77" s="10" t="s">
        <v>34</v>
      </c>
      <c r="AM77" s="10" t="s">
        <v>35</v>
      </c>
      <c r="AN77" s="10" t="s">
        <v>36</v>
      </c>
      <c r="AO77" s="10" t="s">
        <v>37</v>
      </c>
      <c r="AP77" s="10" t="s">
        <v>38</v>
      </c>
      <c r="AQ77" s="10" t="s">
        <v>39</v>
      </c>
      <c r="AR77" s="10" t="s">
        <v>40</v>
      </c>
    </row>
    <row r="78" spans="3:46" x14ac:dyDescent="0.25">
      <c r="C78" s="2"/>
      <c r="D78" s="2"/>
      <c r="E78" s="2"/>
      <c r="F78" s="2" t="s">
        <v>15</v>
      </c>
      <c r="G78" s="13"/>
      <c r="H78" s="2"/>
      <c r="I78" s="2"/>
      <c r="J78" s="2"/>
      <c r="K78" s="2"/>
      <c r="L78" s="2"/>
      <c r="M78" s="2"/>
      <c r="N78" s="2"/>
      <c r="O78" s="2"/>
      <c r="P78" s="2"/>
      <c r="Q78" s="13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13"/>
      <c r="AN78" s="13"/>
      <c r="AO78" s="2"/>
      <c r="AP78" s="2"/>
      <c r="AQ78" s="2"/>
      <c r="AR78" s="2"/>
    </row>
    <row r="79" spans="3:46" x14ac:dyDescent="0.25">
      <c r="C79" s="2" t="s">
        <v>64</v>
      </c>
      <c r="D79" s="2" t="s">
        <v>63</v>
      </c>
      <c r="E79" s="14" t="s">
        <v>217</v>
      </c>
      <c r="F79" s="2" t="s">
        <v>15</v>
      </c>
      <c r="G79" s="13" t="s">
        <v>217</v>
      </c>
      <c r="H79" s="2"/>
      <c r="I79" s="16">
        <v>0.37099999999999994</v>
      </c>
      <c r="J79" s="15"/>
      <c r="K79" s="15">
        <v>13.031476138327839</v>
      </c>
      <c r="L79" s="15">
        <v>543.03708177844862</v>
      </c>
      <c r="M79" s="61">
        <v>51359.853856451664</v>
      </c>
      <c r="N79" s="2">
        <v>-8</v>
      </c>
      <c r="O79" s="2">
        <v>50</v>
      </c>
      <c r="P79" s="2">
        <v>31.536000000000001</v>
      </c>
      <c r="Q79" s="13">
        <v>277.77800000000002</v>
      </c>
      <c r="R79" s="18">
        <v>0.79</v>
      </c>
      <c r="S79" s="18"/>
      <c r="T79" s="18"/>
      <c r="U79" s="18">
        <v>0.55000000000000004</v>
      </c>
      <c r="V79" s="19">
        <v>0.05</v>
      </c>
      <c r="W79" s="18"/>
      <c r="X79" s="18">
        <v>0.8</v>
      </c>
      <c r="Y79" s="18">
        <v>0.75639999999999996</v>
      </c>
      <c r="Z79" s="18">
        <v>0.7923</v>
      </c>
      <c r="AA79" s="18">
        <v>0.84219999999999995</v>
      </c>
      <c r="AB79" s="18">
        <v>0.83579999999999999</v>
      </c>
      <c r="AC79" s="18">
        <v>0.85199999999999998</v>
      </c>
      <c r="AD79" s="18">
        <v>0.81900000000000006</v>
      </c>
      <c r="AE79" s="18">
        <v>0.8599</v>
      </c>
      <c r="AF79" s="18">
        <v>0.86659999999999993</v>
      </c>
      <c r="AG79" s="18">
        <v>0.79519999999999991</v>
      </c>
      <c r="AH79" s="18">
        <v>0.8176000000000001</v>
      </c>
      <c r="AI79" s="18">
        <v>0.81059999999999999</v>
      </c>
      <c r="AJ79" s="18"/>
      <c r="AK79" s="18">
        <v>96.25</v>
      </c>
      <c r="AL79" s="20">
        <v>1E-3</v>
      </c>
      <c r="AM79" s="62">
        <v>1.5E-3</v>
      </c>
      <c r="AN79" s="18">
        <v>0.93059166666666648</v>
      </c>
      <c r="AO79" s="18">
        <v>0.19683611111111107</v>
      </c>
      <c r="AP79" s="18">
        <v>0.02</v>
      </c>
      <c r="AQ79" s="20">
        <v>5.0000000000000001E-3</v>
      </c>
      <c r="AR79" s="20">
        <v>4.5769644752755773E-2</v>
      </c>
    </row>
    <row r="80" spans="3:46" x14ac:dyDescent="0.25">
      <c r="C80" s="2" t="s">
        <v>61</v>
      </c>
      <c r="D80" s="2" t="s">
        <v>60</v>
      </c>
      <c r="E80" s="14" t="s">
        <v>218</v>
      </c>
      <c r="F80" s="2" t="s">
        <v>15</v>
      </c>
      <c r="G80" s="13" t="s">
        <v>218</v>
      </c>
      <c r="H80" s="2"/>
      <c r="I80" s="16">
        <v>0.36689767631471665</v>
      </c>
      <c r="J80" s="15"/>
      <c r="K80" s="15">
        <v>13.031476138327839</v>
      </c>
      <c r="L80" s="15">
        <v>543.03708177844862</v>
      </c>
      <c r="M80" s="61">
        <v>51359.853856451664</v>
      </c>
      <c r="N80" s="2">
        <v>-8</v>
      </c>
      <c r="O80" s="2">
        <v>50</v>
      </c>
      <c r="P80" s="2">
        <v>31.536000000000001</v>
      </c>
      <c r="Q80" s="13">
        <v>277.77800000000002</v>
      </c>
      <c r="R80" s="18">
        <v>0.22150277119498554</v>
      </c>
      <c r="S80" s="18"/>
      <c r="T80" s="18"/>
      <c r="U80" s="18">
        <v>0.4</v>
      </c>
      <c r="V80" s="19">
        <v>0.05</v>
      </c>
      <c r="W80" s="2"/>
      <c r="X80" s="18">
        <v>0.55218394942432913</v>
      </c>
      <c r="Y80" s="18">
        <v>0.75639999999999996</v>
      </c>
      <c r="Z80" s="18">
        <v>0.7923</v>
      </c>
      <c r="AA80" s="18">
        <v>0.84219999999999995</v>
      </c>
      <c r="AB80" s="18">
        <v>0.83579999999999999</v>
      </c>
      <c r="AC80" s="18">
        <v>0.85199999999999998</v>
      </c>
      <c r="AD80" s="18">
        <v>0.81900000000000006</v>
      </c>
      <c r="AE80" s="18">
        <v>0.8599</v>
      </c>
      <c r="AF80" s="18">
        <v>0.86659999999999993</v>
      </c>
      <c r="AG80" s="18">
        <v>0.79519999999999991</v>
      </c>
      <c r="AH80" s="18">
        <v>0.8176000000000001</v>
      </c>
      <c r="AI80" s="18">
        <v>0.81059999999999999</v>
      </c>
      <c r="AJ80" s="18"/>
      <c r="AK80" s="18">
        <v>96.25</v>
      </c>
      <c r="AL80" s="20">
        <v>1E-3</v>
      </c>
      <c r="AM80" s="62">
        <v>1.5E-3</v>
      </c>
      <c r="AN80" s="63">
        <v>6.5141416666666604E-2</v>
      </c>
      <c r="AO80" s="64">
        <v>0.19683611111111107</v>
      </c>
      <c r="AP80" s="64">
        <v>0.02</v>
      </c>
      <c r="AQ80" s="65">
        <v>5.0000000000000001E-3</v>
      </c>
      <c r="AR80" s="20">
        <v>4.5769644752755773E-2</v>
      </c>
    </row>
    <row r="81" spans="3:44" x14ac:dyDescent="0.25">
      <c r="C81" s="2" t="s">
        <v>219</v>
      </c>
      <c r="D81" s="2" t="s">
        <v>220</v>
      </c>
      <c r="E81" s="14" t="s">
        <v>217</v>
      </c>
      <c r="F81" s="2" t="s">
        <v>15</v>
      </c>
      <c r="G81" s="13" t="s">
        <v>217</v>
      </c>
      <c r="H81" s="2"/>
      <c r="I81" s="16">
        <v>0.438</v>
      </c>
      <c r="J81" s="15"/>
      <c r="K81" s="15">
        <v>31.504666666666665</v>
      </c>
      <c r="L81" s="17">
        <v>1311.2639999999999</v>
      </c>
      <c r="M81" s="61">
        <v>55306.829600000005</v>
      </c>
      <c r="N81" s="2">
        <v>-4</v>
      </c>
      <c r="O81" s="2">
        <v>50</v>
      </c>
      <c r="P81" s="2">
        <v>31.536000000000001</v>
      </c>
      <c r="Q81" s="13">
        <v>277.77800000000002</v>
      </c>
      <c r="R81" s="18">
        <v>0.4</v>
      </c>
      <c r="S81" s="18"/>
      <c r="T81" s="18"/>
      <c r="U81" s="18"/>
      <c r="V81" s="18"/>
      <c r="W81" s="2">
        <v>0.8</v>
      </c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>
        <v>96.25</v>
      </c>
      <c r="AL81" s="20">
        <v>1E-3</v>
      </c>
      <c r="AM81" s="62">
        <v>1.5E-3</v>
      </c>
      <c r="AN81" s="18">
        <v>6.5141416666666604E-2</v>
      </c>
      <c r="AO81" s="18">
        <v>0.19683611111111107</v>
      </c>
      <c r="AP81" s="18">
        <v>0.02</v>
      </c>
      <c r="AQ81" s="20">
        <v>5.0000000000000001E-3</v>
      </c>
      <c r="AR81" s="20">
        <v>4.5769644752755773E-2</v>
      </c>
    </row>
    <row r="82" spans="3:44" x14ac:dyDescent="0.25">
      <c r="C82" s="2" t="s">
        <v>221</v>
      </c>
      <c r="D82" s="2" t="s">
        <v>222</v>
      </c>
      <c r="E82" s="14" t="s">
        <v>217</v>
      </c>
      <c r="F82" s="2" t="s">
        <v>15</v>
      </c>
      <c r="G82" s="13" t="s">
        <v>217</v>
      </c>
      <c r="H82" s="2"/>
      <c r="I82" s="16">
        <v>0.32631287238796308</v>
      </c>
      <c r="J82" s="15"/>
      <c r="K82" s="15">
        <v>58.124888888888883</v>
      </c>
      <c r="L82" s="17">
        <v>2235.6799999999998</v>
      </c>
      <c r="M82" s="61">
        <v>106982.81440000002</v>
      </c>
      <c r="N82" s="2">
        <v>-4</v>
      </c>
      <c r="O82" s="2">
        <v>50</v>
      </c>
      <c r="P82" s="2">
        <v>31.536000000000001</v>
      </c>
      <c r="Q82" s="13">
        <v>277.77800000000002</v>
      </c>
      <c r="R82" s="18">
        <v>0.4</v>
      </c>
      <c r="S82" s="18"/>
      <c r="T82" s="18"/>
      <c r="U82" s="18"/>
      <c r="V82" s="18"/>
      <c r="W82" s="2">
        <v>0.8</v>
      </c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>
        <v>9.6290075399850092</v>
      </c>
      <c r="AL82" s="20">
        <v>1E-3</v>
      </c>
      <c r="AM82" s="62">
        <v>1.5E-3</v>
      </c>
      <c r="AN82" s="18">
        <v>6.5141416666666604E-2</v>
      </c>
      <c r="AO82" s="18">
        <v>2.9641897186885938E-2</v>
      </c>
      <c r="AP82" s="18">
        <v>0.02</v>
      </c>
      <c r="AQ82" s="20">
        <v>4.8156267382128718E-3</v>
      </c>
      <c r="AR82" s="20">
        <v>4.5769644752755773E-2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96AA-4CA1-48F1-A9C6-5E328113D035}">
  <sheetPr>
    <tabColor theme="9"/>
  </sheetPr>
  <dimension ref="A3:Q22"/>
  <sheetViews>
    <sheetView tabSelected="1" workbookViewId="0">
      <selection activeCell="E10" sqref="E10:E11"/>
    </sheetView>
  </sheetViews>
  <sheetFormatPr defaultRowHeight="15" x14ac:dyDescent="0.25"/>
  <cols>
    <col min="3" max="3" width="19.5703125" customWidth="1"/>
    <col min="4" max="4" width="13.5703125" customWidth="1"/>
    <col min="5" max="5" width="10.5703125" customWidth="1"/>
    <col min="6" max="6" width="10.42578125" customWidth="1"/>
    <col min="15" max="15" width="12.140625" customWidth="1"/>
    <col min="16" max="17" width="13" customWidth="1"/>
    <col min="18" max="18" width="12.5703125" customWidth="1"/>
  </cols>
  <sheetData>
    <row r="3" spans="1:17" ht="21" x14ac:dyDescent="0.35">
      <c r="A3" s="28" t="s">
        <v>54</v>
      </c>
    </row>
    <row r="4" spans="1:17" x14ac:dyDescent="0.25">
      <c r="P4" s="72" t="s">
        <v>233</v>
      </c>
    </row>
    <row r="5" spans="1:17" ht="30.75" x14ac:dyDescent="0.3">
      <c r="D5" s="29" t="s">
        <v>57</v>
      </c>
      <c r="E5" s="70" t="s">
        <v>55</v>
      </c>
      <c r="G5" s="70" t="s">
        <v>225</v>
      </c>
      <c r="O5" s="75" t="s">
        <v>224</v>
      </c>
      <c r="P5" s="87" t="s">
        <v>226</v>
      </c>
      <c r="Q5" s="26" t="s">
        <v>6</v>
      </c>
    </row>
    <row r="6" spans="1:17" ht="34.5" x14ac:dyDescent="0.25">
      <c r="E6" s="71" t="s">
        <v>3</v>
      </c>
      <c r="F6" s="3" t="s">
        <v>2</v>
      </c>
      <c r="G6" s="72">
        <v>2023</v>
      </c>
      <c r="H6">
        <v>2024</v>
      </c>
      <c r="I6">
        <v>2025</v>
      </c>
      <c r="J6">
        <v>2026</v>
      </c>
      <c r="K6">
        <v>2027</v>
      </c>
      <c r="L6">
        <v>2028</v>
      </c>
      <c r="M6">
        <v>2029</v>
      </c>
      <c r="N6">
        <v>2030</v>
      </c>
      <c r="O6" s="80">
        <v>2034</v>
      </c>
      <c r="P6" s="80">
        <v>2020</v>
      </c>
      <c r="Q6" t="s">
        <v>235</v>
      </c>
    </row>
    <row r="7" spans="1:17" x14ac:dyDescent="0.25">
      <c r="C7" s="2" t="s">
        <v>25</v>
      </c>
      <c r="E7" s="72"/>
      <c r="G7" s="72"/>
      <c r="O7" s="72"/>
      <c r="P7" s="80"/>
    </row>
    <row r="8" spans="1:17" ht="34.5" x14ac:dyDescent="0.25">
      <c r="C8" s="8" t="s">
        <v>27</v>
      </c>
      <c r="D8" s="26" t="s">
        <v>56</v>
      </c>
      <c r="E8" s="73" t="s">
        <v>11</v>
      </c>
      <c r="F8" s="69" t="s">
        <v>10</v>
      </c>
      <c r="G8" s="73" t="str">
        <f t="shared" ref="G8:N8" si="0">"NCAP_AFA~UP~"&amp;G6</f>
        <v>NCAP_AFA~UP~2023</v>
      </c>
      <c r="H8" s="69" t="str">
        <f t="shared" si="0"/>
        <v>NCAP_AFA~UP~2024</v>
      </c>
      <c r="I8" s="69" t="str">
        <f t="shared" si="0"/>
        <v>NCAP_AFA~UP~2025</v>
      </c>
      <c r="J8" s="69" t="str">
        <f t="shared" si="0"/>
        <v>NCAP_AFA~UP~2026</v>
      </c>
      <c r="K8" s="69" t="str">
        <f t="shared" si="0"/>
        <v>NCAP_AFA~UP~2027</v>
      </c>
      <c r="L8" s="69" t="str">
        <f t="shared" si="0"/>
        <v>NCAP_AFA~UP~2028</v>
      </c>
      <c r="M8" s="69" t="str">
        <f t="shared" si="0"/>
        <v>NCAP_AFA~UP~2029</v>
      </c>
      <c r="N8" s="69" t="str">
        <f t="shared" si="0"/>
        <v>NCAP_AFA~UP~2030</v>
      </c>
      <c r="O8" s="73" t="str">
        <f>"NCAP_AFA~LO~"&amp;O6</f>
        <v>NCAP_AFA~LO~2034</v>
      </c>
      <c r="P8" s="81" t="s">
        <v>228</v>
      </c>
      <c r="Q8" s="85" t="s">
        <v>234</v>
      </c>
    </row>
    <row r="9" spans="1:17" x14ac:dyDescent="0.25">
      <c r="A9" s="34" t="s">
        <v>103</v>
      </c>
      <c r="C9" t="str">
        <f>'Define topologies'!C11</f>
        <v>ETCLECAMD-E-REAF</v>
      </c>
      <c r="D9">
        <v>2024</v>
      </c>
      <c r="E9" s="84">
        <f>'FOM calc'!E11</f>
        <v>1985</v>
      </c>
      <c r="F9" s="84">
        <f>MTSAO_EAF_CONVERTER!H9</f>
        <v>543.03708177844862</v>
      </c>
      <c r="G9">
        <f>INDEX(MTSAO_EAF_CONVERTER!U$9:U$24,MATCH($A9,MTSAO_EAF_CONVERTER!$D$9:$D$24,0))</f>
        <v>0.36215200000000008</v>
      </c>
      <c r="H9">
        <f>INDEX(MTSAO_EAF_CONVERTER!V$9:V$24,MATCH($A9,MTSAO_EAF_CONVERTER!$D$9:$D$24,0))</f>
        <v>0.38466600000000001</v>
      </c>
      <c r="I9">
        <f>INDEX(MTSAO_EAF_CONVERTER!W$9:W$24,MATCH($A9,MTSAO_EAF_CONVERTER!$D$9:$D$24,0))</f>
        <v>0.49817400000000006</v>
      </c>
      <c r="J9">
        <f>INDEX(MTSAO_EAF_CONVERTER!X$9:X$24,MATCH($A9,MTSAO_EAF_CONVERTER!$D$9:$D$24,0))</f>
        <v>0.48556200000000005</v>
      </c>
      <c r="K9">
        <f>INDEX(MTSAO_EAF_CONVERTER!Y$9:Y$24,MATCH($A9,MTSAO_EAF_CONVERTER!$D$9:$D$24,0))</f>
        <v>0.50448000000000004</v>
      </c>
      <c r="L9">
        <f>INDEX(MTSAO_EAF_CONVERTER!Z$9:Z$24,MATCH($A9,MTSAO_EAF_CONVERTER!$D$9:$D$24,0))</f>
        <v>0.50448000000000004</v>
      </c>
      <c r="M9">
        <f>INDEX(MTSAO_EAF_CONVERTER!AA$9:AA$24,MATCH($A9,MTSAO_EAF_CONVERTER!$D$9:$D$24,0))</f>
        <v>0</v>
      </c>
      <c r="N9" s="79">
        <f>INDEX(MTSAO_EAF_CONVERTER!AB$9:AB$24,MATCH($A9,MTSAO_EAF_CONVERTER!$D$9:$D$24,0))</f>
        <v>0</v>
      </c>
      <c r="O9">
        <v>0.05</v>
      </c>
      <c r="P9" s="80">
        <f>INDEX('AF and PKCNT'!N$8:N$32,MATCH('Refurbishment details'!$A9,'AF and PKCNT'!$A$8:$A$21,0))</f>
        <v>0.67</v>
      </c>
      <c r="Q9" s="56">
        <f t="shared" ref="Q9:Q22" si="1">P9</f>
        <v>0.67</v>
      </c>
    </row>
    <row r="10" spans="1:17" x14ac:dyDescent="0.25">
      <c r="A10" s="34" t="s">
        <v>100</v>
      </c>
      <c r="C10" t="str">
        <f>'Define topologies'!C12</f>
        <v>ETCLEGROO-E-REAF</v>
      </c>
      <c r="D10">
        <f>D9</f>
        <v>2024</v>
      </c>
      <c r="E10" s="74">
        <f>E9</f>
        <v>1985</v>
      </c>
      <c r="F10" s="86">
        <f>F9</f>
        <v>543.03708177844862</v>
      </c>
      <c r="G10">
        <f>INDEX(MTSAO_EAF_CONVERTER!U$9:U$24,MATCH($A10,MTSAO_EAF_CONVERTER!$D$9:$D$24,0))</f>
        <v>0</v>
      </c>
      <c r="H10">
        <f>INDEX(MTSAO_EAF_CONVERTER!V$9:V$24,MATCH($A10,MTSAO_EAF_CONVERTER!$D$9:$D$24,0))</f>
        <v>0</v>
      </c>
      <c r="I10">
        <f>INDEX(MTSAO_EAF_CONVERTER!W$9:W$24,MATCH($A10,MTSAO_EAF_CONVERTER!$D$9:$D$24,0))</f>
        <v>0</v>
      </c>
      <c r="J10">
        <f>INDEX(MTSAO_EAF_CONVERTER!X$9:X$24,MATCH($A10,MTSAO_EAF_CONVERTER!$D$9:$D$24,0))</f>
        <v>0</v>
      </c>
      <c r="K10">
        <f>INDEX(MTSAO_EAF_CONVERTER!Y$9:Y$24,MATCH($A10,MTSAO_EAF_CONVERTER!$D$9:$D$24,0))</f>
        <v>0</v>
      </c>
      <c r="L10">
        <f>INDEX(MTSAO_EAF_CONVERTER!Z$9:Z$24,MATCH($A10,MTSAO_EAF_CONVERTER!$D$9:$D$24,0))</f>
        <v>0</v>
      </c>
      <c r="M10">
        <f>INDEX(MTSAO_EAF_CONVERTER!AA$9:AA$24,MATCH($A10,MTSAO_EAF_CONVERTER!$D$9:$D$24,0))</f>
        <v>0</v>
      </c>
      <c r="N10" s="79">
        <f>INDEX(MTSAO_EAF_CONVERTER!AB$9:AB$24,MATCH($A10,MTSAO_EAF_CONVERTER!$D$9:$D$24,0))</f>
        <v>0</v>
      </c>
      <c r="O10">
        <v>0.05</v>
      </c>
      <c r="P10" s="80">
        <f>INDEX('AF and PKCNT'!N$8:N$32,MATCH('Refurbishment details'!$A10,'AF and PKCNT'!$A$8:$A$21,0))</f>
        <v>0.6</v>
      </c>
      <c r="Q10" s="56">
        <f t="shared" si="1"/>
        <v>0.6</v>
      </c>
    </row>
    <row r="11" spans="1:17" x14ac:dyDescent="0.25">
      <c r="A11" s="34" t="s">
        <v>97</v>
      </c>
      <c r="C11" t="str">
        <f>'Define topologies'!C13</f>
        <v>ETCLEKOMA-E-REAF</v>
      </c>
      <c r="D11">
        <f t="shared" ref="D11:E22" si="2">D10</f>
        <v>2024</v>
      </c>
      <c r="E11" s="74">
        <f t="shared" si="2"/>
        <v>1985</v>
      </c>
      <c r="F11" s="86">
        <f t="shared" ref="F11:F22" si="3">F10</f>
        <v>543.03708177844862</v>
      </c>
      <c r="G11">
        <f>INDEX(MTSAO_EAF_CONVERTER!U$9:U$24,MATCH($A11,MTSAO_EAF_CONVERTER!$D$9:$D$24,0))</f>
        <v>0</v>
      </c>
      <c r="H11">
        <f>INDEX(MTSAO_EAF_CONVERTER!V$9:V$24,MATCH($A11,MTSAO_EAF_CONVERTER!$D$9:$D$24,0))</f>
        <v>0</v>
      </c>
      <c r="I11">
        <f>INDEX(MTSAO_EAF_CONVERTER!W$9:W$24,MATCH($A11,MTSAO_EAF_CONVERTER!$D$9:$D$24,0))</f>
        <v>0</v>
      </c>
      <c r="J11">
        <f>INDEX(MTSAO_EAF_CONVERTER!X$9:X$24,MATCH($A11,MTSAO_EAF_CONVERTER!$D$9:$D$24,0))</f>
        <v>0</v>
      </c>
      <c r="K11">
        <f>INDEX(MTSAO_EAF_CONVERTER!Y$9:Y$24,MATCH($A11,MTSAO_EAF_CONVERTER!$D$9:$D$24,0))</f>
        <v>0</v>
      </c>
      <c r="L11">
        <f>INDEX(MTSAO_EAF_CONVERTER!Z$9:Z$24,MATCH($A11,MTSAO_EAF_CONVERTER!$D$9:$D$24,0))</f>
        <v>0</v>
      </c>
      <c r="M11">
        <f>INDEX(MTSAO_EAF_CONVERTER!AA$9:AA$24,MATCH($A11,MTSAO_EAF_CONVERTER!$D$9:$D$24,0))</f>
        <v>0</v>
      </c>
      <c r="N11" s="79">
        <f>INDEX(MTSAO_EAF_CONVERTER!AB$9:AB$24,MATCH($A11,MTSAO_EAF_CONVERTER!$D$9:$D$24,0))</f>
        <v>0</v>
      </c>
      <c r="O11">
        <v>0.05</v>
      </c>
      <c r="P11" s="80">
        <f>INDEX('AF and PKCNT'!N$8:N$32,MATCH('Refurbishment details'!$A11,'AF and PKCNT'!$A$8:$A$21,0))</f>
        <v>0.6</v>
      </c>
      <c r="Q11" s="56">
        <f t="shared" si="1"/>
        <v>0.6</v>
      </c>
    </row>
    <row r="12" spans="1:17" x14ac:dyDescent="0.25">
      <c r="A12" s="34" t="s">
        <v>94</v>
      </c>
      <c r="C12" t="str">
        <f>'Define topologies'!C14</f>
        <v>ETCLEARNO-E-REAF</v>
      </c>
      <c r="D12">
        <f t="shared" si="2"/>
        <v>2024</v>
      </c>
      <c r="E12" s="74">
        <f t="shared" si="2"/>
        <v>1985</v>
      </c>
      <c r="F12" s="86">
        <f t="shared" si="3"/>
        <v>543.03708177844862</v>
      </c>
      <c r="G12">
        <f>INDEX(MTSAO_EAF_CONVERTER!U$9:U$24,MATCH($A12,MTSAO_EAF_CONVERTER!$D$9:$D$24,0))</f>
        <v>0.34871200000000008</v>
      </c>
      <c r="H12">
        <f>INDEX(MTSAO_EAF_CONVERTER!V$9:V$24,MATCH($A12,MTSAO_EAF_CONVERTER!$D$9:$D$24,0))</f>
        <v>0.38320199999999999</v>
      </c>
      <c r="I12">
        <f>INDEX(MTSAO_EAF_CONVERTER!W$9:W$24,MATCH($A12,MTSAO_EAF_CONVERTER!$D$9:$D$24,0))</f>
        <v>0.51729200000000009</v>
      </c>
      <c r="J12">
        <f>INDEX(MTSAO_EAF_CONVERTER!X$9:X$24,MATCH($A12,MTSAO_EAF_CONVERTER!$D$9:$D$24,0))</f>
        <v>0.5341490000000001</v>
      </c>
      <c r="K12">
        <f>INDEX(MTSAO_EAF_CONVERTER!Y$9:Y$24,MATCH($A12,MTSAO_EAF_CONVERTER!$D$9:$D$24,0))</f>
        <v>0.53936000000000006</v>
      </c>
      <c r="L12">
        <f>INDEX(MTSAO_EAF_CONVERTER!Z$9:Z$24,MATCH($A12,MTSAO_EAF_CONVERTER!$D$9:$D$24,0))</f>
        <v>0.4864</v>
      </c>
      <c r="M12">
        <f>INDEX(MTSAO_EAF_CONVERTER!AA$9:AA$24,MATCH($A12,MTSAO_EAF_CONVERTER!$D$9:$D$24,0))</f>
        <v>0.43632000000000004</v>
      </c>
      <c r="N12" s="79">
        <f>INDEX(MTSAO_EAF_CONVERTER!AB$9:AB$24,MATCH($A12,MTSAO_EAF_CONVERTER!$D$9:$D$24,0))</f>
        <v>0.40934999999999999</v>
      </c>
      <c r="O12">
        <v>0.05</v>
      </c>
      <c r="P12" s="80">
        <f>INDEX('AF and PKCNT'!N$8:N$32,MATCH('Refurbishment details'!$A12,'AF and PKCNT'!$A$8:$A$21,0))</f>
        <v>0.8</v>
      </c>
      <c r="Q12" s="56">
        <f t="shared" si="1"/>
        <v>0.8</v>
      </c>
    </row>
    <row r="13" spans="1:17" x14ac:dyDescent="0.25">
      <c r="A13" s="34" t="s">
        <v>91</v>
      </c>
      <c r="C13" t="str">
        <f>'Define topologies'!C15</f>
        <v>ETCLEDUVH-E-REAF</v>
      </c>
      <c r="D13">
        <f t="shared" si="2"/>
        <v>2024</v>
      </c>
      <c r="E13" s="74">
        <f t="shared" si="2"/>
        <v>1985</v>
      </c>
      <c r="F13" s="86">
        <f t="shared" si="3"/>
        <v>543.03708177844862</v>
      </c>
      <c r="G13">
        <f>INDEX(MTSAO_EAF_CONVERTER!U$9:U$24,MATCH($A13,MTSAO_EAF_CONVERTER!$D$9:$D$24,0))</f>
        <v>0.31875200000000004</v>
      </c>
      <c r="H13">
        <f>INDEX(MTSAO_EAF_CONVERTER!V$9:V$24,MATCH($A13,MTSAO_EAF_CONVERTER!$D$9:$D$24,0))</f>
        <v>0.38320199999999999</v>
      </c>
      <c r="I13">
        <f>INDEX(MTSAO_EAF_CONVERTER!W$9:W$24,MATCH($A13,MTSAO_EAF_CONVERTER!$D$9:$D$24,0))</f>
        <v>0.482848</v>
      </c>
      <c r="J13">
        <f>INDEX(MTSAO_EAF_CONVERTER!X$9:X$24,MATCH($A13,MTSAO_EAF_CONVERTER!$D$9:$D$24,0))</f>
        <v>0.517594</v>
      </c>
      <c r="K13">
        <f>INDEX(MTSAO_EAF_CONVERTER!Y$9:Y$24,MATCH($A13,MTSAO_EAF_CONVERTER!$D$9:$D$24,0))</f>
        <v>0.50919999999999999</v>
      </c>
      <c r="L13">
        <f>INDEX(MTSAO_EAF_CONVERTER!Z$9:Z$24,MATCH($A13,MTSAO_EAF_CONVERTER!$D$9:$D$24,0))</f>
        <v>0.47551999999999994</v>
      </c>
      <c r="M13">
        <f>INDEX(MTSAO_EAF_CONVERTER!AA$9:AA$24,MATCH($A13,MTSAO_EAF_CONVERTER!$D$9:$D$24,0))</f>
        <v>0.48727999999999999</v>
      </c>
      <c r="N13" s="79">
        <f>INDEX(MTSAO_EAF_CONVERTER!AB$9:AB$24,MATCH($A13,MTSAO_EAF_CONVERTER!$D$9:$D$24,0))</f>
        <v>0.45157499999999995</v>
      </c>
      <c r="O13">
        <v>0.05</v>
      </c>
      <c r="P13" s="80">
        <f>INDEX('AF and PKCNT'!N$8:N$32,MATCH('Refurbishment details'!$A13,'AF and PKCNT'!$A$8:$A$21,0))</f>
        <v>0.8</v>
      </c>
      <c r="Q13" s="56">
        <f t="shared" si="1"/>
        <v>0.8</v>
      </c>
    </row>
    <row r="14" spans="1:17" x14ac:dyDescent="0.25">
      <c r="A14" s="34" t="s">
        <v>88</v>
      </c>
      <c r="C14" t="str">
        <f>'Define topologies'!C16</f>
        <v>ETCLEHEND-E-REAF</v>
      </c>
      <c r="D14">
        <f t="shared" si="2"/>
        <v>2024</v>
      </c>
      <c r="E14" s="74">
        <f t="shared" si="2"/>
        <v>1985</v>
      </c>
      <c r="F14" s="86">
        <f t="shared" si="3"/>
        <v>543.03708177844862</v>
      </c>
      <c r="G14">
        <f>INDEX(MTSAO_EAF_CONVERTER!U$9:U$24,MATCH($A14,MTSAO_EAF_CONVERTER!$D$9:$D$24,0))</f>
        <v>0.38835999999999998</v>
      </c>
      <c r="H14">
        <f>INDEX(MTSAO_EAF_CONVERTER!V$9:V$24,MATCH($A14,MTSAO_EAF_CONVERTER!$D$9:$D$24,0))</f>
        <v>0.42303499999999994</v>
      </c>
      <c r="I14">
        <f>INDEX(MTSAO_EAF_CONVERTER!W$9:W$24,MATCH($A14,MTSAO_EAF_CONVERTER!$D$9:$D$24,0))</f>
        <v>0.54786499999999994</v>
      </c>
      <c r="J14">
        <f>INDEX(MTSAO_EAF_CONVERTER!X$9:X$24,MATCH($A14,MTSAO_EAF_CONVERTER!$D$9:$D$24,0))</f>
        <v>0</v>
      </c>
      <c r="K14">
        <f>INDEX(MTSAO_EAF_CONVERTER!Y$9:Y$24,MATCH($A14,MTSAO_EAF_CONVERTER!$D$9:$D$24,0))</f>
        <v>0</v>
      </c>
      <c r="L14">
        <f>INDEX(MTSAO_EAF_CONVERTER!Z$9:Z$24,MATCH($A14,MTSAO_EAF_CONVERTER!$D$9:$D$24,0))</f>
        <v>0</v>
      </c>
      <c r="M14">
        <f>INDEX(MTSAO_EAF_CONVERTER!AA$9:AA$24,MATCH($A14,MTSAO_EAF_CONVERTER!$D$9:$D$24,0))</f>
        <v>0</v>
      </c>
      <c r="N14" s="79">
        <f>INDEX(MTSAO_EAF_CONVERTER!AB$9:AB$24,MATCH($A14,MTSAO_EAF_CONVERTER!$D$9:$D$24,0))</f>
        <v>0</v>
      </c>
      <c r="O14">
        <v>0.05</v>
      </c>
      <c r="P14" s="80">
        <f>INDEX('AF and PKCNT'!N$8:N$32,MATCH('Refurbishment details'!$A14,'AF and PKCNT'!$A$8:$A$21,0))</f>
        <v>0.8</v>
      </c>
      <c r="Q14" s="56">
        <f t="shared" si="1"/>
        <v>0.8</v>
      </c>
    </row>
    <row r="15" spans="1:17" x14ac:dyDescent="0.25">
      <c r="A15" s="34" t="s">
        <v>85</v>
      </c>
      <c r="C15" t="str">
        <f>'Define topologies'!C17</f>
        <v>ETCLEKEND-E-REAF</v>
      </c>
      <c r="D15">
        <f t="shared" si="2"/>
        <v>2024</v>
      </c>
      <c r="E15" s="74">
        <f t="shared" si="2"/>
        <v>1985</v>
      </c>
      <c r="F15" s="86">
        <f t="shared" si="3"/>
        <v>543.03708177844862</v>
      </c>
      <c r="G15">
        <f>INDEX(MTSAO_EAF_CONVERTER!U$9:U$24,MATCH($A15,MTSAO_EAF_CONVERTER!$D$9:$D$24,0))</f>
        <v>0.57072600000000007</v>
      </c>
      <c r="H15">
        <f>INDEX(MTSAO_EAF_CONVERTER!V$9:V$24,MATCH($A15,MTSAO_EAF_CONVERTER!$D$9:$D$24,0))</f>
        <v>0.5556915</v>
      </c>
      <c r="I15">
        <f>INDEX(MTSAO_EAF_CONVERTER!W$9:W$24,MATCH($A15,MTSAO_EAF_CONVERTER!$D$9:$D$24,0))</f>
        <v>0.66355300000000006</v>
      </c>
      <c r="J15">
        <f>INDEX(MTSAO_EAF_CONVERTER!X$9:X$24,MATCH($A15,MTSAO_EAF_CONVERTER!$D$9:$D$24,0))</f>
        <v>0.66693600000000008</v>
      </c>
      <c r="K15">
        <f>INDEX(MTSAO_EAF_CONVERTER!Y$9:Y$24,MATCH($A15,MTSAO_EAF_CONVERTER!$D$9:$D$24,0))</f>
        <v>0.62468999999999997</v>
      </c>
      <c r="L15">
        <f>INDEX(MTSAO_EAF_CONVERTER!Z$9:Z$24,MATCH($A15,MTSAO_EAF_CONVERTER!$D$9:$D$24,0))</f>
        <v>0.71396999999999999</v>
      </c>
      <c r="M15">
        <f>INDEX(MTSAO_EAF_CONVERTER!AA$9:AA$24,MATCH($A15,MTSAO_EAF_CONVERTER!$D$9:$D$24,0))</f>
        <v>0.66276000000000002</v>
      </c>
      <c r="N15" s="79">
        <f>INDEX(MTSAO_EAF_CONVERTER!AB$9:AB$24,MATCH($A15,MTSAO_EAF_CONVERTER!$D$9:$D$24,0))</f>
        <v>0.63822499999999993</v>
      </c>
      <c r="O15">
        <v>0.05</v>
      </c>
      <c r="P15" s="80">
        <f>INDEX('AF and PKCNT'!N$8:N$32,MATCH('Refurbishment details'!$A15,'AF and PKCNT'!$A$8:$A$21,0))</f>
        <v>1</v>
      </c>
      <c r="Q15" s="56">
        <f t="shared" si="1"/>
        <v>1</v>
      </c>
    </row>
    <row r="16" spans="1:17" x14ac:dyDescent="0.25">
      <c r="A16" s="34" t="s">
        <v>82</v>
      </c>
      <c r="C16" t="str">
        <f>'Define topologies'!C18</f>
        <v>ETCLEKRIE-E-REAF</v>
      </c>
      <c r="D16">
        <f t="shared" si="2"/>
        <v>2024</v>
      </c>
      <c r="E16" s="74">
        <f t="shared" si="2"/>
        <v>1985</v>
      </c>
      <c r="F16" s="86">
        <f t="shared" si="3"/>
        <v>543.03708177844862</v>
      </c>
      <c r="G16">
        <f>INDEX(MTSAO_EAF_CONVERTER!U$9:U$24,MATCH($A16,MTSAO_EAF_CONVERTER!$D$9:$D$24,0))</f>
        <v>0.28778400000000004</v>
      </c>
      <c r="H16">
        <f>INDEX(MTSAO_EAF_CONVERTER!V$9:V$24,MATCH($A16,MTSAO_EAF_CONVERTER!$D$9:$D$24,0))</f>
        <v>0.39772000000000002</v>
      </c>
      <c r="I16">
        <f>INDEX(MTSAO_EAF_CONVERTER!W$9:W$24,MATCH($A16,MTSAO_EAF_CONVERTER!$D$9:$D$24,0))</f>
        <v>0.50907599999999997</v>
      </c>
      <c r="J16">
        <f>INDEX(MTSAO_EAF_CONVERTER!X$9:X$24,MATCH($A16,MTSAO_EAF_CONVERTER!$D$9:$D$24,0))</f>
        <v>0.50350300000000003</v>
      </c>
      <c r="K16">
        <f>INDEX(MTSAO_EAF_CONVERTER!Y$9:Y$24,MATCH($A16,MTSAO_EAF_CONVERTER!$D$9:$D$24,0))</f>
        <v>0.55111999999999994</v>
      </c>
      <c r="L16">
        <f>INDEX(MTSAO_EAF_CONVERTER!Z$9:Z$24,MATCH($A16,MTSAO_EAF_CONVERTER!$D$9:$D$24,0))</f>
        <v>0.40895999999999999</v>
      </c>
      <c r="M16">
        <f>INDEX(MTSAO_EAF_CONVERTER!AA$9:AA$24,MATCH($A16,MTSAO_EAF_CONVERTER!$D$9:$D$24,0))</f>
        <v>0.48431999999999997</v>
      </c>
      <c r="N16" s="79">
        <f>INDEX(MTSAO_EAF_CONVERTER!AB$9:AB$24,MATCH($A16,MTSAO_EAF_CONVERTER!$D$9:$D$24,0))</f>
        <v>0.48112500000000002</v>
      </c>
      <c r="O16">
        <v>0.05</v>
      </c>
      <c r="P16" s="80">
        <f>INDEX('AF and PKCNT'!N$8:N$32,MATCH('Refurbishment details'!$A16,'AF and PKCNT'!$A$8:$A$21,0))</f>
        <v>0.8</v>
      </c>
      <c r="Q16" s="56">
        <f t="shared" si="1"/>
        <v>0.8</v>
      </c>
    </row>
    <row r="17" spans="1:17" x14ac:dyDescent="0.25">
      <c r="A17" s="34" t="s">
        <v>79</v>
      </c>
      <c r="C17" t="str">
        <f>'Define topologies'!C19</f>
        <v>ETCLELETH-E-REAF</v>
      </c>
      <c r="D17">
        <f t="shared" si="2"/>
        <v>2024</v>
      </c>
      <c r="E17" s="74">
        <f t="shared" si="2"/>
        <v>1985</v>
      </c>
      <c r="F17" s="86">
        <f t="shared" si="3"/>
        <v>543.03708177844862</v>
      </c>
      <c r="G17">
        <f>INDEX(MTSAO_EAF_CONVERTER!U$9:U$24,MATCH($A17,MTSAO_EAF_CONVERTER!$D$9:$D$24,0))</f>
        <v>0.39760000000000001</v>
      </c>
      <c r="H17">
        <f>INDEX(MTSAO_EAF_CONVERTER!V$9:V$24,MATCH($A17,MTSAO_EAF_CONVERTER!$D$9:$D$24,0))</f>
        <v>0.42950099999999997</v>
      </c>
      <c r="I17">
        <f>INDEX(MTSAO_EAF_CONVERTER!W$9:W$24,MATCH($A17,MTSAO_EAF_CONVERTER!$D$9:$D$24,0))</f>
        <v>0.59155199999999997</v>
      </c>
      <c r="J17">
        <f>INDEX(MTSAO_EAF_CONVERTER!X$9:X$24,MATCH($A17,MTSAO_EAF_CONVERTER!$D$9:$D$24,0))</f>
        <v>0.52721899999999999</v>
      </c>
      <c r="K17">
        <f>INDEX(MTSAO_EAF_CONVERTER!Y$9:Y$24,MATCH($A17,MTSAO_EAF_CONVERTER!$D$9:$D$24,0))</f>
        <v>0.54327999999999999</v>
      </c>
      <c r="L17">
        <f>INDEX(MTSAO_EAF_CONVERTER!Z$9:Z$24,MATCH($A17,MTSAO_EAF_CONVERTER!$D$9:$D$24,0))</f>
        <v>0.55055999999999994</v>
      </c>
      <c r="M17">
        <f>INDEX(MTSAO_EAF_CONVERTER!AA$9:AA$24,MATCH($A17,MTSAO_EAF_CONVERTER!$D$9:$D$24,0))</f>
        <v>0.59248000000000001</v>
      </c>
      <c r="N17" s="79">
        <f>INDEX(MTSAO_EAF_CONVERTER!AB$9:AB$24,MATCH($A17,MTSAO_EAF_CONVERTER!$D$9:$D$24,0))</f>
        <v>0.55020000000000002</v>
      </c>
      <c r="O17">
        <v>0.05</v>
      </c>
      <c r="P17" s="80">
        <f>INDEX('AF and PKCNT'!N$8:N$32,MATCH('Refurbishment details'!$A17,'AF and PKCNT'!$A$8:$A$21,0))</f>
        <v>0.8</v>
      </c>
      <c r="Q17" s="56">
        <f t="shared" si="1"/>
        <v>0.8</v>
      </c>
    </row>
    <row r="18" spans="1:17" x14ac:dyDescent="0.25">
      <c r="A18" s="34" t="s">
        <v>74</v>
      </c>
      <c r="C18" t="str">
        <f>'Define topologies'!C20</f>
        <v>ETCLEMAJD-E-REAF</v>
      </c>
      <c r="D18">
        <f t="shared" si="2"/>
        <v>2024</v>
      </c>
      <c r="E18" s="74">
        <f t="shared" si="2"/>
        <v>1985</v>
      </c>
      <c r="F18" s="86">
        <f t="shared" si="3"/>
        <v>543.03708177844862</v>
      </c>
      <c r="G18">
        <f>INDEX(MTSAO_EAF_CONVERTER!U$9:U$24,MATCH($A18,MTSAO_EAF_CONVERTER!$D$9:$D$24,0))</f>
        <v>0.56643600000000005</v>
      </c>
      <c r="H18">
        <f>INDEX(MTSAO_EAF_CONVERTER!V$9:V$24,MATCH($A18,MTSAO_EAF_CONVERTER!$D$9:$D$24,0))</f>
        <v>0.59972499999999995</v>
      </c>
      <c r="I18">
        <f>INDEX(MTSAO_EAF_CONVERTER!W$9:W$24,MATCH($A18,MTSAO_EAF_CONVERTER!$D$9:$D$24,0))</f>
        <v>0.68950800000000012</v>
      </c>
      <c r="J18">
        <f>INDEX(MTSAO_EAF_CONVERTER!X$9:X$24,MATCH($A18,MTSAO_EAF_CONVERTER!$D$9:$D$24,0))</f>
        <v>0.62065049999999999</v>
      </c>
      <c r="K18">
        <f>INDEX(MTSAO_EAF_CONVERTER!Y$9:Y$24,MATCH($A18,MTSAO_EAF_CONVERTER!$D$9:$D$24,0))</f>
        <v>0.64962000000000009</v>
      </c>
      <c r="L18">
        <f>INDEX(MTSAO_EAF_CONVERTER!Z$9:Z$24,MATCH($A18,MTSAO_EAF_CONVERTER!$D$9:$D$24,0))</f>
        <v>0.64737000000000011</v>
      </c>
      <c r="M18">
        <f>INDEX(MTSAO_EAF_CONVERTER!AA$9:AA$24,MATCH($A18,MTSAO_EAF_CONVERTER!$D$9:$D$24,0))</f>
        <v>0.64466999999999997</v>
      </c>
      <c r="N18" s="79">
        <f>INDEX(MTSAO_EAF_CONVERTER!AB$9:AB$24,MATCH($A18,MTSAO_EAF_CONVERTER!$D$9:$D$24,0))</f>
        <v>0.62063750000000006</v>
      </c>
      <c r="O18">
        <v>0.05</v>
      </c>
      <c r="P18" s="80">
        <f>INDEX('AF and PKCNT'!N$8:N$32,MATCH('Refurbishment details'!$A18,'AF and PKCNT'!$A$8:$A$21,0))</f>
        <v>0.8</v>
      </c>
      <c r="Q18" s="56">
        <f t="shared" si="1"/>
        <v>0.8</v>
      </c>
    </row>
    <row r="19" spans="1:17" x14ac:dyDescent="0.25">
      <c r="A19" s="34" t="s">
        <v>74</v>
      </c>
      <c r="C19" t="str">
        <f>'Define topologies'!C21</f>
        <v>ETCLEMAJW-E-REAF</v>
      </c>
      <c r="D19">
        <f t="shared" si="2"/>
        <v>2024</v>
      </c>
      <c r="E19" s="74">
        <f t="shared" si="2"/>
        <v>1985</v>
      </c>
      <c r="F19" s="86">
        <f t="shared" si="3"/>
        <v>543.03708177844862</v>
      </c>
      <c r="G19">
        <f>INDEX(MTSAO_EAF_CONVERTER!U$9:U$24,MATCH($A19,MTSAO_EAF_CONVERTER!$D$9:$D$24,0))</f>
        <v>0.56643600000000005</v>
      </c>
      <c r="H19">
        <f>INDEX(MTSAO_EAF_CONVERTER!V$9:V$24,MATCH($A19,MTSAO_EAF_CONVERTER!$D$9:$D$24,0))</f>
        <v>0.59972499999999995</v>
      </c>
      <c r="I19">
        <f>INDEX(MTSAO_EAF_CONVERTER!W$9:W$24,MATCH($A19,MTSAO_EAF_CONVERTER!$D$9:$D$24,0))</f>
        <v>0.68950800000000012</v>
      </c>
      <c r="J19">
        <f>INDEX(MTSAO_EAF_CONVERTER!X$9:X$24,MATCH($A19,MTSAO_EAF_CONVERTER!$D$9:$D$24,0))</f>
        <v>0.62065049999999999</v>
      </c>
      <c r="K19">
        <f>INDEX(MTSAO_EAF_CONVERTER!Y$9:Y$24,MATCH($A19,MTSAO_EAF_CONVERTER!$D$9:$D$24,0))</f>
        <v>0.64962000000000009</v>
      </c>
      <c r="L19">
        <f>INDEX(MTSAO_EAF_CONVERTER!Z$9:Z$24,MATCH($A19,MTSAO_EAF_CONVERTER!$D$9:$D$24,0))</f>
        <v>0.64737000000000011</v>
      </c>
      <c r="M19">
        <f>INDEX(MTSAO_EAF_CONVERTER!AA$9:AA$24,MATCH($A19,MTSAO_EAF_CONVERTER!$D$9:$D$24,0))</f>
        <v>0.64466999999999997</v>
      </c>
      <c r="N19" s="79">
        <f>INDEX(MTSAO_EAF_CONVERTER!AB$9:AB$24,MATCH($A19,MTSAO_EAF_CONVERTER!$D$9:$D$24,0))</f>
        <v>0.62063750000000006</v>
      </c>
      <c r="O19">
        <v>0.05</v>
      </c>
      <c r="P19" s="80">
        <f>INDEX('AF and PKCNT'!N$8:N$32,MATCH('Refurbishment details'!$A19,'AF and PKCNT'!$A$8:$A$21,0))</f>
        <v>0.8</v>
      </c>
      <c r="Q19" s="56">
        <f t="shared" si="1"/>
        <v>0.8</v>
      </c>
    </row>
    <row r="20" spans="1:17" x14ac:dyDescent="0.25">
      <c r="A20" s="34" t="s">
        <v>71</v>
      </c>
      <c r="C20" t="str">
        <f>'Define topologies'!C22</f>
        <v>ETCLEMATI-E-REAF</v>
      </c>
      <c r="D20">
        <f t="shared" si="2"/>
        <v>2024</v>
      </c>
      <c r="E20" s="74">
        <f t="shared" si="2"/>
        <v>1985</v>
      </c>
      <c r="F20" s="86">
        <f t="shared" si="3"/>
        <v>543.03708177844862</v>
      </c>
      <c r="G20">
        <f>INDEX(MTSAO_EAF_CONVERTER!U$9:U$24,MATCH($A20,MTSAO_EAF_CONVERTER!$D$9:$D$24,0))</f>
        <v>0.63273600000000008</v>
      </c>
      <c r="H20">
        <f>INDEX(MTSAO_EAF_CONVERTER!V$9:V$24,MATCH($A20,MTSAO_EAF_CONVERTER!$D$9:$D$24,0))</f>
        <v>0.65366000000000002</v>
      </c>
      <c r="I20">
        <f>INDEX(MTSAO_EAF_CONVERTER!W$9:W$24,MATCH($A20,MTSAO_EAF_CONVERTER!$D$9:$D$24,0))</f>
        <v>0.70141150000000008</v>
      </c>
      <c r="J20">
        <f>INDEX(MTSAO_EAF_CONVERTER!X$9:X$24,MATCH($A20,MTSAO_EAF_CONVERTER!$D$9:$D$24,0))</f>
        <v>0.70224750000000002</v>
      </c>
      <c r="K20">
        <f>INDEX(MTSAO_EAF_CONVERTER!Y$9:Y$24,MATCH($A20,MTSAO_EAF_CONVERTER!$D$9:$D$24,0))</f>
        <v>0.70911000000000002</v>
      </c>
      <c r="L20">
        <f>INDEX(MTSAO_EAF_CONVERTER!Z$9:Z$24,MATCH($A20,MTSAO_EAF_CONVERTER!$D$9:$D$24,0))</f>
        <v>0.68805000000000005</v>
      </c>
      <c r="M20">
        <f>INDEX(MTSAO_EAF_CONVERTER!AA$9:AA$24,MATCH($A20,MTSAO_EAF_CONVERTER!$D$9:$D$24,0))</f>
        <v>0.72099000000000002</v>
      </c>
      <c r="N20" s="79">
        <f>INDEX(MTSAO_EAF_CONVERTER!AB$9:AB$24,MATCH($A20,MTSAO_EAF_CONVERTER!$D$9:$D$24,0))</f>
        <v>0.69483749999999989</v>
      </c>
      <c r="O20">
        <v>0.05</v>
      </c>
      <c r="P20" s="80">
        <f>INDEX('AF and PKCNT'!N$8:N$32,MATCH('Refurbishment details'!$A20,'AF and PKCNT'!$A$8:$A$21,0))</f>
        <v>1</v>
      </c>
      <c r="Q20" s="56">
        <f t="shared" si="1"/>
        <v>1</v>
      </c>
    </row>
    <row r="21" spans="1:17" x14ac:dyDescent="0.25">
      <c r="A21" s="34" t="s">
        <v>68</v>
      </c>
      <c r="C21" t="str">
        <f>'Define topologies'!C23</f>
        <v>ETCLEMATL-E-REAF</v>
      </c>
      <c r="D21">
        <f t="shared" si="2"/>
        <v>2024</v>
      </c>
      <c r="E21" s="74">
        <f t="shared" si="2"/>
        <v>1985</v>
      </c>
      <c r="F21" s="86">
        <f t="shared" si="3"/>
        <v>543.03708177844862</v>
      </c>
      <c r="G21">
        <f>INDEX(MTSAO_EAF_CONVERTER!U$9:U$24,MATCH($A21,MTSAO_EAF_CONVERTER!$D$9:$D$24,0))</f>
        <v>0.553566</v>
      </c>
      <c r="H21">
        <f>INDEX(MTSAO_EAF_CONVERTER!V$9:V$24,MATCH($A21,MTSAO_EAF_CONVERTER!$D$9:$D$24,0))</f>
        <v>0.55939449999999991</v>
      </c>
      <c r="I21">
        <f>INDEX(MTSAO_EAF_CONVERTER!W$9:W$24,MATCH($A21,MTSAO_EAF_CONVERTER!$D$9:$D$24,0))</f>
        <v>0.63124350000000007</v>
      </c>
      <c r="J21">
        <f>INDEX(MTSAO_EAF_CONVERTER!X$9:X$24,MATCH($A21,MTSAO_EAF_CONVERTER!$D$9:$D$24,0))</f>
        <v>0.61649100000000001</v>
      </c>
      <c r="K21">
        <f>INDEX(MTSAO_EAF_CONVERTER!Y$9:Y$24,MATCH($A21,MTSAO_EAF_CONVERTER!$D$9:$D$24,0))</f>
        <v>0.62190000000000001</v>
      </c>
      <c r="L21">
        <f>INDEX(MTSAO_EAF_CONVERTER!Z$9:Z$24,MATCH($A21,MTSAO_EAF_CONVERTER!$D$9:$D$24,0))</f>
        <v>0.68363999999999991</v>
      </c>
      <c r="M21">
        <f>INDEX(MTSAO_EAF_CONVERTER!AA$9:AA$24,MATCH($A21,MTSAO_EAF_CONVERTER!$D$9:$D$24,0))</f>
        <v>0.63333000000000006</v>
      </c>
      <c r="N21" s="79">
        <f>INDEX(MTSAO_EAF_CONVERTER!AB$9:AB$24,MATCH($A21,MTSAO_EAF_CONVERTER!$D$9:$D$24,0))</f>
        <v>0.6096125</v>
      </c>
      <c r="O21">
        <v>0.05</v>
      </c>
      <c r="P21" s="80">
        <f>INDEX('AF and PKCNT'!N$8:N$32,MATCH('Refurbishment details'!$A21,'AF and PKCNT'!$A$8:$A$21,0))</f>
        <v>1</v>
      </c>
      <c r="Q21" s="56">
        <f t="shared" si="1"/>
        <v>1</v>
      </c>
    </row>
    <row r="22" spans="1:17" x14ac:dyDescent="0.25">
      <c r="A22" s="34" t="s">
        <v>65</v>
      </c>
      <c r="B22" s="66"/>
      <c r="C22" s="66" t="str">
        <f>'Define topologies'!C24</f>
        <v>ETCLETUTU-E-REAF</v>
      </c>
      <c r="D22" s="66">
        <f t="shared" si="2"/>
        <v>2024</v>
      </c>
      <c r="E22" s="74">
        <f t="shared" si="2"/>
        <v>1985</v>
      </c>
      <c r="F22" s="82">
        <f t="shared" si="3"/>
        <v>543.03708177844862</v>
      </c>
      <c r="G22">
        <f>INDEX(MTSAO_EAF_CONVERTER!U$9:U$24,MATCH($A22,MTSAO_EAF_CONVERTER!$D$9:$D$24,0))</f>
        <v>0.33124000000000003</v>
      </c>
      <c r="H22">
        <f>INDEX(MTSAO_EAF_CONVERTER!V$9:V$24,MATCH($A22,MTSAO_EAF_CONVERTER!$D$9:$D$24,0))</f>
        <v>0.33501200000000003</v>
      </c>
      <c r="I22">
        <f>INDEX(MTSAO_EAF_CONVERTER!W$9:W$24,MATCH($A22,MTSAO_EAF_CONVERTER!$D$9:$D$24,0))</f>
        <v>0.48308499999999999</v>
      </c>
      <c r="J22">
        <f>INDEX(MTSAO_EAF_CONVERTER!X$9:X$24,MATCH($A22,MTSAO_EAF_CONVERTER!$D$9:$D$24,0))</f>
        <v>0.44536800000000004</v>
      </c>
      <c r="K22">
        <f>INDEX(MTSAO_EAF_CONVERTER!Y$9:Y$24,MATCH($A22,MTSAO_EAF_CONVERTER!$D$9:$D$24,0))</f>
        <v>0.45896000000000003</v>
      </c>
      <c r="L22">
        <f>INDEX(MTSAO_EAF_CONVERTER!Z$9:Z$24,MATCH($A22,MTSAO_EAF_CONVERTER!$D$9:$D$24,0))</f>
        <v>0.50039999999999996</v>
      </c>
      <c r="M22">
        <f>INDEX(MTSAO_EAF_CONVERTER!AA$9:AA$24,MATCH($A22,MTSAO_EAF_CONVERTER!$D$9:$D$24,0))</f>
        <v>0.47023999999999999</v>
      </c>
      <c r="N22" s="79">
        <f>INDEX(MTSAO_EAF_CONVERTER!AB$9:AB$24,MATCH($A22,MTSAO_EAF_CONVERTER!$D$9:$D$24,0))</f>
        <v>0.43522500000000003</v>
      </c>
      <c r="O22" s="89">
        <v>0.05</v>
      </c>
      <c r="P22" s="80">
        <f>INDEX('AF and PKCNT'!N$8:N$32,MATCH('Refurbishment details'!$A22,'AF and PKCNT'!$A$8:$A$21,0))</f>
        <v>0.8</v>
      </c>
      <c r="Q22" s="83">
        <f t="shared" si="1"/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D442-C4D0-473E-9671-D5BC1B818BD7}">
  <dimension ref="A2:AB60"/>
  <sheetViews>
    <sheetView workbookViewId="0">
      <selection activeCell="H9" sqref="H9:I9"/>
    </sheetView>
  </sheetViews>
  <sheetFormatPr defaultRowHeight="15" x14ac:dyDescent="0.25"/>
  <cols>
    <col min="2" max="2" width="14.140625" customWidth="1"/>
    <col min="3" max="3" width="20.28515625" customWidth="1"/>
    <col min="4" max="4" width="12.7109375" customWidth="1"/>
    <col min="18" max="29" width="10.7109375" customWidth="1"/>
  </cols>
  <sheetData>
    <row r="2" spans="1:28" x14ac:dyDescent="0.25">
      <c r="K2" t="s">
        <v>135</v>
      </c>
    </row>
    <row r="3" spans="1:28" x14ac:dyDescent="0.25">
      <c r="B3" t="s">
        <v>136</v>
      </c>
      <c r="C3" s="41" t="s">
        <v>144</v>
      </c>
      <c r="K3" t="s">
        <v>144</v>
      </c>
    </row>
    <row r="4" spans="1:28" x14ac:dyDescent="0.25">
      <c r="B4" t="s">
        <v>134</v>
      </c>
      <c r="C4" s="40" t="str">
        <f>IF(C3="Low","MTSAO 2023 Low EAF","MTSAO 2023 High EAF")</f>
        <v>MTSAO 2023 High EAF</v>
      </c>
    </row>
    <row r="5" spans="1:28" x14ac:dyDescent="0.25">
      <c r="E5" t="s">
        <v>133</v>
      </c>
      <c r="R5" t="s">
        <v>132</v>
      </c>
    </row>
    <row r="7" spans="1:28" ht="45" x14ac:dyDescent="0.25">
      <c r="A7" s="31"/>
      <c r="B7" s="39" t="s">
        <v>27</v>
      </c>
      <c r="C7" s="39" t="s">
        <v>28</v>
      </c>
      <c r="D7" s="38" t="s">
        <v>131</v>
      </c>
      <c r="E7" s="38" t="s">
        <v>130</v>
      </c>
      <c r="F7" s="38" t="s">
        <v>129</v>
      </c>
      <c r="G7" s="38" t="s">
        <v>128</v>
      </c>
      <c r="H7" s="38" t="s">
        <v>127</v>
      </c>
      <c r="I7" s="38" t="s">
        <v>126</v>
      </c>
      <c r="J7" s="38" t="s">
        <v>125</v>
      </c>
      <c r="K7" s="38" t="s">
        <v>124</v>
      </c>
      <c r="L7" s="38" t="s">
        <v>123</v>
      </c>
      <c r="M7" s="38" t="s">
        <v>122</v>
      </c>
      <c r="N7" s="38" t="s">
        <v>121</v>
      </c>
      <c r="O7" s="38" t="s">
        <v>120</v>
      </c>
      <c r="P7" s="38" t="s">
        <v>119</v>
      </c>
      <c r="Q7" s="38" t="s">
        <v>118</v>
      </c>
      <c r="R7" s="38" t="s">
        <v>117</v>
      </c>
      <c r="S7" s="38" t="s">
        <v>116</v>
      </c>
      <c r="T7" s="38" t="s">
        <v>115</v>
      </c>
      <c r="U7" s="38" t="s">
        <v>114</v>
      </c>
      <c r="V7" s="38" t="s">
        <v>113</v>
      </c>
      <c r="W7" s="38" t="s">
        <v>112</v>
      </c>
      <c r="X7" s="38" t="s">
        <v>111</v>
      </c>
      <c r="Y7" s="38" t="s">
        <v>110</v>
      </c>
      <c r="Z7" s="38" t="s">
        <v>109</v>
      </c>
      <c r="AA7" s="38" t="s">
        <v>108</v>
      </c>
      <c r="AB7" s="38" t="s">
        <v>107</v>
      </c>
    </row>
    <row r="8" spans="1:28" x14ac:dyDescent="0.25">
      <c r="A8" s="36" t="s">
        <v>106</v>
      </c>
      <c r="B8" s="37"/>
      <c r="C8" s="37"/>
      <c r="D8" s="37"/>
      <c r="E8" s="36">
        <v>2020</v>
      </c>
      <c r="F8" s="36">
        <v>2021</v>
      </c>
      <c r="G8" s="36">
        <v>2022</v>
      </c>
      <c r="H8" s="36">
        <v>2023</v>
      </c>
      <c r="I8" s="36">
        <v>2024</v>
      </c>
      <c r="J8" s="36">
        <v>2025</v>
      </c>
      <c r="K8" s="36">
        <v>2026</v>
      </c>
      <c r="L8" s="36">
        <v>2027</v>
      </c>
      <c r="M8" s="36">
        <v>2028</v>
      </c>
      <c r="N8" s="36">
        <v>2029</v>
      </c>
      <c r="O8" s="36">
        <v>2030</v>
      </c>
      <c r="P8" s="36">
        <v>2031</v>
      </c>
      <c r="Q8" s="36"/>
      <c r="R8" s="36">
        <v>2020</v>
      </c>
      <c r="S8" s="36">
        <v>2021</v>
      </c>
      <c r="T8" s="36">
        <v>2022</v>
      </c>
      <c r="U8" s="36">
        <v>2023</v>
      </c>
      <c r="V8" s="36">
        <v>2024</v>
      </c>
      <c r="W8" s="36">
        <v>2025</v>
      </c>
      <c r="X8" s="36">
        <v>2026</v>
      </c>
      <c r="Y8" s="36">
        <v>2027</v>
      </c>
      <c r="Z8" s="36">
        <v>2028</v>
      </c>
      <c r="AA8" s="36">
        <v>2029</v>
      </c>
      <c r="AB8" s="36">
        <v>2030</v>
      </c>
    </row>
    <row r="9" spans="1:28" x14ac:dyDescent="0.25">
      <c r="A9" s="31"/>
      <c r="B9" s="35" t="s">
        <v>105</v>
      </c>
      <c r="C9" s="34" t="s">
        <v>104</v>
      </c>
      <c r="D9" s="34" t="s">
        <v>103</v>
      </c>
      <c r="E9" s="33">
        <f>DATA!$C$3</f>
        <v>543.03708177844862</v>
      </c>
      <c r="F9" s="33">
        <f>DATA!$C$3</f>
        <v>543.03708177844862</v>
      </c>
      <c r="G9" s="33">
        <f>DATA!$C$3</f>
        <v>543.03708177844862</v>
      </c>
      <c r="H9" s="33">
        <f>DATA!$C$3</f>
        <v>543.03708177844862</v>
      </c>
      <c r="I9" s="32">
        <f>VLOOKUP($C$3,DATA!$B$3:$C$4,2,FALSE)</f>
        <v>841.21272918520924</v>
      </c>
      <c r="J9" s="32">
        <f>VLOOKUP($C$3,DATA!$B$3:$C$4,2,FALSE)</f>
        <v>841.21272918520924</v>
      </c>
      <c r="K9" s="32">
        <f>VLOOKUP($C$3,DATA!$B$3:$C$4,2,FALSE)</f>
        <v>841.21272918520924</v>
      </c>
      <c r="L9" s="32">
        <f>VLOOKUP($C$3,DATA!$B$3:$C$4,2,FALSE)</f>
        <v>841.21272918520924</v>
      </c>
      <c r="M9" s="32">
        <f>VLOOKUP($C$3,DATA!$B$3:$C$4,2,FALSE)</f>
        <v>841.21272918520924</v>
      </c>
      <c r="N9" s="32">
        <f>VLOOKUP($C$3,DATA!$B$3:$C$4,2,FALSE)</f>
        <v>841.21272918520924</v>
      </c>
      <c r="O9" s="32">
        <f>VLOOKUP($C$3,DATA!$B$3:$C$4,2,FALSE)</f>
        <v>841.21272918520924</v>
      </c>
      <c r="P9" s="32">
        <f>VLOOKUP($C$3,DATA!$B$3:$C$4,2,FALSE)</f>
        <v>841.21272918520924</v>
      </c>
      <c r="Q9" s="31"/>
      <c r="R9" s="30" cm="1">
        <f t="array" ref="R9">INDEX(DATA!$D$11:$AA$25,MATCH($D9,DATA!$B$11:$B$25,0),MATCH(1,(DATA!$D$9:$AA$9=$C$4)*(DATA!$D$10:$AA$10=R$8),0))</f>
        <v>0.58799999999999997</v>
      </c>
      <c r="S9" s="30" cm="1">
        <f t="array" ref="S9">INDEX(DATA!$D$11:$AA$25,MATCH($D9,DATA!$B$11:$B$25,0),MATCH(1,(DATA!$D$9:$AA$9=$C$4)*(DATA!$D$10:$AA$10=S$8),0))</f>
        <v>0.43531800000000004</v>
      </c>
      <c r="T9" s="30" cm="1">
        <f t="array" ref="T9">INDEX(DATA!$D$11:$AA$25,MATCH($D9,DATA!$B$11:$B$25,0),MATCH(1,(DATA!$D$9:$AA$9=$C$4)*(DATA!$D$10:$AA$10=T$8),0))</f>
        <v>0.43480400000000002</v>
      </c>
      <c r="U9" s="30">
        <f>SUMIFS(U$31:U$60,$T$31:$T$60,$D9,$S$31:$S$60,$C$3)</f>
        <v>0.36215200000000008</v>
      </c>
      <c r="V9" s="30">
        <f t="shared" ref="V9:AB24" si="0">SUMIFS(V$31:V$60,$T$31:$T$60,$D9,$S$31:$S$60,$C$3)</f>
        <v>0.38466600000000001</v>
      </c>
      <c r="W9" s="30">
        <f t="shared" si="0"/>
        <v>0.49817400000000006</v>
      </c>
      <c r="X9" s="30">
        <f>SUMIFS(X$31:X$60,$T$31:$T$60,$D9,$S$31:$S$60,$C$3)</f>
        <v>0.48556200000000005</v>
      </c>
      <c r="Y9" s="30">
        <f t="shared" si="0"/>
        <v>0.50448000000000004</v>
      </c>
      <c r="Z9" s="30">
        <f t="shared" si="0"/>
        <v>0.50448000000000004</v>
      </c>
      <c r="AA9" s="30">
        <f t="shared" si="0"/>
        <v>0</v>
      </c>
      <c r="AB9" s="30">
        <f t="shared" si="0"/>
        <v>0</v>
      </c>
    </row>
    <row r="10" spans="1:28" x14ac:dyDescent="0.25">
      <c r="A10" s="31"/>
      <c r="B10" s="35" t="s">
        <v>102</v>
      </c>
      <c r="C10" s="34" t="s">
        <v>101</v>
      </c>
      <c r="D10" s="34" t="s">
        <v>100</v>
      </c>
      <c r="E10" s="33">
        <f>DATA!$C$3</f>
        <v>543.03708177844862</v>
      </c>
      <c r="F10" s="33">
        <f>DATA!$C$3</f>
        <v>543.03708177844862</v>
      </c>
      <c r="G10" s="33">
        <f>DATA!$C$3</f>
        <v>543.03708177844862</v>
      </c>
      <c r="H10" s="33">
        <f>DATA!$C$3</f>
        <v>543.03708177844862</v>
      </c>
      <c r="I10" s="32">
        <f>VLOOKUP($C$3,DATA!$B$3:$C$4,2,FALSE)</f>
        <v>841.21272918520924</v>
      </c>
      <c r="J10" s="32">
        <f>VLOOKUP($C$3,DATA!$B$3:$C$4,2,FALSE)</f>
        <v>841.21272918520924</v>
      </c>
      <c r="K10" s="32">
        <f>VLOOKUP($C$3,DATA!$B$3:$C$4,2,FALSE)</f>
        <v>841.21272918520924</v>
      </c>
      <c r="L10" s="32">
        <f>VLOOKUP($C$3,DATA!$B$3:$C$4,2,FALSE)</f>
        <v>841.21272918520924</v>
      </c>
      <c r="M10" s="32">
        <f>VLOOKUP($C$3,DATA!$B$3:$C$4,2,FALSE)</f>
        <v>841.21272918520924</v>
      </c>
      <c r="N10" s="32">
        <f>VLOOKUP($C$3,DATA!$B$3:$C$4,2,FALSE)</f>
        <v>841.21272918520924</v>
      </c>
      <c r="O10" s="32">
        <f>VLOOKUP($C$3,DATA!$B$3:$C$4,2,FALSE)</f>
        <v>841.21272918520924</v>
      </c>
      <c r="P10" s="32">
        <f>VLOOKUP($C$3,DATA!$B$3:$C$4,2,FALSE)</f>
        <v>841.21272918520924</v>
      </c>
      <c r="Q10" s="31"/>
      <c r="R10" s="30" cm="1">
        <f t="array" ref="R10">INDEX(DATA!$D$11:$AA$25,MATCH($D10,DATA!$B$11:$B$25,0),MATCH(1,(DATA!$D$9:$AA$9=$C$4)*(DATA!$D$10:$AA$10=R$8),0))</f>
        <v>0.87367000000000006</v>
      </c>
      <c r="S10" s="30" cm="1">
        <f t="array" ref="S10">INDEX(DATA!$D$11:$AA$25,MATCH($D10,DATA!$B$11:$B$25,0),MATCH(1,(DATA!$D$9:$AA$9=$C$4)*(DATA!$D$10:$AA$10=S$8),0))</f>
        <v>0.69537000000000004</v>
      </c>
      <c r="T10" s="30" cm="1">
        <f t="array" ref="T10">INDEX(DATA!$D$11:$AA$25,MATCH($D10,DATA!$B$11:$B$25,0),MATCH(1,(DATA!$D$9:$AA$9=$C$4)*(DATA!$D$10:$AA$10=T$8),0))</f>
        <v>0.632965</v>
      </c>
      <c r="U10" s="30">
        <f t="shared" ref="U10:U24" si="1">SUMIFS(U$31:U$60,$T$31:$T$60,$D10,$S$31:$S$60,$C$3)</f>
        <v>0</v>
      </c>
      <c r="V10" s="30">
        <f t="shared" si="0"/>
        <v>0</v>
      </c>
      <c r="W10" s="30">
        <f t="shared" si="0"/>
        <v>0</v>
      </c>
      <c r="X10" s="30">
        <f t="shared" si="0"/>
        <v>0</v>
      </c>
      <c r="Y10" s="30">
        <f t="shared" si="0"/>
        <v>0</v>
      </c>
      <c r="Z10" s="30">
        <f t="shared" si="0"/>
        <v>0</v>
      </c>
      <c r="AA10" s="30">
        <f t="shared" si="0"/>
        <v>0</v>
      </c>
      <c r="AB10" s="30">
        <f t="shared" si="0"/>
        <v>0</v>
      </c>
    </row>
    <row r="11" spans="1:28" x14ac:dyDescent="0.25">
      <c r="A11" s="31"/>
      <c r="B11" s="35" t="s">
        <v>99</v>
      </c>
      <c r="C11" s="34" t="s">
        <v>98</v>
      </c>
      <c r="D11" s="34" t="s">
        <v>97</v>
      </c>
      <c r="E11" s="33">
        <f>DATA!$C$3</f>
        <v>543.03708177844862</v>
      </c>
      <c r="F11" s="33">
        <f>DATA!$C$3</f>
        <v>543.03708177844862</v>
      </c>
      <c r="G11" s="33">
        <f>DATA!$C$3</f>
        <v>543.03708177844862</v>
      </c>
      <c r="H11" s="33">
        <f>DATA!$C$3</f>
        <v>543.03708177844862</v>
      </c>
      <c r="I11" s="32">
        <f>VLOOKUP($C$3,DATA!$B$3:$C$4,2,FALSE)</f>
        <v>841.21272918520924</v>
      </c>
      <c r="J11" s="32">
        <f>VLOOKUP($C$3,DATA!$B$3:$C$4,2,FALSE)</f>
        <v>841.21272918520924</v>
      </c>
      <c r="K11" s="32">
        <f>VLOOKUP($C$3,DATA!$B$3:$C$4,2,FALSE)</f>
        <v>841.21272918520924</v>
      </c>
      <c r="L11" s="32">
        <f>VLOOKUP($C$3,DATA!$B$3:$C$4,2,FALSE)</f>
        <v>841.21272918520924</v>
      </c>
      <c r="M11" s="32">
        <f>VLOOKUP($C$3,DATA!$B$3:$C$4,2,FALSE)</f>
        <v>841.21272918520924</v>
      </c>
      <c r="N11" s="32">
        <f>VLOOKUP($C$3,DATA!$B$3:$C$4,2,FALSE)</f>
        <v>841.21272918520924</v>
      </c>
      <c r="O11" s="32">
        <f>VLOOKUP($C$3,DATA!$B$3:$C$4,2,FALSE)</f>
        <v>841.21272918520924</v>
      </c>
      <c r="P11" s="32">
        <f>VLOOKUP($C$3,DATA!$B$3:$C$4,2,FALSE)</f>
        <v>841.21272918520924</v>
      </c>
      <c r="Q11" s="31"/>
      <c r="R11" s="30" cm="1">
        <f t="array" ref="R11">INDEX(DATA!$D$11:$AA$25,MATCH($D11,DATA!$B$11:$B$25,0),MATCH(1,(DATA!$D$9:$AA$9=$C$4)*(DATA!$D$10:$AA$10=R$8),0))</f>
        <v>0.85642200000000002</v>
      </c>
      <c r="S11" s="30" cm="1">
        <f t="array" ref="S11">INDEX(DATA!$D$11:$AA$25,MATCH($D11,DATA!$B$11:$B$25,0),MATCH(1,(DATA!$D$9:$AA$9=$C$4)*(DATA!$D$10:$AA$10=S$8),0))</f>
        <v>0.68164200000000008</v>
      </c>
      <c r="T11" s="30" cm="1">
        <f t="array" ref="T11">INDEX(DATA!$D$11:$AA$25,MATCH($D11,DATA!$B$11:$B$25,0),MATCH(1,(DATA!$D$9:$AA$9=$C$4)*(DATA!$D$10:$AA$10=T$8),0))</f>
        <v>0.62046899999999994</v>
      </c>
      <c r="U11" s="30">
        <f t="shared" si="1"/>
        <v>0</v>
      </c>
      <c r="V11" s="30">
        <f t="shared" si="0"/>
        <v>0</v>
      </c>
      <c r="W11" s="30">
        <f t="shared" si="0"/>
        <v>0</v>
      </c>
      <c r="X11" s="30">
        <f t="shared" si="0"/>
        <v>0</v>
      </c>
      <c r="Y11" s="30">
        <f t="shared" si="0"/>
        <v>0</v>
      </c>
      <c r="Z11" s="30">
        <f t="shared" si="0"/>
        <v>0</v>
      </c>
      <c r="AA11" s="30">
        <f t="shared" si="0"/>
        <v>0</v>
      </c>
      <c r="AB11" s="30">
        <f t="shared" si="0"/>
        <v>0</v>
      </c>
    </row>
    <row r="12" spans="1:28" x14ac:dyDescent="0.25">
      <c r="A12" s="31"/>
      <c r="B12" s="35" t="s">
        <v>96</v>
      </c>
      <c r="C12" s="34" t="s">
        <v>95</v>
      </c>
      <c r="D12" s="34" t="s">
        <v>94</v>
      </c>
      <c r="E12" s="33">
        <f>DATA!$C$3</f>
        <v>543.03708177844862</v>
      </c>
      <c r="F12" s="33">
        <f>DATA!$C$3</f>
        <v>543.03708177844862</v>
      </c>
      <c r="G12" s="33">
        <f>DATA!$C$3</f>
        <v>543.03708177844862</v>
      </c>
      <c r="H12" s="33">
        <f>DATA!$C$3</f>
        <v>543.03708177844862</v>
      </c>
      <c r="I12" s="32">
        <f>VLOOKUP($C$3,DATA!$B$3:$C$4,2,FALSE)</f>
        <v>841.21272918520924</v>
      </c>
      <c r="J12" s="32">
        <f>VLOOKUP($C$3,DATA!$B$3:$C$4,2,FALSE)</f>
        <v>841.21272918520924</v>
      </c>
      <c r="K12" s="32">
        <f>VLOOKUP($C$3,DATA!$B$3:$C$4,2,FALSE)</f>
        <v>841.21272918520924</v>
      </c>
      <c r="L12" s="32">
        <f>VLOOKUP($C$3,DATA!$B$3:$C$4,2,FALSE)</f>
        <v>841.21272918520924</v>
      </c>
      <c r="M12" s="32">
        <f>VLOOKUP($C$3,DATA!$B$3:$C$4,2,FALSE)</f>
        <v>841.21272918520924</v>
      </c>
      <c r="N12" s="32">
        <f>VLOOKUP($C$3,DATA!$B$3:$C$4,2,FALSE)</f>
        <v>841.21272918520924</v>
      </c>
      <c r="O12" s="32">
        <f>VLOOKUP($C$3,DATA!$B$3:$C$4,2,FALSE)</f>
        <v>841.21272918520924</v>
      </c>
      <c r="P12" s="32">
        <f>VLOOKUP($C$3,DATA!$B$3:$C$4,2,FALSE)</f>
        <v>841.21272918520924</v>
      </c>
      <c r="Q12" s="31"/>
      <c r="R12" s="30" cm="1">
        <f t="array" ref="R12">INDEX(DATA!$D$11:$AA$25,MATCH($D12,DATA!$B$11:$B$25,0),MATCH(1,(DATA!$D$9:$AA$9=$C$4)*(DATA!$D$10:$AA$10=R$8),0))</f>
        <v>0.63758800000000004</v>
      </c>
      <c r="S12" s="30" cm="1">
        <f t="array" ref="S12">INDEX(DATA!$D$11:$AA$25,MATCH($D12,DATA!$B$11:$B$25,0),MATCH(1,(DATA!$D$9:$AA$9=$C$4)*(DATA!$D$10:$AA$10=S$8),0))</f>
        <v>0.48703199999999996</v>
      </c>
      <c r="T12" s="30" cm="1">
        <f t="array" ref="T12">INDEX(DATA!$D$11:$AA$25,MATCH($D12,DATA!$B$11:$B$25,0),MATCH(1,(DATA!$D$9:$AA$9=$C$4)*(DATA!$D$10:$AA$10=T$8),0))</f>
        <v>0.46405599999999997</v>
      </c>
      <c r="U12" s="30">
        <f t="shared" si="1"/>
        <v>0.34871200000000008</v>
      </c>
      <c r="V12" s="30">
        <f t="shared" si="0"/>
        <v>0.38320199999999999</v>
      </c>
      <c r="W12" s="30">
        <f t="shared" si="0"/>
        <v>0.51729200000000009</v>
      </c>
      <c r="X12" s="30">
        <f>SUMIFS(X$31:X$60,$T$31:$T$60,$D12,$S$31:$S$60,$C$3)</f>
        <v>0.5341490000000001</v>
      </c>
      <c r="Y12" s="30">
        <f t="shared" si="0"/>
        <v>0.53936000000000006</v>
      </c>
      <c r="Z12" s="30">
        <f t="shared" si="0"/>
        <v>0.4864</v>
      </c>
      <c r="AA12" s="30">
        <f t="shared" si="0"/>
        <v>0.43632000000000004</v>
      </c>
      <c r="AB12" s="30">
        <f t="shared" si="0"/>
        <v>0.40934999999999999</v>
      </c>
    </row>
    <row r="13" spans="1:28" x14ac:dyDescent="0.25">
      <c r="A13" s="31"/>
      <c r="B13" s="35" t="s">
        <v>93</v>
      </c>
      <c r="C13" s="34" t="s">
        <v>92</v>
      </c>
      <c r="D13" s="34" t="s">
        <v>91</v>
      </c>
      <c r="E13" s="33">
        <f>DATA!$C$3</f>
        <v>543.03708177844862</v>
      </c>
      <c r="F13" s="33">
        <f>DATA!$C$3</f>
        <v>543.03708177844862</v>
      </c>
      <c r="G13" s="33">
        <f>DATA!$C$3</f>
        <v>543.03708177844862</v>
      </c>
      <c r="H13" s="33">
        <f>DATA!$C$3</f>
        <v>543.03708177844862</v>
      </c>
      <c r="I13" s="32">
        <f>VLOOKUP($C$3,DATA!$B$3:$C$4,2,FALSE)</f>
        <v>841.21272918520924</v>
      </c>
      <c r="J13" s="32">
        <f>VLOOKUP($C$3,DATA!$B$3:$C$4,2,FALSE)</f>
        <v>841.21272918520924</v>
      </c>
      <c r="K13" s="32">
        <f>VLOOKUP($C$3,DATA!$B$3:$C$4,2,FALSE)</f>
        <v>841.21272918520924</v>
      </c>
      <c r="L13" s="32">
        <f>VLOOKUP($C$3,DATA!$B$3:$C$4,2,FALSE)</f>
        <v>841.21272918520924</v>
      </c>
      <c r="M13" s="32">
        <f>VLOOKUP($C$3,DATA!$B$3:$C$4,2,FALSE)</f>
        <v>841.21272918520924</v>
      </c>
      <c r="N13" s="32">
        <f>VLOOKUP($C$3,DATA!$B$3:$C$4,2,FALSE)</f>
        <v>841.21272918520924</v>
      </c>
      <c r="O13" s="32">
        <f>VLOOKUP($C$3,DATA!$B$3:$C$4,2,FALSE)</f>
        <v>841.21272918520924</v>
      </c>
      <c r="P13" s="32">
        <f>VLOOKUP($C$3,DATA!$B$3:$C$4,2,FALSE)</f>
        <v>841.21272918520924</v>
      </c>
      <c r="Q13" s="31"/>
      <c r="R13" s="30" cm="1">
        <f t="array" ref="R13">INDEX(DATA!$D$11:$AA$25,MATCH($D13,DATA!$B$11:$B$25,0),MATCH(1,(DATA!$D$9:$AA$9=$C$4)*(DATA!$D$10:$AA$10=R$8),0))</f>
        <v>0.53390399999999993</v>
      </c>
      <c r="S13" s="30" cm="1">
        <f t="array" ref="S13">INDEX(DATA!$D$11:$AA$25,MATCH($D13,DATA!$B$11:$B$25,0),MATCH(1,(DATA!$D$9:$AA$9=$C$4)*(DATA!$D$10:$AA$10=S$8),0))</f>
        <v>0.38742600000000005</v>
      </c>
      <c r="T13" s="30" cm="1">
        <f t="array" ref="T13">INDEX(DATA!$D$11:$AA$25,MATCH($D13,DATA!$B$11:$B$25,0),MATCH(1,(DATA!$D$9:$AA$9=$C$4)*(DATA!$D$10:$AA$10=T$8),0))</f>
        <v>0.4271359999999999</v>
      </c>
      <c r="U13" s="30">
        <f t="shared" si="1"/>
        <v>0.31875200000000004</v>
      </c>
      <c r="V13" s="30">
        <f t="shared" si="0"/>
        <v>0.38320199999999999</v>
      </c>
      <c r="W13" s="30">
        <f t="shared" si="0"/>
        <v>0.482848</v>
      </c>
      <c r="X13" s="30">
        <f t="shared" si="0"/>
        <v>0.517594</v>
      </c>
      <c r="Y13" s="30">
        <f t="shared" si="0"/>
        <v>0.50919999999999999</v>
      </c>
      <c r="Z13" s="30">
        <f t="shared" si="0"/>
        <v>0.47551999999999994</v>
      </c>
      <c r="AA13" s="30">
        <f t="shared" si="0"/>
        <v>0.48727999999999999</v>
      </c>
      <c r="AB13" s="30">
        <f t="shared" si="0"/>
        <v>0.45157499999999995</v>
      </c>
    </row>
    <row r="14" spans="1:28" x14ac:dyDescent="0.25">
      <c r="A14" s="31"/>
      <c r="B14" s="35" t="s">
        <v>90</v>
      </c>
      <c r="C14" s="34" t="s">
        <v>89</v>
      </c>
      <c r="D14" s="34" t="s">
        <v>88</v>
      </c>
      <c r="E14" s="33">
        <f>DATA!$C$3</f>
        <v>543.03708177844862</v>
      </c>
      <c r="F14" s="33">
        <f>DATA!$C$3</f>
        <v>543.03708177844862</v>
      </c>
      <c r="G14" s="33">
        <f>DATA!$C$3</f>
        <v>543.03708177844862</v>
      </c>
      <c r="H14" s="33">
        <f>DATA!$C$3</f>
        <v>543.03708177844862</v>
      </c>
      <c r="I14" s="32">
        <f>VLOOKUP($C$3,DATA!$B$3:$C$4,2,FALSE)</f>
        <v>841.21272918520924</v>
      </c>
      <c r="J14" s="32">
        <f>VLOOKUP($C$3,DATA!$B$3:$C$4,2,FALSE)</f>
        <v>841.21272918520924</v>
      </c>
      <c r="K14" s="32">
        <f>VLOOKUP($C$3,DATA!$B$3:$C$4,2,FALSE)</f>
        <v>841.21272918520924</v>
      </c>
      <c r="L14" s="32">
        <f>VLOOKUP($C$3,DATA!$B$3:$C$4,2,FALSE)</f>
        <v>841.21272918520924</v>
      </c>
      <c r="M14" s="32">
        <f>VLOOKUP($C$3,DATA!$B$3:$C$4,2,FALSE)</f>
        <v>841.21272918520924</v>
      </c>
      <c r="N14" s="32">
        <f>VLOOKUP($C$3,DATA!$B$3:$C$4,2,FALSE)</f>
        <v>841.21272918520924</v>
      </c>
      <c r="O14" s="32">
        <f>VLOOKUP($C$3,DATA!$B$3:$C$4,2,FALSE)</f>
        <v>841.21272918520924</v>
      </c>
      <c r="P14" s="32">
        <f>VLOOKUP($C$3,DATA!$B$3:$C$4,2,FALSE)</f>
        <v>841.21272918520924</v>
      </c>
      <c r="Q14" s="31"/>
      <c r="R14" s="30" cm="1">
        <f t="array" ref="R14">INDEX(DATA!$D$11:$AA$25,MATCH($D14,DATA!$B$11:$B$25,0),MATCH(1,(DATA!$D$9:$AA$9=$C$4)*(DATA!$D$10:$AA$10=R$8),0))</f>
        <v>0.59711399999999992</v>
      </c>
      <c r="S14" s="30" cm="1">
        <f t="array" ref="S14">INDEX(DATA!$D$11:$AA$25,MATCH($D14,DATA!$B$11:$B$25,0),MATCH(1,(DATA!$D$9:$AA$9=$C$4)*(DATA!$D$10:$AA$10=S$8),0))</f>
        <v>0.43648799999999999</v>
      </c>
      <c r="T14" s="30" cm="1">
        <f t="array" ref="T14">INDEX(DATA!$D$11:$AA$25,MATCH($D14,DATA!$B$11:$B$25,0),MATCH(1,(DATA!$D$9:$AA$9=$C$4)*(DATA!$D$10:$AA$10=T$8),0))</f>
        <v>0.49238499999999991</v>
      </c>
      <c r="U14" s="30">
        <f t="shared" si="1"/>
        <v>0.38835999999999998</v>
      </c>
      <c r="V14" s="30">
        <f t="shared" si="0"/>
        <v>0.42303499999999994</v>
      </c>
      <c r="W14" s="30">
        <f t="shared" si="0"/>
        <v>0.54786499999999994</v>
      </c>
      <c r="X14" s="30">
        <f t="shared" si="0"/>
        <v>0</v>
      </c>
      <c r="Y14" s="30">
        <f t="shared" si="0"/>
        <v>0</v>
      </c>
      <c r="Z14" s="30">
        <f t="shared" si="0"/>
        <v>0</v>
      </c>
      <c r="AA14" s="30">
        <f t="shared" si="0"/>
        <v>0</v>
      </c>
      <c r="AB14" s="30">
        <f t="shared" si="0"/>
        <v>0</v>
      </c>
    </row>
    <row r="15" spans="1:28" x14ac:dyDescent="0.25">
      <c r="A15" s="31"/>
      <c r="B15" s="35" t="s">
        <v>87</v>
      </c>
      <c r="C15" s="34" t="s">
        <v>86</v>
      </c>
      <c r="D15" s="34" t="s">
        <v>85</v>
      </c>
      <c r="E15" s="33">
        <f>DATA!$C$3</f>
        <v>543.03708177844862</v>
      </c>
      <c r="F15" s="33">
        <f>DATA!$C$3</f>
        <v>543.03708177844862</v>
      </c>
      <c r="G15" s="33">
        <f>DATA!$C$3</f>
        <v>543.03708177844862</v>
      </c>
      <c r="H15" s="33">
        <f>DATA!$C$3</f>
        <v>543.03708177844862</v>
      </c>
      <c r="I15" s="32">
        <f>VLOOKUP($C$3,DATA!$B$3:$C$4,2,FALSE)</f>
        <v>841.21272918520924</v>
      </c>
      <c r="J15" s="32">
        <f>VLOOKUP($C$3,DATA!$B$3:$C$4,2,FALSE)</f>
        <v>841.21272918520924</v>
      </c>
      <c r="K15" s="32">
        <f>VLOOKUP($C$3,DATA!$B$3:$C$4,2,FALSE)</f>
        <v>841.21272918520924</v>
      </c>
      <c r="L15" s="32">
        <f>VLOOKUP($C$3,DATA!$B$3:$C$4,2,FALSE)</f>
        <v>841.21272918520924</v>
      </c>
      <c r="M15" s="32">
        <f>VLOOKUP($C$3,DATA!$B$3:$C$4,2,FALSE)</f>
        <v>841.21272918520924</v>
      </c>
      <c r="N15" s="32">
        <f>VLOOKUP($C$3,DATA!$B$3:$C$4,2,FALSE)</f>
        <v>841.21272918520924</v>
      </c>
      <c r="O15" s="32">
        <f>VLOOKUP($C$3,DATA!$B$3:$C$4,2,FALSE)</f>
        <v>841.21272918520924</v>
      </c>
      <c r="P15" s="32">
        <f>VLOOKUP($C$3,DATA!$B$3:$C$4,2,FALSE)</f>
        <v>841.21272918520924</v>
      </c>
      <c r="Q15" s="31"/>
      <c r="R15" s="30" cm="1">
        <f t="array" ref="R15">INDEX(DATA!$D$11:$AA$25,MATCH($D15,DATA!$B$11:$B$25,0),MATCH(1,(DATA!$D$9:$AA$9=$C$4)*(DATA!$D$10:$AA$10=R$8),0))</f>
        <v>0.68408999999999998</v>
      </c>
      <c r="S15" s="30" cm="1">
        <f t="array" ref="S15">INDEX(DATA!$D$11:$AA$25,MATCH($D15,DATA!$B$11:$B$25,0),MATCH(1,(DATA!$D$9:$AA$9=$C$4)*(DATA!$D$10:$AA$10=S$8),0))</f>
        <v>0.63492599999999999</v>
      </c>
      <c r="T15" s="30" cm="1">
        <f t="array" ref="T15">INDEX(DATA!$D$11:$AA$25,MATCH($D15,DATA!$B$11:$B$25,0),MATCH(1,(DATA!$D$9:$AA$9=$C$4)*(DATA!$D$10:$AA$10=T$8),0))</f>
        <v>0.55976849999999989</v>
      </c>
      <c r="U15" s="30">
        <f t="shared" si="1"/>
        <v>0.57072600000000007</v>
      </c>
      <c r="V15" s="30">
        <f t="shared" si="0"/>
        <v>0.5556915</v>
      </c>
      <c r="W15" s="30">
        <f t="shared" si="0"/>
        <v>0.66355300000000006</v>
      </c>
      <c r="X15" s="30">
        <f>SUMIFS(X$31:X$60,$T$31:$T$60,$D15,$S$31:$S$60,$C$3)</f>
        <v>0.66693600000000008</v>
      </c>
      <c r="Y15" s="30">
        <f t="shared" si="0"/>
        <v>0.62468999999999997</v>
      </c>
      <c r="Z15" s="30">
        <f t="shared" si="0"/>
        <v>0.71396999999999999</v>
      </c>
      <c r="AA15" s="30">
        <f t="shared" si="0"/>
        <v>0.66276000000000002</v>
      </c>
      <c r="AB15" s="30">
        <f t="shared" si="0"/>
        <v>0.63822499999999993</v>
      </c>
    </row>
    <row r="16" spans="1:28" x14ac:dyDescent="0.25">
      <c r="A16" s="31"/>
      <c r="B16" s="35" t="s">
        <v>84</v>
      </c>
      <c r="C16" s="34" t="s">
        <v>83</v>
      </c>
      <c r="D16" s="34" t="s">
        <v>82</v>
      </c>
      <c r="E16" s="33">
        <f>DATA!$C$3</f>
        <v>543.03708177844862</v>
      </c>
      <c r="F16" s="33">
        <f>DATA!$C$3</f>
        <v>543.03708177844862</v>
      </c>
      <c r="G16" s="33">
        <f>DATA!$C$3</f>
        <v>543.03708177844862</v>
      </c>
      <c r="H16" s="33">
        <f>DATA!$C$3</f>
        <v>543.03708177844862</v>
      </c>
      <c r="I16" s="32">
        <f>VLOOKUP($C$3,DATA!$B$3:$C$4,2,FALSE)</f>
        <v>841.21272918520924</v>
      </c>
      <c r="J16" s="32">
        <f>VLOOKUP($C$3,DATA!$B$3:$C$4,2,FALSE)</f>
        <v>841.21272918520924</v>
      </c>
      <c r="K16" s="32">
        <f>VLOOKUP($C$3,DATA!$B$3:$C$4,2,FALSE)</f>
        <v>841.21272918520924</v>
      </c>
      <c r="L16" s="32">
        <f>VLOOKUP($C$3,DATA!$B$3:$C$4,2,FALSE)</f>
        <v>841.21272918520924</v>
      </c>
      <c r="M16" s="32">
        <f>VLOOKUP($C$3,DATA!$B$3:$C$4,2,FALSE)</f>
        <v>841.21272918520924</v>
      </c>
      <c r="N16" s="32">
        <f>VLOOKUP($C$3,DATA!$B$3:$C$4,2,FALSE)</f>
        <v>841.21272918520924</v>
      </c>
      <c r="O16" s="32">
        <f>VLOOKUP($C$3,DATA!$B$3:$C$4,2,FALSE)</f>
        <v>841.21272918520924</v>
      </c>
      <c r="P16" s="32">
        <f>VLOOKUP($C$3,DATA!$B$3:$C$4,2,FALSE)</f>
        <v>841.21272918520924</v>
      </c>
      <c r="Q16" s="31"/>
      <c r="R16" s="30" cm="1">
        <f t="array" ref="R16">INDEX(DATA!$D$11:$AA$25,MATCH($D16,DATA!$B$11:$B$25,0),MATCH(1,(DATA!$D$9:$AA$9=$C$4)*(DATA!$D$10:$AA$10=R$8),0))</f>
        <v>0.53017999999999998</v>
      </c>
      <c r="S16" s="30" cm="1">
        <f t="array" ref="S16">INDEX(DATA!$D$11:$AA$25,MATCH($D16,DATA!$B$11:$B$25,0),MATCH(1,(DATA!$D$9:$AA$9=$C$4)*(DATA!$D$10:$AA$10=S$8),0))</f>
        <v>0.494676</v>
      </c>
      <c r="T16" s="30" cm="1">
        <f t="array" ref="T16">INDEX(DATA!$D$11:$AA$25,MATCH($D16,DATA!$B$11:$B$25,0),MATCH(1,(DATA!$D$9:$AA$9=$C$4)*(DATA!$D$10:$AA$10=T$8),0))</f>
        <v>0.38787299999999997</v>
      </c>
      <c r="U16" s="30">
        <f t="shared" si="1"/>
        <v>0.28778400000000004</v>
      </c>
      <c r="V16" s="30">
        <f t="shared" si="0"/>
        <v>0.39772000000000002</v>
      </c>
      <c r="W16" s="30">
        <f t="shared" si="0"/>
        <v>0.50907599999999997</v>
      </c>
      <c r="X16" s="30">
        <f t="shared" si="0"/>
        <v>0.50350300000000003</v>
      </c>
      <c r="Y16" s="30">
        <f t="shared" si="0"/>
        <v>0.55111999999999994</v>
      </c>
      <c r="Z16" s="30">
        <f t="shared" si="0"/>
        <v>0.40895999999999999</v>
      </c>
      <c r="AA16" s="30">
        <f t="shared" si="0"/>
        <v>0.48431999999999997</v>
      </c>
      <c r="AB16" s="30">
        <f t="shared" si="0"/>
        <v>0.48112500000000002</v>
      </c>
    </row>
    <row r="17" spans="1:28" x14ac:dyDescent="0.25">
      <c r="A17" s="31"/>
      <c r="B17" s="35" t="s">
        <v>81</v>
      </c>
      <c r="C17" s="34" t="s">
        <v>80</v>
      </c>
      <c r="D17" s="34" t="s">
        <v>79</v>
      </c>
      <c r="E17" s="33">
        <f>DATA!$C$3</f>
        <v>543.03708177844862</v>
      </c>
      <c r="F17" s="33">
        <f>DATA!$C$3</f>
        <v>543.03708177844862</v>
      </c>
      <c r="G17" s="33">
        <f>DATA!$C$3</f>
        <v>543.03708177844862</v>
      </c>
      <c r="H17" s="33">
        <f>DATA!$C$3</f>
        <v>543.03708177844862</v>
      </c>
      <c r="I17" s="32">
        <f>VLOOKUP($C$3,DATA!$B$3:$C$4,2,FALSE)</f>
        <v>841.21272918520924</v>
      </c>
      <c r="J17" s="32">
        <f>VLOOKUP($C$3,DATA!$B$3:$C$4,2,FALSE)</f>
        <v>841.21272918520924</v>
      </c>
      <c r="K17" s="32">
        <f>VLOOKUP($C$3,DATA!$B$3:$C$4,2,FALSE)</f>
        <v>841.21272918520924</v>
      </c>
      <c r="L17" s="32">
        <f>VLOOKUP($C$3,DATA!$B$3:$C$4,2,FALSE)</f>
        <v>841.21272918520924</v>
      </c>
      <c r="M17" s="32">
        <f>VLOOKUP($C$3,DATA!$B$3:$C$4,2,FALSE)</f>
        <v>841.21272918520924</v>
      </c>
      <c r="N17" s="32">
        <f>VLOOKUP($C$3,DATA!$B$3:$C$4,2,FALSE)</f>
        <v>841.21272918520924</v>
      </c>
      <c r="O17" s="32">
        <f>VLOOKUP($C$3,DATA!$B$3:$C$4,2,FALSE)</f>
        <v>841.21272918520924</v>
      </c>
      <c r="P17" s="32">
        <f>VLOOKUP($C$3,DATA!$B$3:$C$4,2,FALSE)</f>
        <v>841.21272918520924</v>
      </c>
      <c r="Q17" s="31"/>
      <c r="R17" s="30" cm="1">
        <f t="array" ref="R17">INDEX(DATA!$D$11:$AA$25,MATCH($D17,DATA!$B$11:$B$25,0),MATCH(1,(DATA!$D$9:$AA$9=$C$4)*(DATA!$D$10:$AA$10=R$8),0))</f>
        <v>0.72500399999999998</v>
      </c>
      <c r="S17" s="30" cm="1">
        <f t="array" ref="S17">INDEX(DATA!$D$11:$AA$25,MATCH($D17,DATA!$B$11:$B$25,0),MATCH(1,(DATA!$D$9:$AA$9=$C$4)*(DATA!$D$10:$AA$10=S$8),0))</f>
        <v>0.56456400000000007</v>
      </c>
      <c r="T17" s="30" cm="1">
        <f t="array" ref="T17">INDEX(DATA!$D$11:$AA$25,MATCH($D17,DATA!$B$11:$B$25,0),MATCH(1,(DATA!$D$9:$AA$9=$C$4)*(DATA!$D$10:$AA$10=T$8),0))</f>
        <v>0.53683099999999995</v>
      </c>
      <c r="U17" s="30">
        <f t="shared" si="1"/>
        <v>0.39760000000000001</v>
      </c>
      <c r="V17" s="30">
        <f t="shared" si="0"/>
        <v>0.42950099999999997</v>
      </c>
      <c r="W17" s="30">
        <f t="shared" si="0"/>
        <v>0.59155199999999997</v>
      </c>
      <c r="X17" s="30">
        <f t="shared" si="0"/>
        <v>0.52721899999999999</v>
      </c>
      <c r="Y17" s="30">
        <f t="shared" si="0"/>
        <v>0.54327999999999999</v>
      </c>
      <c r="Z17" s="30">
        <f t="shared" si="0"/>
        <v>0.55055999999999994</v>
      </c>
      <c r="AA17" s="30">
        <f t="shared" si="0"/>
        <v>0.59248000000000001</v>
      </c>
      <c r="AB17" s="30">
        <f t="shared" si="0"/>
        <v>0.55020000000000002</v>
      </c>
    </row>
    <row r="18" spans="1:28" x14ac:dyDescent="0.25">
      <c r="A18" s="31"/>
      <c r="B18" s="35" t="s">
        <v>78</v>
      </c>
      <c r="C18" s="34" t="s">
        <v>77</v>
      </c>
      <c r="D18" s="34" t="s">
        <v>74</v>
      </c>
      <c r="E18" s="33">
        <f>DATA!$C$3</f>
        <v>543.03708177844862</v>
      </c>
      <c r="F18" s="33">
        <f>DATA!$C$3</f>
        <v>543.03708177844862</v>
      </c>
      <c r="G18" s="33">
        <f>DATA!$C$3</f>
        <v>543.03708177844862</v>
      </c>
      <c r="H18" s="33">
        <f>DATA!$C$3</f>
        <v>543.03708177844862</v>
      </c>
      <c r="I18" s="32">
        <f>VLOOKUP($C$3,DATA!$B$3:$C$4,2,FALSE)</f>
        <v>841.21272918520924</v>
      </c>
      <c r="J18" s="32">
        <f>VLOOKUP($C$3,DATA!$B$3:$C$4,2,FALSE)</f>
        <v>841.21272918520924</v>
      </c>
      <c r="K18" s="32">
        <f>VLOOKUP($C$3,DATA!$B$3:$C$4,2,FALSE)</f>
        <v>841.21272918520924</v>
      </c>
      <c r="L18" s="32">
        <f>VLOOKUP($C$3,DATA!$B$3:$C$4,2,FALSE)</f>
        <v>841.21272918520924</v>
      </c>
      <c r="M18" s="32">
        <f>VLOOKUP($C$3,DATA!$B$3:$C$4,2,FALSE)</f>
        <v>841.21272918520924</v>
      </c>
      <c r="N18" s="32">
        <f>VLOOKUP($C$3,DATA!$B$3:$C$4,2,FALSE)</f>
        <v>841.21272918520924</v>
      </c>
      <c r="O18" s="32">
        <f>VLOOKUP($C$3,DATA!$B$3:$C$4,2,FALSE)</f>
        <v>841.21272918520924</v>
      </c>
      <c r="P18" s="32">
        <f>VLOOKUP($C$3,DATA!$B$3:$C$4,2,FALSE)</f>
        <v>841.21272918520924</v>
      </c>
      <c r="Q18" s="31"/>
      <c r="R18" s="30" cm="1">
        <f t="array" ref="R18">INDEX(DATA!$D$11:$AA$25,MATCH($D18,DATA!$B$11:$B$25,0),MATCH(1,(DATA!$D$9:$AA$9=$C$4)*(DATA!$D$10:$AA$10=R$8),0))</f>
        <v>0.72319499999999992</v>
      </c>
      <c r="S18" s="30" cm="1">
        <f t="array" ref="S18">INDEX(DATA!$D$11:$AA$25,MATCH($D18,DATA!$B$11:$B$25,0),MATCH(1,(DATA!$D$9:$AA$9=$C$4)*(DATA!$D$10:$AA$10=S$8),0))</f>
        <v>0.6641180000000001</v>
      </c>
      <c r="T18" s="30" cm="1">
        <f t="array" ref="T18">INDEX(DATA!$D$11:$AA$25,MATCH($D18,DATA!$B$11:$B$25,0),MATCH(1,(DATA!$D$9:$AA$9=$C$4)*(DATA!$D$10:$AA$10=T$8),0))</f>
        <v>0.64398599999999995</v>
      </c>
      <c r="U18" s="30">
        <f t="shared" si="1"/>
        <v>0.56643600000000005</v>
      </c>
      <c r="V18" s="30">
        <f t="shared" si="0"/>
        <v>0.59972499999999995</v>
      </c>
      <c r="W18" s="30">
        <f t="shared" si="0"/>
        <v>0.68950800000000012</v>
      </c>
      <c r="X18" s="30">
        <f t="shared" si="0"/>
        <v>0.62065049999999999</v>
      </c>
      <c r="Y18" s="30">
        <f t="shared" si="0"/>
        <v>0.64962000000000009</v>
      </c>
      <c r="Z18" s="30">
        <f t="shared" si="0"/>
        <v>0.64737000000000011</v>
      </c>
      <c r="AA18" s="30">
        <f t="shared" si="0"/>
        <v>0.64466999999999997</v>
      </c>
      <c r="AB18" s="30">
        <f t="shared" si="0"/>
        <v>0.62063750000000006</v>
      </c>
    </row>
    <row r="19" spans="1:28" x14ac:dyDescent="0.25">
      <c r="A19" s="31"/>
      <c r="B19" s="35" t="s">
        <v>76</v>
      </c>
      <c r="C19" s="34" t="s">
        <v>75</v>
      </c>
      <c r="D19" s="34" t="s">
        <v>74</v>
      </c>
      <c r="E19" s="33">
        <f>DATA!$C$3</f>
        <v>543.03708177844862</v>
      </c>
      <c r="F19" s="33">
        <f>DATA!$C$3</f>
        <v>543.03708177844862</v>
      </c>
      <c r="G19" s="33">
        <f>DATA!$C$3</f>
        <v>543.03708177844862</v>
      </c>
      <c r="H19" s="33">
        <f>DATA!$C$3</f>
        <v>543.03708177844862</v>
      </c>
      <c r="I19" s="32">
        <f>VLOOKUP($C$3,DATA!$B$3:$C$4,2,FALSE)</f>
        <v>841.21272918520924</v>
      </c>
      <c r="J19" s="32">
        <f>VLOOKUP($C$3,DATA!$B$3:$C$4,2,FALSE)</f>
        <v>841.21272918520924</v>
      </c>
      <c r="K19" s="32">
        <f>VLOOKUP($C$3,DATA!$B$3:$C$4,2,FALSE)</f>
        <v>841.21272918520924</v>
      </c>
      <c r="L19" s="32">
        <f>VLOOKUP($C$3,DATA!$B$3:$C$4,2,FALSE)</f>
        <v>841.21272918520924</v>
      </c>
      <c r="M19" s="32">
        <f>VLOOKUP($C$3,DATA!$B$3:$C$4,2,FALSE)</f>
        <v>841.21272918520924</v>
      </c>
      <c r="N19" s="32">
        <f>VLOOKUP($C$3,DATA!$B$3:$C$4,2,FALSE)</f>
        <v>841.21272918520924</v>
      </c>
      <c r="O19" s="32">
        <f>VLOOKUP($C$3,DATA!$B$3:$C$4,2,FALSE)</f>
        <v>841.21272918520924</v>
      </c>
      <c r="P19" s="32">
        <f>VLOOKUP($C$3,DATA!$B$3:$C$4,2,FALSE)</f>
        <v>841.21272918520924</v>
      </c>
      <c r="Q19" s="31"/>
      <c r="R19" s="30" cm="1">
        <f t="array" ref="R19">INDEX(DATA!$D$11:$AA$25,MATCH($D19,DATA!$B$11:$B$25,0),MATCH(1,(DATA!$D$9:$AA$9=$C$4)*(DATA!$D$10:$AA$10=R$8),0))</f>
        <v>0.72319499999999992</v>
      </c>
      <c r="S19" s="30" cm="1">
        <f t="array" ref="S19">INDEX(DATA!$D$11:$AA$25,MATCH($D19,DATA!$B$11:$B$25,0),MATCH(1,(DATA!$D$9:$AA$9=$C$4)*(DATA!$D$10:$AA$10=S$8),0))</f>
        <v>0.6641180000000001</v>
      </c>
      <c r="T19" s="30" cm="1">
        <f t="array" ref="T19">INDEX(DATA!$D$11:$AA$25,MATCH($D19,DATA!$B$11:$B$25,0),MATCH(1,(DATA!$D$9:$AA$9=$C$4)*(DATA!$D$10:$AA$10=T$8),0))</f>
        <v>0.64398599999999995</v>
      </c>
      <c r="U19" s="30">
        <f t="shared" si="1"/>
        <v>0.56643600000000005</v>
      </c>
      <c r="V19" s="30">
        <f t="shared" si="0"/>
        <v>0.59972499999999995</v>
      </c>
      <c r="W19" s="30">
        <f t="shared" si="0"/>
        <v>0.68950800000000012</v>
      </c>
      <c r="X19" s="30">
        <f t="shared" si="0"/>
        <v>0.62065049999999999</v>
      </c>
      <c r="Y19" s="30">
        <f t="shared" si="0"/>
        <v>0.64962000000000009</v>
      </c>
      <c r="Z19" s="30">
        <f t="shared" si="0"/>
        <v>0.64737000000000011</v>
      </c>
      <c r="AA19" s="30">
        <f t="shared" si="0"/>
        <v>0.64466999999999997</v>
      </c>
      <c r="AB19" s="30">
        <f t="shared" si="0"/>
        <v>0.62063750000000006</v>
      </c>
    </row>
    <row r="20" spans="1:28" x14ac:dyDescent="0.25">
      <c r="A20" s="31"/>
      <c r="B20" s="35" t="s">
        <v>73</v>
      </c>
      <c r="C20" s="34" t="s">
        <v>72</v>
      </c>
      <c r="D20" s="34" t="s">
        <v>71</v>
      </c>
      <c r="E20" s="33">
        <f>DATA!$C$3</f>
        <v>543.03708177844862</v>
      </c>
      <c r="F20" s="33">
        <f>DATA!$C$3</f>
        <v>543.03708177844862</v>
      </c>
      <c r="G20" s="33">
        <f>DATA!$C$3</f>
        <v>543.03708177844862</v>
      </c>
      <c r="H20" s="33">
        <f>DATA!$C$3</f>
        <v>543.03708177844862</v>
      </c>
      <c r="I20" s="32">
        <f>VLOOKUP($C$3,DATA!$B$3:$C$4,2,FALSE)</f>
        <v>841.21272918520924</v>
      </c>
      <c r="J20" s="32">
        <f>VLOOKUP($C$3,DATA!$B$3:$C$4,2,FALSE)</f>
        <v>841.21272918520924</v>
      </c>
      <c r="K20" s="32">
        <f>VLOOKUP($C$3,DATA!$B$3:$C$4,2,FALSE)</f>
        <v>841.21272918520924</v>
      </c>
      <c r="L20" s="32">
        <f>VLOOKUP($C$3,DATA!$B$3:$C$4,2,FALSE)</f>
        <v>841.21272918520924</v>
      </c>
      <c r="M20" s="32">
        <f>VLOOKUP($C$3,DATA!$B$3:$C$4,2,FALSE)</f>
        <v>841.21272918520924</v>
      </c>
      <c r="N20" s="32">
        <f>VLOOKUP($C$3,DATA!$B$3:$C$4,2,FALSE)</f>
        <v>841.21272918520924</v>
      </c>
      <c r="O20" s="32">
        <f>VLOOKUP($C$3,DATA!$B$3:$C$4,2,FALSE)</f>
        <v>841.21272918520924</v>
      </c>
      <c r="P20" s="32">
        <f>VLOOKUP($C$3,DATA!$B$3:$C$4,2,FALSE)</f>
        <v>841.21272918520924</v>
      </c>
      <c r="Q20" s="31"/>
      <c r="R20" s="30" cm="1">
        <f t="array" ref="R20">INDEX(DATA!$D$11:$AA$25,MATCH($D20,DATA!$B$11:$B$25,0),MATCH(1,(DATA!$D$9:$AA$9=$C$4)*(DATA!$D$10:$AA$10=R$8),0))</f>
        <v>0.81922499999999998</v>
      </c>
      <c r="S20" s="30" cm="1">
        <f t="array" ref="S20">INDEX(DATA!$D$11:$AA$25,MATCH($D20,DATA!$B$11:$B$25,0),MATCH(1,(DATA!$D$9:$AA$9=$C$4)*(DATA!$D$10:$AA$10=S$8),0))</f>
        <v>0.71324600000000005</v>
      </c>
      <c r="T20" s="30" cm="1">
        <f t="array" ref="T20">INDEX(DATA!$D$11:$AA$25,MATCH($D20,DATA!$B$11:$B$25,0),MATCH(1,(DATA!$D$9:$AA$9=$C$4)*(DATA!$D$10:$AA$10=T$8),0))</f>
        <v>0.69802200000000003</v>
      </c>
      <c r="U20" s="30">
        <f t="shared" si="1"/>
        <v>0.63273600000000008</v>
      </c>
      <c r="V20" s="30">
        <f t="shared" si="0"/>
        <v>0.65366000000000002</v>
      </c>
      <c r="W20" s="30">
        <f t="shared" si="0"/>
        <v>0.70141150000000008</v>
      </c>
      <c r="X20" s="30">
        <f t="shared" si="0"/>
        <v>0.70224750000000002</v>
      </c>
      <c r="Y20" s="30">
        <f t="shared" si="0"/>
        <v>0.70911000000000002</v>
      </c>
      <c r="Z20" s="30">
        <f t="shared" si="0"/>
        <v>0.68805000000000005</v>
      </c>
      <c r="AA20" s="30">
        <f t="shared" si="0"/>
        <v>0.72099000000000002</v>
      </c>
      <c r="AB20" s="30">
        <f t="shared" si="0"/>
        <v>0.69483749999999989</v>
      </c>
    </row>
    <row r="21" spans="1:28" x14ac:dyDescent="0.25">
      <c r="A21" s="31"/>
      <c r="B21" s="35" t="s">
        <v>70</v>
      </c>
      <c r="C21" s="34" t="s">
        <v>69</v>
      </c>
      <c r="D21" s="34" t="s">
        <v>68</v>
      </c>
      <c r="E21" s="33">
        <f>DATA!$C$3</f>
        <v>543.03708177844862</v>
      </c>
      <c r="F21" s="33">
        <f>DATA!$C$3</f>
        <v>543.03708177844862</v>
      </c>
      <c r="G21" s="33">
        <f>DATA!$C$3</f>
        <v>543.03708177844862</v>
      </c>
      <c r="H21" s="33">
        <f>DATA!$C$3</f>
        <v>543.03708177844862</v>
      </c>
      <c r="I21" s="32">
        <f>VLOOKUP($C$3,DATA!$B$3:$C$4,2,FALSE)</f>
        <v>841.21272918520924</v>
      </c>
      <c r="J21" s="32">
        <f>VLOOKUP($C$3,DATA!$B$3:$C$4,2,FALSE)</f>
        <v>841.21272918520924</v>
      </c>
      <c r="K21" s="32">
        <f>VLOOKUP($C$3,DATA!$B$3:$C$4,2,FALSE)</f>
        <v>841.21272918520924</v>
      </c>
      <c r="L21" s="32">
        <f>VLOOKUP($C$3,DATA!$B$3:$C$4,2,FALSE)</f>
        <v>841.21272918520924</v>
      </c>
      <c r="M21" s="32">
        <f>VLOOKUP($C$3,DATA!$B$3:$C$4,2,FALSE)</f>
        <v>841.21272918520924</v>
      </c>
      <c r="N21" s="32">
        <f>VLOOKUP($C$3,DATA!$B$3:$C$4,2,FALSE)</f>
        <v>841.21272918520924</v>
      </c>
      <c r="O21" s="32">
        <f>VLOOKUP($C$3,DATA!$B$3:$C$4,2,FALSE)</f>
        <v>841.21272918520924</v>
      </c>
      <c r="P21" s="32">
        <f>VLOOKUP($C$3,DATA!$B$3:$C$4,2,FALSE)</f>
        <v>841.21272918520924</v>
      </c>
      <c r="Q21" s="31"/>
      <c r="R21" s="30" cm="1">
        <f t="array" ref="R21">INDEX(DATA!$D$11:$AA$25,MATCH($D21,DATA!$B$11:$B$25,0),MATCH(1,(DATA!$D$9:$AA$9=$C$4)*(DATA!$D$10:$AA$10=R$8),0))</f>
        <v>0.66626999999999992</v>
      </c>
      <c r="S21" s="30" cm="1">
        <f t="array" ref="S21">INDEX(DATA!$D$11:$AA$25,MATCH($D21,DATA!$B$11:$B$25,0),MATCH(1,(DATA!$D$9:$AA$9=$C$4)*(DATA!$D$10:$AA$10=S$8),0))</f>
        <v>0.61196400000000006</v>
      </c>
      <c r="T21" s="30" cm="1">
        <f t="array" ref="T21">INDEX(DATA!$D$11:$AA$25,MATCH($D21,DATA!$B$11:$B$25,0),MATCH(1,(DATA!$D$9:$AA$9=$C$4)*(DATA!$D$10:$AA$10=T$8),0))</f>
        <v>0.60482699999999989</v>
      </c>
      <c r="U21" s="30">
        <f t="shared" si="1"/>
        <v>0.553566</v>
      </c>
      <c r="V21" s="30">
        <f t="shared" si="0"/>
        <v>0.55939449999999991</v>
      </c>
      <c r="W21" s="30">
        <f t="shared" si="0"/>
        <v>0.63124350000000007</v>
      </c>
      <c r="X21" s="30">
        <f t="shared" si="0"/>
        <v>0.61649100000000001</v>
      </c>
      <c r="Y21" s="30">
        <f t="shared" si="0"/>
        <v>0.62190000000000001</v>
      </c>
      <c r="Z21" s="30">
        <f t="shared" si="0"/>
        <v>0.68363999999999991</v>
      </c>
      <c r="AA21" s="30">
        <f t="shared" si="0"/>
        <v>0.63333000000000006</v>
      </c>
      <c r="AB21" s="30">
        <f t="shared" si="0"/>
        <v>0.6096125</v>
      </c>
    </row>
    <row r="22" spans="1:28" x14ac:dyDescent="0.25">
      <c r="A22" s="31"/>
      <c r="B22" s="35" t="s">
        <v>67</v>
      </c>
      <c r="C22" s="34" t="s">
        <v>66</v>
      </c>
      <c r="D22" s="34" t="s">
        <v>65</v>
      </c>
      <c r="E22" s="33">
        <f>DATA!$C$3</f>
        <v>543.03708177844862</v>
      </c>
      <c r="F22" s="33">
        <f>DATA!$C$3</f>
        <v>543.03708177844862</v>
      </c>
      <c r="G22" s="33">
        <f>DATA!$C$3</f>
        <v>543.03708177844862</v>
      </c>
      <c r="H22" s="33">
        <f>DATA!$C$3</f>
        <v>543.03708177844862</v>
      </c>
      <c r="I22" s="32">
        <f>VLOOKUP($C$3,DATA!$B$3:$C$4,2,FALSE)</f>
        <v>841.21272918520924</v>
      </c>
      <c r="J22" s="32">
        <f>VLOOKUP($C$3,DATA!$B$3:$C$4,2,FALSE)</f>
        <v>841.21272918520924</v>
      </c>
      <c r="K22" s="32">
        <f>VLOOKUP($C$3,DATA!$B$3:$C$4,2,FALSE)</f>
        <v>841.21272918520924</v>
      </c>
      <c r="L22" s="32">
        <f>VLOOKUP($C$3,DATA!$B$3:$C$4,2,FALSE)</f>
        <v>841.21272918520924</v>
      </c>
      <c r="M22" s="32">
        <f>VLOOKUP($C$3,DATA!$B$3:$C$4,2,FALSE)</f>
        <v>841.21272918520924</v>
      </c>
      <c r="N22" s="32">
        <f>VLOOKUP($C$3,DATA!$B$3:$C$4,2,FALSE)</f>
        <v>841.21272918520924</v>
      </c>
      <c r="O22" s="32">
        <f>VLOOKUP($C$3,DATA!$B$3:$C$4,2,FALSE)</f>
        <v>841.21272918520924</v>
      </c>
      <c r="P22" s="32">
        <f>VLOOKUP($C$3,DATA!$B$3:$C$4,2,FALSE)</f>
        <v>841.21272918520924</v>
      </c>
      <c r="Q22" s="31"/>
      <c r="R22" s="30" cm="1">
        <f t="array" ref="R22">INDEX(DATA!$D$11:$AA$25,MATCH($D22,DATA!$B$11:$B$25,0),MATCH(1,(DATA!$D$9:$AA$9=$C$4)*(DATA!$D$10:$AA$10=R$8),0))</f>
        <v>0.54938799999999999</v>
      </c>
      <c r="S22" s="30" cm="1">
        <f t="array" ref="S22">INDEX(DATA!$D$11:$AA$25,MATCH($D22,DATA!$B$11:$B$25,0),MATCH(1,(DATA!$D$9:$AA$9=$C$4)*(DATA!$D$10:$AA$10=S$8),0))</f>
        <v>0.44350800000000001</v>
      </c>
      <c r="T22" s="30" cm="1">
        <f t="array" ref="T22">INDEX(DATA!$D$11:$AA$25,MATCH($D22,DATA!$B$11:$B$25,0),MATCH(1,(DATA!$D$9:$AA$9=$C$4)*(DATA!$D$10:$AA$10=T$8),0))</f>
        <v>0.38375499999999996</v>
      </c>
      <c r="U22" s="30">
        <f t="shared" si="1"/>
        <v>0.33124000000000003</v>
      </c>
      <c r="V22" s="30">
        <f t="shared" si="0"/>
        <v>0.33501200000000003</v>
      </c>
      <c r="W22" s="30">
        <f t="shared" si="0"/>
        <v>0.48308499999999999</v>
      </c>
      <c r="X22" s="30">
        <f t="shared" si="0"/>
        <v>0.44536800000000004</v>
      </c>
      <c r="Y22" s="30">
        <f t="shared" si="0"/>
        <v>0.45896000000000003</v>
      </c>
      <c r="Z22" s="30">
        <f t="shared" si="0"/>
        <v>0.50039999999999996</v>
      </c>
      <c r="AA22" s="30">
        <f t="shared" si="0"/>
        <v>0.47023999999999999</v>
      </c>
      <c r="AB22" s="30">
        <f t="shared" si="0"/>
        <v>0.43522500000000003</v>
      </c>
    </row>
    <row r="23" spans="1:28" x14ac:dyDescent="0.25">
      <c r="A23" s="31"/>
      <c r="B23" s="35" t="s">
        <v>64</v>
      </c>
      <c r="C23" s="34" t="s">
        <v>63</v>
      </c>
      <c r="D23" s="34" t="s">
        <v>62</v>
      </c>
      <c r="E23" s="33">
        <f>DATA!$C$3</f>
        <v>543.03708177844862</v>
      </c>
      <c r="F23" s="33">
        <f>DATA!$C$3</f>
        <v>543.03708177844862</v>
      </c>
      <c r="G23" s="33">
        <f>DATA!$C$3</f>
        <v>543.03708177844862</v>
      </c>
      <c r="H23" s="33">
        <f>DATA!$C$3</f>
        <v>543.03708177844862</v>
      </c>
      <c r="I23" s="32">
        <f>VLOOKUP($C$3,DATA!$B$3:$C$4,2,FALSE)</f>
        <v>841.21272918520924</v>
      </c>
      <c r="J23" s="32">
        <f>VLOOKUP($C$3,DATA!$B$3:$C$4,2,FALSE)</f>
        <v>841.21272918520924</v>
      </c>
      <c r="K23" s="32">
        <f>VLOOKUP($C$3,DATA!$B$3:$C$4,2,FALSE)</f>
        <v>841.21272918520924</v>
      </c>
      <c r="L23" s="32">
        <f>VLOOKUP($C$3,DATA!$B$3:$C$4,2,FALSE)</f>
        <v>841.21272918520924</v>
      </c>
      <c r="M23" s="32">
        <f>VLOOKUP($C$3,DATA!$B$3:$C$4,2,FALSE)</f>
        <v>841.21272918520924</v>
      </c>
      <c r="N23" s="32">
        <f>VLOOKUP($C$3,DATA!$B$3:$C$4,2,FALSE)</f>
        <v>841.21272918520924</v>
      </c>
      <c r="O23" s="32">
        <f>VLOOKUP($C$3,DATA!$B$3:$C$4,2,FALSE)</f>
        <v>841.21272918520924</v>
      </c>
      <c r="P23" s="32">
        <f>VLOOKUP($C$3,DATA!$B$3:$C$4,2,FALSE)</f>
        <v>841.21272918520924</v>
      </c>
      <c r="Q23" s="31"/>
      <c r="R23" s="30" cm="1">
        <f t="array" ref="R23">INDEX(DATA!$D$11:$AA$25,MATCH($D23,DATA!$B$11:$B$25,0),MATCH(1,(DATA!$D$9:$AA$9=$C$4)*(DATA!$D$10:$AA$10=R$8),0))</f>
        <v>0.74883599999999995</v>
      </c>
      <c r="S23" s="30" cm="1">
        <f t="array" ref="S23">INDEX(DATA!$D$11:$AA$25,MATCH($D23,DATA!$B$11:$B$25,0),MATCH(1,(DATA!$D$9:$AA$9=$C$4)*(DATA!$D$10:$AA$10=S$8),0))</f>
        <v>0.70514699999999997</v>
      </c>
      <c r="T23" s="30" cm="1">
        <f t="array" ref="T23">INDEX(DATA!$D$11:$AA$25,MATCH($D23,DATA!$B$11:$B$25,0),MATCH(1,(DATA!$D$9:$AA$9=$C$4)*(DATA!$D$10:$AA$10=T$8),0))</f>
        <v>0.72008099999999997</v>
      </c>
      <c r="U23" s="30">
        <f t="shared" si="1"/>
        <v>0.65192400000000006</v>
      </c>
      <c r="V23" s="30">
        <f t="shared" si="0"/>
        <v>0.68585999999999991</v>
      </c>
      <c r="W23" s="30">
        <f t="shared" si="0"/>
        <v>0.73300500000000002</v>
      </c>
      <c r="X23" s="30">
        <f t="shared" si="0"/>
        <v>0.76101149999999995</v>
      </c>
      <c r="Y23" s="30">
        <f t="shared" si="0"/>
        <v>0.77993999999999997</v>
      </c>
      <c r="Z23" s="30">
        <f t="shared" si="0"/>
        <v>0.71567999999999998</v>
      </c>
      <c r="AA23" s="30">
        <f t="shared" si="0"/>
        <v>0.73584000000000016</v>
      </c>
      <c r="AB23" s="30">
        <f t="shared" si="0"/>
        <v>0.70927499999999999</v>
      </c>
    </row>
    <row r="24" spans="1:28" x14ac:dyDescent="0.25">
      <c r="A24" s="31"/>
      <c r="B24" s="35" t="s">
        <v>61</v>
      </c>
      <c r="C24" s="34" t="s">
        <v>60</v>
      </c>
      <c r="D24" s="34" t="s">
        <v>59</v>
      </c>
      <c r="E24" s="33">
        <f>DATA!$C$3</f>
        <v>543.03708177844862</v>
      </c>
      <c r="F24" s="33">
        <f>DATA!$C$3</f>
        <v>543.03708177844862</v>
      </c>
      <c r="G24" s="33">
        <f>DATA!$C$3</f>
        <v>543.03708177844862</v>
      </c>
      <c r="H24" s="33">
        <f>DATA!$C$3</f>
        <v>543.03708177844862</v>
      </c>
      <c r="I24" s="32">
        <f>VLOOKUP($C$3,DATA!$B$3:$C$4,2,FALSE)</f>
        <v>841.21272918520924</v>
      </c>
      <c r="J24" s="32">
        <f>VLOOKUP($C$3,DATA!$B$3:$C$4,2,FALSE)</f>
        <v>841.21272918520924</v>
      </c>
      <c r="K24" s="32">
        <f>VLOOKUP($C$3,DATA!$B$3:$C$4,2,FALSE)</f>
        <v>841.21272918520924</v>
      </c>
      <c r="L24" s="32">
        <f>VLOOKUP($C$3,DATA!$B$3:$C$4,2,FALSE)</f>
        <v>841.21272918520924</v>
      </c>
      <c r="M24" s="32">
        <f>VLOOKUP($C$3,DATA!$B$3:$C$4,2,FALSE)</f>
        <v>841.21272918520924</v>
      </c>
      <c r="N24" s="32">
        <f>VLOOKUP($C$3,DATA!$B$3:$C$4,2,FALSE)</f>
        <v>841.21272918520924</v>
      </c>
      <c r="O24" s="32">
        <f>VLOOKUP($C$3,DATA!$B$3:$C$4,2,FALSE)</f>
        <v>841.21272918520924</v>
      </c>
      <c r="P24" s="32">
        <f>VLOOKUP($C$3,DATA!$B$3:$C$4,2,FALSE)</f>
        <v>841.21272918520924</v>
      </c>
      <c r="Q24" s="31"/>
      <c r="R24" s="30" cm="1">
        <f t="array" ref="R24">INDEX(DATA!$D$11:$AA$25,MATCH($D24,DATA!$B$11:$B$25,0),MATCH(1,(DATA!$D$9:$AA$9=$C$4)*(DATA!$D$10:$AA$10=R$8),0))</f>
        <v>0.71279999999999999</v>
      </c>
      <c r="S24" s="30" cm="1">
        <f t="array" ref="S24">INDEX(DATA!$D$11:$AA$25,MATCH($D24,DATA!$B$11:$B$25,0),MATCH(1,(DATA!$D$9:$AA$9=$C$4)*(DATA!$D$10:$AA$10=S$8),0))</f>
        <v>0.68129499999999998</v>
      </c>
      <c r="T24" s="30" cm="1">
        <f t="array" ref="T24">INDEX(DATA!$D$11:$AA$25,MATCH($D24,DATA!$B$11:$B$25,0),MATCH(1,(DATA!$D$9:$AA$9=$C$4)*(DATA!$D$10:$AA$10=T$8),0))</f>
        <v>0.71580599999999994</v>
      </c>
      <c r="U24" s="30">
        <f t="shared" si="1"/>
        <v>0.63523200000000002</v>
      </c>
      <c r="V24" s="30">
        <f t="shared" si="0"/>
        <v>0.65704099999999999</v>
      </c>
      <c r="W24" s="30">
        <f t="shared" si="0"/>
        <v>0.744282</v>
      </c>
      <c r="X24" s="30">
        <f t="shared" si="0"/>
        <v>0.6921584999999999</v>
      </c>
      <c r="Y24" s="30">
        <f t="shared" si="0"/>
        <v>0.74168999999999996</v>
      </c>
      <c r="Z24" s="30">
        <f t="shared" si="0"/>
        <v>0.73502999999999996</v>
      </c>
      <c r="AA24" s="30">
        <f t="shared" si="0"/>
        <v>0.72108000000000005</v>
      </c>
      <c r="AB24" s="30">
        <f t="shared" si="0"/>
        <v>0.69492500000000001</v>
      </c>
    </row>
    <row r="29" spans="1:28" x14ac:dyDescent="0.25">
      <c r="U29" t="s">
        <v>236</v>
      </c>
    </row>
    <row r="30" spans="1:28" x14ac:dyDescent="0.25">
      <c r="U30">
        <v>2023</v>
      </c>
      <c r="V30">
        <v>2024</v>
      </c>
      <c r="W30">
        <v>2025</v>
      </c>
      <c r="X30">
        <v>2026</v>
      </c>
      <c r="Y30">
        <v>2027</v>
      </c>
      <c r="Z30">
        <v>2028</v>
      </c>
      <c r="AA30">
        <v>2029</v>
      </c>
      <c r="AB30">
        <v>2030</v>
      </c>
    </row>
    <row r="31" spans="1:28" x14ac:dyDescent="0.25">
      <c r="S31" t="s">
        <v>144</v>
      </c>
      <c r="T31" s="90" t="s">
        <v>94</v>
      </c>
      <c r="U31" s="91">
        <v>0.34871200000000008</v>
      </c>
      <c r="V31" s="91">
        <v>0.38320199999999999</v>
      </c>
      <c r="W31" s="91">
        <v>0.51729200000000009</v>
      </c>
      <c r="X31" s="91">
        <v>0.5341490000000001</v>
      </c>
      <c r="Y31" s="91">
        <v>0.53936000000000006</v>
      </c>
      <c r="Z31" s="91">
        <v>0.4864</v>
      </c>
      <c r="AA31" s="91">
        <v>0.43632000000000004</v>
      </c>
      <c r="AB31" s="91">
        <v>0.40934999999999999</v>
      </c>
    </row>
    <row r="32" spans="1:28" x14ac:dyDescent="0.25">
      <c r="S32" t="s">
        <v>144</v>
      </c>
      <c r="T32" s="90" t="s">
        <v>91</v>
      </c>
      <c r="U32" s="91">
        <v>0.31875200000000004</v>
      </c>
      <c r="V32" s="91">
        <v>0.38320199999999999</v>
      </c>
      <c r="W32" s="91">
        <v>0.482848</v>
      </c>
      <c r="X32" s="91">
        <v>0.517594</v>
      </c>
      <c r="Y32" s="91">
        <v>0.50919999999999999</v>
      </c>
      <c r="Z32" s="91">
        <v>0.47551999999999994</v>
      </c>
      <c r="AA32" s="91">
        <v>0.48727999999999999</v>
      </c>
      <c r="AB32" s="91">
        <v>0.45157499999999995</v>
      </c>
    </row>
    <row r="33" spans="19:28" x14ac:dyDescent="0.25">
      <c r="S33" t="s">
        <v>144</v>
      </c>
      <c r="T33" s="90" t="s">
        <v>88</v>
      </c>
      <c r="U33" s="91">
        <v>0.38835999999999998</v>
      </c>
      <c r="V33" s="91">
        <v>0.42303499999999994</v>
      </c>
      <c r="W33" s="91">
        <v>0.54786499999999994</v>
      </c>
      <c r="X33" s="91">
        <v>0</v>
      </c>
      <c r="Y33" s="91">
        <v>0</v>
      </c>
      <c r="Z33" s="91">
        <v>0</v>
      </c>
      <c r="AA33" s="91">
        <v>0</v>
      </c>
      <c r="AB33" s="91">
        <v>0</v>
      </c>
    </row>
    <row r="34" spans="19:28" x14ac:dyDescent="0.25">
      <c r="S34" t="s">
        <v>144</v>
      </c>
      <c r="T34" s="90" t="s">
        <v>85</v>
      </c>
      <c r="U34" s="91">
        <v>0.57072600000000007</v>
      </c>
      <c r="V34" s="91">
        <v>0.5556915</v>
      </c>
      <c r="W34" s="91">
        <v>0.66355300000000006</v>
      </c>
      <c r="X34" s="91">
        <v>0.66693600000000008</v>
      </c>
      <c r="Y34" s="91">
        <v>0.62468999999999997</v>
      </c>
      <c r="Z34" s="91">
        <v>0.71396999999999999</v>
      </c>
      <c r="AA34" s="91">
        <v>0.66276000000000002</v>
      </c>
      <c r="AB34" s="91">
        <v>0.63822499999999993</v>
      </c>
    </row>
    <row r="35" spans="19:28" x14ac:dyDescent="0.25">
      <c r="S35" t="s">
        <v>144</v>
      </c>
      <c r="T35" s="90" t="s">
        <v>82</v>
      </c>
      <c r="U35" s="91">
        <v>0.28778400000000004</v>
      </c>
      <c r="V35" s="91">
        <v>0.39772000000000002</v>
      </c>
      <c r="W35" s="91">
        <v>0.50907599999999997</v>
      </c>
      <c r="X35" s="91">
        <v>0.50350300000000003</v>
      </c>
      <c r="Y35" s="91">
        <v>0.55111999999999994</v>
      </c>
      <c r="Z35" s="91">
        <v>0.40895999999999999</v>
      </c>
      <c r="AA35" s="91">
        <v>0.48431999999999997</v>
      </c>
      <c r="AB35" s="91">
        <v>0.48112500000000002</v>
      </c>
    </row>
    <row r="36" spans="19:28" x14ac:dyDescent="0.25">
      <c r="S36" t="s">
        <v>144</v>
      </c>
      <c r="T36" s="90" t="s">
        <v>79</v>
      </c>
      <c r="U36" s="91">
        <v>0.39760000000000001</v>
      </c>
      <c r="V36" s="91">
        <v>0.42950099999999997</v>
      </c>
      <c r="W36" s="91">
        <v>0.59155199999999997</v>
      </c>
      <c r="X36" s="91">
        <v>0.52721899999999999</v>
      </c>
      <c r="Y36" s="91">
        <v>0.54327999999999999</v>
      </c>
      <c r="Z36" s="91">
        <v>0.55055999999999994</v>
      </c>
      <c r="AA36" s="91">
        <v>0.59248000000000001</v>
      </c>
      <c r="AB36" s="91">
        <v>0.55020000000000002</v>
      </c>
    </row>
    <row r="37" spans="19:28" x14ac:dyDescent="0.25">
      <c r="S37" t="s">
        <v>144</v>
      </c>
      <c r="T37" s="90" t="s">
        <v>71</v>
      </c>
      <c r="U37" s="91">
        <v>0.63273600000000008</v>
      </c>
      <c r="V37" s="91">
        <v>0.65366000000000002</v>
      </c>
      <c r="W37" s="91">
        <v>0.70141150000000008</v>
      </c>
      <c r="X37" s="91">
        <v>0.70224750000000002</v>
      </c>
      <c r="Y37" s="91">
        <v>0.70911000000000002</v>
      </c>
      <c r="Z37" s="91">
        <v>0.68805000000000005</v>
      </c>
      <c r="AA37" s="91">
        <v>0.72099000000000002</v>
      </c>
      <c r="AB37" s="91">
        <v>0.69483749999999989</v>
      </c>
    </row>
    <row r="38" spans="19:28" x14ac:dyDescent="0.25">
      <c r="S38" t="s">
        <v>144</v>
      </c>
      <c r="T38" s="90" t="s">
        <v>74</v>
      </c>
      <c r="U38" s="91">
        <v>0.56643600000000005</v>
      </c>
      <c r="V38" s="91">
        <v>0.59972499999999995</v>
      </c>
      <c r="W38" s="91">
        <v>0.68950800000000012</v>
      </c>
      <c r="X38" s="91">
        <v>0.62065049999999999</v>
      </c>
      <c r="Y38" s="91">
        <v>0.64962000000000009</v>
      </c>
      <c r="Z38" s="91">
        <v>0.64737000000000011</v>
      </c>
      <c r="AA38" s="91">
        <v>0.64466999999999997</v>
      </c>
      <c r="AB38" s="91">
        <v>0.62063750000000006</v>
      </c>
    </row>
    <row r="39" spans="19:28" x14ac:dyDescent="0.25">
      <c r="S39" t="s">
        <v>144</v>
      </c>
      <c r="T39" s="90" t="s">
        <v>68</v>
      </c>
      <c r="U39" s="91">
        <v>0.553566</v>
      </c>
      <c r="V39" s="91">
        <v>0.55939449999999991</v>
      </c>
      <c r="W39" s="91">
        <v>0.63124350000000007</v>
      </c>
      <c r="X39" s="91">
        <v>0.61649100000000001</v>
      </c>
      <c r="Y39" s="91">
        <v>0.62190000000000001</v>
      </c>
      <c r="Z39" s="91">
        <v>0.68363999999999991</v>
      </c>
      <c r="AA39" s="91">
        <v>0.63333000000000006</v>
      </c>
      <c r="AB39" s="91">
        <v>0.6096125</v>
      </c>
    </row>
    <row r="40" spans="19:28" x14ac:dyDescent="0.25">
      <c r="S40" t="s">
        <v>144</v>
      </c>
      <c r="T40" s="90" t="s">
        <v>62</v>
      </c>
      <c r="U40" s="91">
        <v>0.65192400000000006</v>
      </c>
      <c r="V40" s="91">
        <v>0.68585999999999991</v>
      </c>
      <c r="W40" s="91">
        <v>0.73300500000000002</v>
      </c>
      <c r="X40" s="91">
        <v>0.76101149999999995</v>
      </c>
      <c r="Y40" s="91">
        <v>0.77993999999999997</v>
      </c>
      <c r="Z40" s="91">
        <v>0.71567999999999998</v>
      </c>
      <c r="AA40" s="91">
        <v>0.73584000000000016</v>
      </c>
      <c r="AB40" s="91">
        <v>0.70927499999999999</v>
      </c>
    </row>
    <row r="41" spans="19:28" x14ac:dyDescent="0.25">
      <c r="S41" t="s">
        <v>144</v>
      </c>
      <c r="T41" s="90" t="s">
        <v>65</v>
      </c>
      <c r="U41" s="91">
        <v>0.33124000000000003</v>
      </c>
      <c r="V41" s="91">
        <v>0.33501200000000003</v>
      </c>
      <c r="W41" s="91">
        <v>0.48308499999999999</v>
      </c>
      <c r="X41" s="91">
        <v>0.44536800000000004</v>
      </c>
      <c r="Y41" s="91">
        <v>0.45896000000000003</v>
      </c>
      <c r="Z41" s="91">
        <v>0.50039999999999996</v>
      </c>
      <c r="AA41" s="91">
        <v>0.47023999999999999</v>
      </c>
      <c r="AB41" s="91">
        <v>0.43522500000000003</v>
      </c>
    </row>
    <row r="42" spans="19:28" x14ac:dyDescent="0.25">
      <c r="S42" t="s">
        <v>144</v>
      </c>
      <c r="T42" s="90" t="s">
        <v>59</v>
      </c>
      <c r="U42" s="91">
        <v>0.63523200000000002</v>
      </c>
      <c r="V42" s="91">
        <v>0.65704099999999999</v>
      </c>
      <c r="W42" s="91">
        <v>0.744282</v>
      </c>
      <c r="X42" s="91">
        <v>0.6921584999999999</v>
      </c>
      <c r="Y42" s="91">
        <v>0.74168999999999996</v>
      </c>
      <c r="Z42" s="91">
        <v>0.73502999999999996</v>
      </c>
      <c r="AA42" s="91">
        <v>0.72108000000000005</v>
      </c>
      <c r="AB42" s="91">
        <v>0.69492500000000001</v>
      </c>
    </row>
    <row r="43" spans="19:28" x14ac:dyDescent="0.25">
      <c r="S43" t="s">
        <v>144</v>
      </c>
      <c r="T43" s="90" t="s">
        <v>103</v>
      </c>
      <c r="U43" s="91">
        <v>0.36215200000000008</v>
      </c>
      <c r="V43" s="91">
        <v>0.38466600000000001</v>
      </c>
      <c r="W43" s="91">
        <v>0.49817400000000006</v>
      </c>
      <c r="X43" s="91">
        <v>0.48556200000000005</v>
      </c>
      <c r="Y43" s="91">
        <v>0.50448000000000004</v>
      </c>
      <c r="Z43" s="91">
        <v>0.50448000000000004</v>
      </c>
      <c r="AA43" s="91">
        <v>0</v>
      </c>
      <c r="AB43" s="91">
        <v>0</v>
      </c>
    </row>
    <row r="44" spans="19:28" x14ac:dyDescent="0.25">
      <c r="S44" t="s">
        <v>144</v>
      </c>
      <c r="T44" s="90" t="s">
        <v>100</v>
      </c>
      <c r="U44" s="91">
        <v>0</v>
      </c>
      <c r="V44" s="91">
        <v>0</v>
      </c>
      <c r="W44" s="91">
        <v>0</v>
      </c>
      <c r="X44" s="91">
        <v>0</v>
      </c>
      <c r="Y44" s="91">
        <v>0</v>
      </c>
      <c r="Z44" s="91">
        <v>0</v>
      </c>
      <c r="AA44" s="91">
        <v>0</v>
      </c>
      <c r="AB44" s="91">
        <v>0</v>
      </c>
    </row>
    <row r="45" spans="19:28" x14ac:dyDescent="0.25">
      <c r="S45" t="s">
        <v>144</v>
      </c>
      <c r="T45" s="90" t="s">
        <v>97</v>
      </c>
      <c r="U45" s="91">
        <v>0</v>
      </c>
      <c r="V45" s="91">
        <v>0</v>
      </c>
      <c r="W45" s="91">
        <v>0</v>
      </c>
      <c r="X45" s="91">
        <v>0</v>
      </c>
      <c r="Y45" s="91">
        <v>0</v>
      </c>
      <c r="Z45" s="91">
        <v>0</v>
      </c>
      <c r="AA45" s="91">
        <v>0</v>
      </c>
      <c r="AB45" s="91">
        <v>0</v>
      </c>
    </row>
    <row r="46" spans="19:28" x14ac:dyDescent="0.25">
      <c r="S46" t="s">
        <v>135</v>
      </c>
      <c r="T46" s="90" t="s">
        <v>94</v>
      </c>
      <c r="U46" s="91">
        <v>0.34871200000000008</v>
      </c>
      <c r="V46" s="91">
        <v>0.28269</v>
      </c>
      <c r="W46" s="91">
        <v>0.25537200000000004</v>
      </c>
      <c r="X46" s="91">
        <v>0.22892100000000004</v>
      </c>
      <c r="Y46" s="91">
        <v>0.23596999999999999</v>
      </c>
      <c r="Z46" s="91">
        <v>0.20064000000000001</v>
      </c>
      <c r="AA46" s="91">
        <v>0.17452799999999999</v>
      </c>
      <c r="AB46" s="91">
        <v>0.13644999999999999</v>
      </c>
    </row>
    <row r="47" spans="19:28" x14ac:dyDescent="0.25">
      <c r="S47" t="s">
        <v>135</v>
      </c>
      <c r="T47" s="90" t="s">
        <v>91</v>
      </c>
      <c r="U47" s="91">
        <v>0.31875200000000004</v>
      </c>
      <c r="V47" s="91">
        <v>0.28269</v>
      </c>
      <c r="W47" s="91">
        <v>0.238368</v>
      </c>
      <c r="X47" s="91">
        <v>0.22182600000000002</v>
      </c>
      <c r="Y47" s="91">
        <v>0.22277499999999997</v>
      </c>
      <c r="Z47" s="91">
        <v>0.19615199999999999</v>
      </c>
      <c r="AA47" s="91">
        <v>0.194912</v>
      </c>
      <c r="AB47" s="91">
        <v>0.15052499999999999</v>
      </c>
    </row>
    <row r="48" spans="19:28" x14ac:dyDescent="0.25">
      <c r="S48" t="s">
        <v>135</v>
      </c>
      <c r="T48" s="90" t="s">
        <v>88</v>
      </c>
      <c r="U48" s="91">
        <v>0.38835999999999998</v>
      </c>
      <c r="V48" s="91">
        <v>0.31207499999999994</v>
      </c>
      <c r="W48" s="91">
        <v>0.27046499999999996</v>
      </c>
      <c r="X48" s="91">
        <v>0</v>
      </c>
      <c r="Y48" s="91">
        <v>0</v>
      </c>
      <c r="Z48" s="91">
        <v>0</v>
      </c>
      <c r="AA48" s="91">
        <v>0</v>
      </c>
      <c r="AB48" s="91">
        <v>0</v>
      </c>
    </row>
    <row r="49" spans="19:28" x14ac:dyDescent="0.25">
      <c r="S49" t="s">
        <v>135</v>
      </c>
      <c r="T49" s="90" t="s">
        <v>85</v>
      </c>
      <c r="U49" s="91">
        <v>0.57072600000000007</v>
      </c>
      <c r="V49" s="91">
        <v>0.50046749999999995</v>
      </c>
      <c r="W49" s="91">
        <v>0.51527300000000009</v>
      </c>
      <c r="X49" s="91">
        <v>0.50114400000000003</v>
      </c>
      <c r="Y49" s="91">
        <v>0.46851749999999998</v>
      </c>
      <c r="Z49" s="91">
        <v>0.52754450000000008</v>
      </c>
      <c r="AA49" s="91">
        <v>0.48602400000000007</v>
      </c>
      <c r="AB49" s="91">
        <v>0.45587499999999997</v>
      </c>
    </row>
    <row r="50" spans="19:28" x14ac:dyDescent="0.25">
      <c r="S50" t="s">
        <v>135</v>
      </c>
      <c r="T50" s="90" t="s">
        <v>82</v>
      </c>
      <c r="U50" s="91">
        <v>0.28778400000000004</v>
      </c>
      <c r="V50" s="91">
        <v>0.29339999999999999</v>
      </c>
      <c r="W50" s="91">
        <v>0.25131599999999998</v>
      </c>
      <c r="X50" s="91">
        <v>0.21578700000000003</v>
      </c>
      <c r="Y50" s="91">
        <v>0.24111499999999997</v>
      </c>
      <c r="Z50" s="91">
        <v>0.16869600000000001</v>
      </c>
      <c r="AA50" s="91">
        <v>0.19372799999999998</v>
      </c>
      <c r="AB50" s="91">
        <v>0.16037500000000002</v>
      </c>
    </row>
    <row r="51" spans="19:28" x14ac:dyDescent="0.25">
      <c r="S51" t="s">
        <v>135</v>
      </c>
      <c r="T51" s="90" t="s">
        <v>79</v>
      </c>
      <c r="U51" s="91">
        <v>0.39760000000000001</v>
      </c>
      <c r="V51" s="91">
        <v>0.31684499999999999</v>
      </c>
      <c r="W51" s="91">
        <v>0.29203199999999996</v>
      </c>
      <c r="X51" s="91">
        <v>0.22595100000000001</v>
      </c>
      <c r="Y51" s="91">
        <v>0.23768499999999995</v>
      </c>
      <c r="Z51" s="91">
        <v>0.22710599999999997</v>
      </c>
      <c r="AA51" s="91">
        <v>0.23699200000000001</v>
      </c>
      <c r="AB51" s="91">
        <v>0.18340000000000001</v>
      </c>
    </row>
    <row r="52" spans="19:28" x14ac:dyDescent="0.25">
      <c r="S52" t="s">
        <v>135</v>
      </c>
      <c r="T52" s="90" t="s">
        <v>71</v>
      </c>
      <c r="U52" s="91">
        <v>0.63273600000000008</v>
      </c>
      <c r="V52" s="91">
        <v>0.5887</v>
      </c>
      <c r="W52" s="91">
        <v>0.54467150000000009</v>
      </c>
      <c r="X52" s="91">
        <v>0.52767750000000002</v>
      </c>
      <c r="Y52" s="91">
        <v>0.53183250000000004</v>
      </c>
      <c r="Z52" s="91">
        <v>0.50839250000000002</v>
      </c>
      <c r="AA52" s="91">
        <v>0.52872600000000003</v>
      </c>
      <c r="AB52" s="91">
        <v>0.49631249999999993</v>
      </c>
    </row>
    <row r="53" spans="19:28" x14ac:dyDescent="0.25">
      <c r="S53" t="s">
        <v>135</v>
      </c>
      <c r="T53" s="90" t="s">
        <v>74</v>
      </c>
      <c r="U53" s="91">
        <v>0.56643600000000005</v>
      </c>
      <c r="V53" s="91">
        <v>0.54012499999999997</v>
      </c>
      <c r="W53" s="91">
        <v>0.53542800000000013</v>
      </c>
      <c r="X53" s="91">
        <v>0.46636449999999996</v>
      </c>
      <c r="Y53" s="91">
        <v>0.48721500000000012</v>
      </c>
      <c r="Z53" s="91">
        <v>0.47833450000000005</v>
      </c>
      <c r="AA53" s="91">
        <v>0.47275799999999996</v>
      </c>
      <c r="AB53" s="91">
        <v>0.4433125</v>
      </c>
    </row>
    <row r="54" spans="19:28" x14ac:dyDescent="0.25">
      <c r="S54" t="s">
        <v>135</v>
      </c>
      <c r="T54" s="90" t="s">
        <v>68</v>
      </c>
      <c r="U54" s="91">
        <v>0.553566</v>
      </c>
      <c r="V54" s="91">
        <v>0.50380249999999993</v>
      </c>
      <c r="W54" s="91">
        <v>0.49018350000000005</v>
      </c>
      <c r="X54" s="91">
        <v>0.46323900000000001</v>
      </c>
      <c r="Y54" s="91">
        <v>0.46642499999999998</v>
      </c>
      <c r="Z54" s="91">
        <v>0.50513399999999997</v>
      </c>
      <c r="AA54" s="91">
        <v>0.46444200000000002</v>
      </c>
      <c r="AB54" s="91">
        <v>0.43543749999999998</v>
      </c>
    </row>
    <row r="55" spans="19:28" x14ac:dyDescent="0.25">
      <c r="S55" t="s">
        <v>135</v>
      </c>
      <c r="T55" s="90" t="s">
        <v>62</v>
      </c>
      <c r="U55" s="91">
        <v>0.65192400000000006</v>
      </c>
      <c r="V55" s="91">
        <v>0.61769999999999992</v>
      </c>
      <c r="W55" s="91">
        <v>0.56920500000000007</v>
      </c>
      <c r="X55" s="91">
        <v>0.57183349999999999</v>
      </c>
      <c r="Y55" s="91">
        <v>0.584955</v>
      </c>
      <c r="Z55" s="91">
        <v>0.52880799999999994</v>
      </c>
      <c r="AA55" s="91">
        <v>0.5396160000000001</v>
      </c>
      <c r="AB55" s="91">
        <v>0.50662499999999999</v>
      </c>
    </row>
    <row r="56" spans="19:28" x14ac:dyDescent="0.25">
      <c r="S56" t="s">
        <v>135</v>
      </c>
      <c r="T56" s="90" t="s">
        <v>65</v>
      </c>
      <c r="U56" s="91">
        <v>0.33124000000000003</v>
      </c>
      <c r="V56" s="91">
        <v>0.24714000000000003</v>
      </c>
      <c r="W56" s="91">
        <v>0.23848499999999997</v>
      </c>
      <c r="X56" s="91">
        <v>0.19087200000000001</v>
      </c>
      <c r="Y56" s="91">
        <v>0.20079499999999997</v>
      </c>
      <c r="Z56" s="91">
        <v>0.20641499999999999</v>
      </c>
      <c r="AA56" s="91">
        <v>0.18809600000000001</v>
      </c>
      <c r="AB56" s="91">
        <v>0.14507500000000001</v>
      </c>
    </row>
    <row r="57" spans="19:28" x14ac:dyDescent="0.25">
      <c r="S57" t="s">
        <v>135</v>
      </c>
      <c r="T57" s="90" t="s">
        <v>59</v>
      </c>
      <c r="U57" s="91">
        <v>0.63523200000000002</v>
      </c>
      <c r="V57" s="91">
        <v>0.59174499999999997</v>
      </c>
      <c r="W57" s="91">
        <v>0.57796200000000009</v>
      </c>
      <c r="X57" s="91">
        <v>0.52009649999999996</v>
      </c>
      <c r="Y57" s="91">
        <v>0.55626750000000003</v>
      </c>
      <c r="Z57" s="91">
        <v>0.54310550000000002</v>
      </c>
      <c r="AA57" s="91">
        <v>0.52879200000000004</v>
      </c>
      <c r="AB57" s="91">
        <v>0.49637500000000001</v>
      </c>
    </row>
    <row r="58" spans="19:28" x14ac:dyDescent="0.25">
      <c r="S58" t="s">
        <v>135</v>
      </c>
      <c r="T58" s="90" t="s">
        <v>103</v>
      </c>
      <c r="U58" s="91">
        <v>0.36215200000000008</v>
      </c>
      <c r="V58" s="91">
        <v>0.28377000000000002</v>
      </c>
      <c r="W58" s="91">
        <v>0.24593400000000004</v>
      </c>
      <c r="X58" s="91">
        <v>0.20809800000000003</v>
      </c>
      <c r="Y58" s="91">
        <v>0.22070999999999999</v>
      </c>
      <c r="Z58" s="91">
        <v>0.20809800000000003</v>
      </c>
      <c r="AA58" s="91">
        <v>0</v>
      </c>
      <c r="AB58" s="91">
        <v>0</v>
      </c>
    </row>
    <row r="59" spans="19:28" x14ac:dyDescent="0.25">
      <c r="S59" t="s">
        <v>135</v>
      </c>
      <c r="T59" s="90" t="s">
        <v>100</v>
      </c>
      <c r="U59" s="91">
        <v>0</v>
      </c>
      <c r="V59" s="91">
        <v>0</v>
      </c>
      <c r="W59" s="91">
        <v>0</v>
      </c>
      <c r="X59" s="91">
        <v>0</v>
      </c>
      <c r="Y59" s="91">
        <v>0</v>
      </c>
      <c r="Z59" s="91">
        <v>0</v>
      </c>
      <c r="AA59" s="91">
        <v>0</v>
      </c>
      <c r="AB59" s="91">
        <v>0</v>
      </c>
    </row>
    <row r="60" spans="19:28" x14ac:dyDescent="0.25">
      <c r="S60" t="s">
        <v>135</v>
      </c>
      <c r="T60" s="90" t="s">
        <v>97</v>
      </c>
      <c r="U60" s="91">
        <v>0</v>
      </c>
      <c r="V60" s="91">
        <v>0</v>
      </c>
      <c r="W60" s="91">
        <v>0</v>
      </c>
      <c r="X60" s="91">
        <v>0</v>
      </c>
      <c r="Y60" s="91">
        <v>0</v>
      </c>
      <c r="Z60" s="91">
        <v>0</v>
      </c>
      <c r="AA60" s="91">
        <v>0</v>
      </c>
      <c r="AB60" s="91">
        <v>0</v>
      </c>
    </row>
  </sheetData>
  <dataValidations count="1">
    <dataValidation type="list" allowBlank="1" showInputMessage="1" showErrorMessage="1" sqref="C3" xr:uid="{42ABC0AA-C99F-42B9-A7D3-F9ECC135DA7D}">
      <formula1>$K$2:$K$3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99A1-83E2-4A58-8179-713478EA4BB1}">
  <dimension ref="A2:AA30"/>
  <sheetViews>
    <sheetView topLeftCell="A7" workbookViewId="0">
      <selection activeCell="W46" sqref="W46"/>
    </sheetView>
  </sheetViews>
  <sheetFormatPr defaultRowHeight="15" x14ac:dyDescent="0.25"/>
  <cols>
    <col min="4" max="5" width="10" customWidth="1"/>
  </cols>
  <sheetData>
    <row r="2" spans="1:27" x14ac:dyDescent="0.25">
      <c r="C2" t="s">
        <v>146</v>
      </c>
    </row>
    <row r="3" spans="1:27" x14ac:dyDescent="0.25">
      <c r="B3" t="s">
        <v>135</v>
      </c>
      <c r="C3" s="56">
        <v>543.03708177844862</v>
      </c>
      <c r="D3" t="s">
        <v>145</v>
      </c>
    </row>
    <row r="4" spans="1:27" x14ac:dyDescent="0.25">
      <c r="B4" t="s">
        <v>144</v>
      </c>
      <c r="C4" s="56">
        <v>841.21272918520924</v>
      </c>
      <c r="D4" t="s">
        <v>143</v>
      </c>
      <c r="I4" s="55" t="s">
        <v>142</v>
      </c>
    </row>
    <row r="7" spans="1:27" x14ac:dyDescent="0.25">
      <c r="C7" t="s">
        <v>141</v>
      </c>
    </row>
    <row r="9" spans="1:27" ht="36.75" x14ac:dyDescent="0.25">
      <c r="C9" t="s">
        <v>140</v>
      </c>
      <c r="D9" s="54" t="s">
        <v>139</v>
      </c>
      <c r="E9" s="54" t="s">
        <v>139</v>
      </c>
      <c r="F9" s="54" t="s">
        <v>139</v>
      </c>
      <c r="G9" s="54" t="s">
        <v>139</v>
      </c>
      <c r="H9" s="54" t="s">
        <v>139</v>
      </c>
      <c r="I9" s="54" t="s">
        <v>139</v>
      </c>
      <c r="J9" s="54" t="s">
        <v>139</v>
      </c>
      <c r="K9" s="54" t="s">
        <v>139</v>
      </c>
      <c r="L9" s="54" t="s">
        <v>139</v>
      </c>
      <c r="M9" s="54" t="s">
        <v>139</v>
      </c>
      <c r="N9" s="54" t="s">
        <v>139</v>
      </c>
      <c r="O9" s="54" t="s">
        <v>139</v>
      </c>
      <c r="P9" s="54" t="s">
        <v>138</v>
      </c>
      <c r="Q9" s="54" t="s">
        <v>138</v>
      </c>
      <c r="R9" s="54" t="s">
        <v>138</v>
      </c>
      <c r="S9" s="54" t="s">
        <v>138</v>
      </c>
      <c r="T9" s="54" t="s">
        <v>138</v>
      </c>
      <c r="U9" s="54" t="s">
        <v>138</v>
      </c>
      <c r="V9" s="54" t="s">
        <v>138</v>
      </c>
      <c r="W9" s="54" t="s">
        <v>138</v>
      </c>
      <c r="X9" s="54" t="s">
        <v>138</v>
      </c>
      <c r="Y9" s="54" t="s">
        <v>138</v>
      </c>
      <c r="Z9" s="54" t="s">
        <v>138</v>
      </c>
      <c r="AA9" s="54" t="s">
        <v>138</v>
      </c>
    </row>
    <row r="10" spans="1:27" x14ac:dyDescent="0.25">
      <c r="B10" t="s">
        <v>137</v>
      </c>
      <c r="C10">
        <v>2020</v>
      </c>
      <c r="D10">
        <v>2020</v>
      </c>
      <c r="E10">
        <v>2021</v>
      </c>
      <c r="F10">
        <v>2022</v>
      </c>
      <c r="G10">
        <v>2023</v>
      </c>
      <c r="H10">
        <v>2024</v>
      </c>
      <c r="I10">
        <v>2025</v>
      </c>
      <c r="J10">
        <v>2026</v>
      </c>
      <c r="K10">
        <v>2027</v>
      </c>
      <c r="L10">
        <v>2028</v>
      </c>
      <c r="M10">
        <v>2029</v>
      </c>
      <c r="N10">
        <v>2030</v>
      </c>
      <c r="O10">
        <v>2031</v>
      </c>
      <c r="P10">
        <v>2020</v>
      </c>
      <c r="Q10">
        <v>2021</v>
      </c>
      <c r="R10">
        <v>2022</v>
      </c>
      <c r="S10">
        <v>2023</v>
      </c>
      <c r="T10">
        <v>2024</v>
      </c>
      <c r="U10">
        <v>2025</v>
      </c>
      <c r="V10">
        <v>2026</v>
      </c>
      <c r="W10">
        <v>2027</v>
      </c>
      <c r="X10">
        <v>2028</v>
      </c>
      <c r="Y10">
        <v>2029</v>
      </c>
      <c r="Z10">
        <v>2030</v>
      </c>
      <c r="AA10">
        <v>2031</v>
      </c>
    </row>
    <row r="11" spans="1:27" x14ac:dyDescent="0.25">
      <c r="A11">
        <f>COUNTIF(MTSAO_EAF_CONVERTER!$C$9:$C$24,B11)</f>
        <v>1</v>
      </c>
      <c r="B11" s="53" t="s">
        <v>94</v>
      </c>
      <c r="C11" s="52">
        <v>2232</v>
      </c>
      <c r="D11" s="51">
        <v>0.54650399999999999</v>
      </c>
      <c r="E11" s="51">
        <v>0.46954879999999999</v>
      </c>
      <c r="F11" s="51">
        <v>0.4339904</v>
      </c>
      <c r="G11" s="51">
        <v>0.35867520000000008</v>
      </c>
      <c r="H11" s="51">
        <v>0.30656160000000005</v>
      </c>
      <c r="I11" s="51">
        <v>0.26192000000000004</v>
      </c>
      <c r="J11" s="51">
        <v>0.25666900000000004</v>
      </c>
      <c r="K11" s="51">
        <v>0.22922799999999999</v>
      </c>
      <c r="L11" s="51">
        <v>0.18847999999999995</v>
      </c>
      <c r="M11" s="51">
        <v>0.15271199999999996</v>
      </c>
      <c r="N11" s="51">
        <v>0.13644999999999999</v>
      </c>
      <c r="O11" s="51">
        <v>0</v>
      </c>
      <c r="P11" s="50">
        <v>0.63758800000000004</v>
      </c>
      <c r="Q11" s="50">
        <v>0.48703199999999996</v>
      </c>
      <c r="R11" s="50">
        <v>0.46405599999999997</v>
      </c>
      <c r="S11" s="50">
        <v>0.34871200000000008</v>
      </c>
      <c r="T11" s="50">
        <v>0.38320199999999999</v>
      </c>
      <c r="U11" s="50">
        <v>0.51729200000000009</v>
      </c>
      <c r="V11" s="50">
        <v>0.5341490000000001</v>
      </c>
      <c r="W11" s="50">
        <v>0.53936000000000006</v>
      </c>
      <c r="X11" s="50">
        <v>0.4864</v>
      </c>
      <c r="Y11" s="50">
        <v>0.43632000000000004</v>
      </c>
      <c r="Z11" s="50">
        <v>0.40934999999999999</v>
      </c>
      <c r="AA11" s="50">
        <v>0</v>
      </c>
    </row>
    <row r="12" spans="1:27" x14ac:dyDescent="0.25">
      <c r="A12">
        <f>COUNTIF(MTSAO_EAF_CONVERTER!$C$9:$C$24,B12)</f>
        <v>1</v>
      </c>
      <c r="B12" s="53" t="s">
        <v>91</v>
      </c>
      <c r="C12" s="52">
        <v>2875</v>
      </c>
      <c r="D12" s="51">
        <v>0.45763199999999993</v>
      </c>
      <c r="E12" s="51">
        <v>0.37351840000000003</v>
      </c>
      <c r="F12" s="51">
        <v>0.39946239999999994</v>
      </c>
      <c r="G12" s="51">
        <v>0.32785920000000007</v>
      </c>
      <c r="H12" s="51">
        <v>0.30656160000000005</v>
      </c>
      <c r="I12" s="51">
        <v>0.24448</v>
      </c>
      <c r="J12" s="51">
        <v>0.24871399999999999</v>
      </c>
      <c r="K12" s="51">
        <v>0.21640999999999996</v>
      </c>
      <c r="L12" s="51">
        <v>0.18426399999999996</v>
      </c>
      <c r="M12" s="51">
        <v>0.17054799999999995</v>
      </c>
      <c r="N12" s="51">
        <v>0.15052499999999999</v>
      </c>
      <c r="O12" s="51">
        <v>0.14949999999999999</v>
      </c>
      <c r="P12" s="50">
        <v>0.53390399999999993</v>
      </c>
      <c r="Q12" s="50">
        <v>0.38742600000000005</v>
      </c>
      <c r="R12" s="50">
        <v>0.4271359999999999</v>
      </c>
      <c r="S12" s="50">
        <v>0.31875200000000004</v>
      </c>
      <c r="T12" s="50">
        <v>0.38320199999999999</v>
      </c>
      <c r="U12" s="50">
        <v>0.482848</v>
      </c>
      <c r="V12" s="50">
        <v>0.517594</v>
      </c>
      <c r="W12" s="50">
        <v>0.50919999999999999</v>
      </c>
      <c r="X12" s="50">
        <v>0.47551999999999994</v>
      </c>
      <c r="Y12" s="50">
        <v>0.48727999999999999</v>
      </c>
      <c r="Z12" s="50">
        <v>0.45157499999999995</v>
      </c>
      <c r="AA12" s="50">
        <v>0.44850000000000001</v>
      </c>
    </row>
    <row r="13" spans="1:27" x14ac:dyDescent="0.25">
      <c r="A13">
        <f>COUNTIF(MTSAO_EAF_CONVERTER!$C$9:$C$24,B13)</f>
        <v>1</v>
      </c>
      <c r="B13" s="53" t="s">
        <v>88</v>
      </c>
      <c r="C13" s="52">
        <v>1293</v>
      </c>
      <c r="D13" s="51">
        <v>0.51181199999999993</v>
      </c>
      <c r="E13" s="51">
        <v>0.4208192</v>
      </c>
      <c r="F13" s="51">
        <v>0.46048399999999995</v>
      </c>
      <c r="G13" s="51">
        <v>0.39945599999999998</v>
      </c>
      <c r="H13" s="51">
        <v>0.33842800000000001</v>
      </c>
      <c r="I13" s="51">
        <v>0.27739999999999998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0">
        <v>0.59711399999999992</v>
      </c>
      <c r="Q13" s="50">
        <v>0.43648799999999999</v>
      </c>
      <c r="R13" s="50">
        <v>0.49238499999999991</v>
      </c>
      <c r="S13" s="50">
        <v>0.38835999999999998</v>
      </c>
      <c r="T13" s="50">
        <v>0.42303499999999994</v>
      </c>
      <c r="U13" s="50">
        <v>0.54786499999999994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</row>
    <row r="14" spans="1:27" x14ac:dyDescent="0.25">
      <c r="A14">
        <f>COUNTIF(MTSAO_EAF_CONVERTER!$C$9:$C$24,B14)</f>
        <v>1</v>
      </c>
      <c r="B14" s="53" t="s">
        <v>85</v>
      </c>
      <c r="C14" s="52">
        <v>3840</v>
      </c>
      <c r="D14" s="51">
        <v>0.63571999999999995</v>
      </c>
      <c r="E14" s="51">
        <v>0.62493840000000001</v>
      </c>
      <c r="F14" s="51">
        <v>0.54471039999999982</v>
      </c>
      <c r="G14" s="51">
        <v>0.57657959999999986</v>
      </c>
      <c r="H14" s="51">
        <v>0.51358319999999991</v>
      </c>
      <c r="I14" s="51">
        <v>0.51898</v>
      </c>
      <c r="J14" s="51">
        <v>0.51621600000000001</v>
      </c>
      <c r="K14" s="51">
        <v>0.46504699999999993</v>
      </c>
      <c r="L14" s="51">
        <v>0.51961149999999989</v>
      </c>
      <c r="M14" s="51">
        <v>0.47129599999999994</v>
      </c>
      <c r="N14" s="51">
        <v>0.45587499999999997</v>
      </c>
      <c r="O14" s="51">
        <v>0.45331250000000001</v>
      </c>
      <c r="P14" s="50">
        <v>0.68408999999999998</v>
      </c>
      <c r="Q14" s="50">
        <v>0.63492599999999999</v>
      </c>
      <c r="R14" s="50">
        <v>0.55976849999999989</v>
      </c>
      <c r="S14" s="50">
        <v>0.57072600000000007</v>
      </c>
      <c r="T14" s="50">
        <v>0.5556915</v>
      </c>
      <c r="U14" s="50">
        <v>0.66355300000000006</v>
      </c>
      <c r="V14" s="50">
        <v>0.66693600000000008</v>
      </c>
      <c r="W14" s="50">
        <v>0.62468999999999997</v>
      </c>
      <c r="X14" s="50">
        <v>0.71396999999999999</v>
      </c>
      <c r="Y14" s="50">
        <v>0.66276000000000002</v>
      </c>
      <c r="Z14" s="50">
        <v>0.63822499999999993</v>
      </c>
      <c r="AA14" s="50">
        <v>0.63463750000000008</v>
      </c>
    </row>
    <row r="15" spans="1:27" x14ac:dyDescent="0.25">
      <c r="A15">
        <f>COUNTIF(MTSAO_EAF_CONVERTER!$C$9:$C$24,B15)</f>
        <v>1</v>
      </c>
      <c r="B15" s="53" t="s">
        <v>82</v>
      </c>
      <c r="C15" s="52">
        <v>2850</v>
      </c>
      <c r="D15" s="51">
        <v>0.45444000000000001</v>
      </c>
      <c r="E15" s="51">
        <v>0.47691839999999996</v>
      </c>
      <c r="F15" s="51">
        <v>0.36274320000000004</v>
      </c>
      <c r="G15" s="51">
        <v>0.29600640000000006</v>
      </c>
      <c r="H15" s="51">
        <v>0.31817600000000007</v>
      </c>
      <c r="I15" s="51">
        <v>0.25775999999999999</v>
      </c>
      <c r="J15" s="51">
        <v>0.24194300000000002</v>
      </c>
      <c r="K15" s="51">
        <v>0.23422599999999996</v>
      </c>
      <c r="L15" s="51">
        <v>0.15847199999999997</v>
      </c>
      <c r="M15" s="51">
        <v>0.16951199999999994</v>
      </c>
      <c r="N15" s="51">
        <v>0.16037500000000002</v>
      </c>
      <c r="O15" s="51">
        <v>0</v>
      </c>
      <c r="P15" s="50">
        <v>0.53017999999999998</v>
      </c>
      <c r="Q15" s="50">
        <v>0.494676</v>
      </c>
      <c r="R15" s="50">
        <v>0.38787299999999997</v>
      </c>
      <c r="S15" s="50">
        <v>0.28778400000000004</v>
      </c>
      <c r="T15" s="50">
        <v>0.39772000000000002</v>
      </c>
      <c r="U15" s="50">
        <v>0.50907599999999997</v>
      </c>
      <c r="V15" s="50">
        <v>0.50350300000000003</v>
      </c>
      <c r="W15" s="50">
        <v>0.55111999999999994</v>
      </c>
      <c r="X15" s="50">
        <v>0.40895999999999999</v>
      </c>
      <c r="Y15" s="50">
        <v>0.48431999999999997</v>
      </c>
      <c r="Z15" s="50">
        <v>0.48112500000000002</v>
      </c>
      <c r="AA15" s="50">
        <v>0</v>
      </c>
    </row>
    <row r="16" spans="1:27" x14ac:dyDescent="0.25">
      <c r="A16">
        <f>COUNTIF(MTSAO_EAF_CONVERTER!$C$9:$C$24,B16)</f>
        <v>1</v>
      </c>
      <c r="B16" s="53" t="s">
        <v>79</v>
      </c>
      <c r="C16" s="52">
        <v>3558</v>
      </c>
      <c r="D16" s="51">
        <v>0.62143199999999998</v>
      </c>
      <c r="E16" s="51">
        <v>0.54429760000000005</v>
      </c>
      <c r="F16" s="51">
        <v>0.50205040000000001</v>
      </c>
      <c r="G16" s="51">
        <v>0.40896000000000005</v>
      </c>
      <c r="H16" s="51">
        <v>0.34360080000000004</v>
      </c>
      <c r="I16" s="51">
        <v>0.29951999999999995</v>
      </c>
      <c r="J16" s="51">
        <v>0.25333899999999998</v>
      </c>
      <c r="K16" s="51">
        <v>0.23089399999999996</v>
      </c>
      <c r="L16" s="51">
        <v>0.21334199999999995</v>
      </c>
      <c r="M16" s="51">
        <v>0.20736799999999994</v>
      </c>
      <c r="N16" s="51">
        <v>0.18340000000000001</v>
      </c>
      <c r="O16" s="51">
        <v>0.18237500000000001</v>
      </c>
      <c r="P16" s="50">
        <v>0.72500399999999998</v>
      </c>
      <c r="Q16" s="50">
        <v>0.56456400000000007</v>
      </c>
      <c r="R16" s="50">
        <v>0.53683099999999995</v>
      </c>
      <c r="S16" s="50">
        <v>0.39760000000000001</v>
      </c>
      <c r="T16" s="50">
        <v>0.42950099999999997</v>
      </c>
      <c r="U16" s="50">
        <v>0.59155199999999997</v>
      </c>
      <c r="V16" s="50">
        <v>0.52721899999999999</v>
      </c>
      <c r="W16" s="50">
        <v>0.54327999999999999</v>
      </c>
      <c r="X16" s="50">
        <v>0.55055999999999994</v>
      </c>
      <c r="Y16" s="50">
        <v>0.59248000000000001</v>
      </c>
      <c r="Z16" s="50">
        <v>0.55020000000000002</v>
      </c>
      <c r="AA16" s="50">
        <v>0.54712500000000008</v>
      </c>
    </row>
    <row r="17" spans="1:27" x14ac:dyDescent="0.25">
      <c r="A17">
        <f>COUNTIF(MTSAO_EAF_CONVERTER!$C$9:$C$24,B17)</f>
        <v>1</v>
      </c>
      <c r="B17" s="53" t="s">
        <v>71</v>
      </c>
      <c r="C17" s="52">
        <v>3690</v>
      </c>
      <c r="D17" s="51">
        <v>0.76129999999999998</v>
      </c>
      <c r="E17" s="51">
        <v>0.70202639999999994</v>
      </c>
      <c r="F17" s="51">
        <v>0.67924479999999987</v>
      </c>
      <c r="G17" s="51">
        <v>0.63922559999999984</v>
      </c>
      <c r="H17" s="51">
        <v>0.60412799999999989</v>
      </c>
      <c r="I17" s="51">
        <v>0.54859000000000002</v>
      </c>
      <c r="J17" s="51">
        <v>0.54354749999999996</v>
      </c>
      <c r="K17" s="51">
        <v>0.52789299999999995</v>
      </c>
      <c r="L17" s="51">
        <v>0.50074750000000001</v>
      </c>
      <c r="M17" s="51">
        <v>0.51270399999999994</v>
      </c>
      <c r="N17" s="51">
        <v>0.49631249999999993</v>
      </c>
      <c r="O17" s="51">
        <v>0.49375000000000002</v>
      </c>
      <c r="P17" s="50">
        <v>0.81922499999999998</v>
      </c>
      <c r="Q17" s="50">
        <v>0.71324600000000005</v>
      </c>
      <c r="R17" s="50">
        <v>0.69802200000000003</v>
      </c>
      <c r="S17" s="50">
        <v>0.63273600000000008</v>
      </c>
      <c r="T17" s="50">
        <v>0.65366000000000002</v>
      </c>
      <c r="U17" s="50">
        <v>0.70141150000000008</v>
      </c>
      <c r="V17" s="50">
        <v>0.70224750000000002</v>
      </c>
      <c r="W17" s="50">
        <v>0.70911000000000002</v>
      </c>
      <c r="X17" s="50">
        <v>0.68805000000000005</v>
      </c>
      <c r="Y17" s="50">
        <v>0.72099000000000002</v>
      </c>
      <c r="Z17" s="50">
        <v>0.69483749999999989</v>
      </c>
      <c r="AA17" s="50">
        <v>0.69125000000000003</v>
      </c>
    </row>
    <row r="18" spans="1:27" x14ac:dyDescent="0.25">
      <c r="A18">
        <f>COUNTIF(MTSAO_EAF_CONVERTER!$C$9:$C$24,B18)</f>
        <v>0</v>
      </c>
      <c r="B18" s="53" t="s">
        <v>74</v>
      </c>
      <c r="C18" s="52">
        <v>3843</v>
      </c>
      <c r="D18" s="51">
        <v>0.67205999999999988</v>
      </c>
      <c r="E18" s="51">
        <v>0.65367120000000001</v>
      </c>
      <c r="F18" s="51">
        <v>0.62666239999999984</v>
      </c>
      <c r="G18" s="51">
        <v>0.57224559999999991</v>
      </c>
      <c r="H18" s="51">
        <v>0.55427999999999977</v>
      </c>
      <c r="I18" s="51">
        <v>0.53927999999999998</v>
      </c>
      <c r="J18" s="51">
        <v>0.48039049999999989</v>
      </c>
      <c r="K18" s="51">
        <v>0.48360600000000004</v>
      </c>
      <c r="L18" s="51">
        <v>0.47114149999999999</v>
      </c>
      <c r="M18" s="51">
        <v>0.4584319999999999</v>
      </c>
      <c r="N18" s="51">
        <v>0.4433125</v>
      </c>
      <c r="O18" s="51">
        <v>0.44074999999999998</v>
      </c>
      <c r="P18" s="50">
        <v>0.72319499999999992</v>
      </c>
      <c r="Q18" s="50">
        <v>0.6641180000000001</v>
      </c>
      <c r="R18" s="50">
        <v>0.64398599999999995</v>
      </c>
      <c r="S18" s="50">
        <v>0.56643600000000005</v>
      </c>
      <c r="T18" s="50">
        <v>0.59972499999999995</v>
      </c>
      <c r="U18" s="50">
        <v>0.68950800000000012</v>
      </c>
      <c r="V18" s="50">
        <v>0.62065049999999999</v>
      </c>
      <c r="W18" s="50">
        <v>0.64962000000000009</v>
      </c>
      <c r="X18" s="50">
        <v>0.64737000000000011</v>
      </c>
      <c r="Y18" s="50">
        <v>0.64466999999999997</v>
      </c>
      <c r="Z18" s="50">
        <v>0.62063750000000006</v>
      </c>
      <c r="AA18" s="50">
        <v>0.61704999999999999</v>
      </c>
    </row>
    <row r="19" spans="1:27" x14ac:dyDescent="0.25">
      <c r="A19">
        <f>COUNTIF(MTSAO_EAF_CONVERTER!$C$9:$C$24,B19)</f>
        <v>1</v>
      </c>
      <c r="B19" s="53" t="s">
        <v>68</v>
      </c>
      <c r="C19" s="52">
        <v>3843</v>
      </c>
      <c r="D19" s="51">
        <v>0.61915999999999993</v>
      </c>
      <c r="E19" s="51">
        <v>0.60233760000000003</v>
      </c>
      <c r="F19" s="51">
        <v>0.58855679999999988</v>
      </c>
      <c r="G19" s="51">
        <v>0.55924359999999984</v>
      </c>
      <c r="H19" s="51">
        <v>0.51700559999999984</v>
      </c>
      <c r="I19" s="51">
        <v>0.49370999999999998</v>
      </c>
      <c r="J19" s="51">
        <v>0.47717099999999996</v>
      </c>
      <c r="K19" s="51">
        <v>0.46296999999999994</v>
      </c>
      <c r="L19" s="51">
        <v>0.49753799999999992</v>
      </c>
      <c r="M19" s="51">
        <v>0.45036799999999994</v>
      </c>
      <c r="N19" s="51">
        <v>0.43543749999999998</v>
      </c>
      <c r="O19" s="51">
        <v>0.43287500000000007</v>
      </c>
      <c r="P19" s="50">
        <v>0.66626999999999992</v>
      </c>
      <c r="Q19" s="50">
        <v>0.61196400000000006</v>
      </c>
      <c r="R19" s="50">
        <v>0.60482699999999989</v>
      </c>
      <c r="S19" s="50">
        <v>0.553566</v>
      </c>
      <c r="T19" s="50">
        <v>0.55939449999999991</v>
      </c>
      <c r="U19" s="50">
        <v>0.63124350000000007</v>
      </c>
      <c r="V19" s="50">
        <v>0.61649100000000001</v>
      </c>
      <c r="W19" s="50">
        <v>0.62190000000000001</v>
      </c>
      <c r="X19" s="50">
        <v>0.68363999999999991</v>
      </c>
      <c r="Y19" s="50">
        <v>0.63333000000000006</v>
      </c>
      <c r="Z19" s="50">
        <v>0.6096125</v>
      </c>
      <c r="AA19" s="50">
        <v>0.60602500000000004</v>
      </c>
    </row>
    <row r="20" spans="1:27" x14ac:dyDescent="0.25">
      <c r="A20">
        <f>COUNTIF(MTSAO_EAF_CONVERTER!$C$9:$C$24,B20)</f>
        <v>1</v>
      </c>
      <c r="B20" s="53" t="s">
        <v>62</v>
      </c>
      <c r="C20" s="52">
        <v>2157</v>
      </c>
      <c r="D20" s="51">
        <v>0.69588799999999995</v>
      </c>
      <c r="E20" s="51">
        <v>0.69405479999999997</v>
      </c>
      <c r="F20" s="51">
        <v>0.70071039999999984</v>
      </c>
      <c r="G20" s="51">
        <v>0.65861039999999982</v>
      </c>
      <c r="H20" s="51">
        <v>0.63388799999999978</v>
      </c>
      <c r="I20" s="51">
        <v>0.57330000000000003</v>
      </c>
      <c r="J20" s="51">
        <v>0.58903149999999993</v>
      </c>
      <c r="K20" s="51">
        <v>0.58062199999999986</v>
      </c>
      <c r="L20" s="51">
        <v>0.52085599999999987</v>
      </c>
      <c r="M20" s="51">
        <v>0.52326399999999995</v>
      </c>
      <c r="N20" s="51">
        <v>0.50662499999999999</v>
      </c>
      <c r="O20" s="51">
        <v>0.50362499999999999</v>
      </c>
      <c r="P20" s="50">
        <v>0.74883599999999995</v>
      </c>
      <c r="Q20" s="50">
        <v>0.70514699999999997</v>
      </c>
      <c r="R20" s="50">
        <v>0.72008099999999997</v>
      </c>
      <c r="S20" s="50">
        <v>0.65192400000000006</v>
      </c>
      <c r="T20" s="50">
        <v>0.68585999999999991</v>
      </c>
      <c r="U20" s="50">
        <v>0.73300500000000002</v>
      </c>
      <c r="V20" s="50">
        <v>0.76101149999999995</v>
      </c>
      <c r="W20" s="50">
        <v>0.77993999999999997</v>
      </c>
      <c r="X20" s="50">
        <v>0.71567999999999998</v>
      </c>
      <c r="Y20" s="50">
        <v>0.73584000000000016</v>
      </c>
      <c r="Z20" s="50">
        <v>0.70927499999999999</v>
      </c>
      <c r="AA20" s="50">
        <v>0.70507500000000001</v>
      </c>
    </row>
    <row r="21" spans="1:27" x14ac:dyDescent="0.25">
      <c r="A21">
        <f>COUNTIF(MTSAO_EAF_CONVERTER!$C$9:$C$24,B21)</f>
        <v>1</v>
      </c>
      <c r="B21" s="53" t="s">
        <v>65</v>
      </c>
      <c r="C21" s="52">
        <v>3510</v>
      </c>
      <c r="D21" s="51">
        <v>0.47090399999999999</v>
      </c>
      <c r="E21" s="51">
        <v>0.4275872</v>
      </c>
      <c r="F21" s="51">
        <v>0.35889199999999999</v>
      </c>
      <c r="G21" s="51">
        <v>0.34070400000000006</v>
      </c>
      <c r="H21" s="51">
        <v>0.26800960000000007</v>
      </c>
      <c r="I21" s="51">
        <v>0.24459999999999998</v>
      </c>
      <c r="J21" s="51">
        <v>0.214008</v>
      </c>
      <c r="K21" s="51">
        <v>0.19505799999999998</v>
      </c>
      <c r="L21" s="51">
        <v>0.19390499999999994</v>
      </c>
      <c r="M21" s="51">
        <v>0.16458399999999995</v>
      </c>
      <c r="N21" s="51">
        <v>0.14507500000000001</v>
      </c>
      <c r="O21" s="51">
        <v>0.144175</v>
      </c>
      <c r="P21" s="50">
        <v>0.54938799999999999</v>
      </c>
      <c r="Q21" s="50">
        <v>0.44350800000000001</v>
      </c>
      <c r="R21" s="50">
        <v>0.38375499999999996</v>
      </c>
      <c r="S21" s="50">
        <v>0.33124000000000003</v>
      </c>
      <c r="T21" s="50">
        <v>0.33501200000000003</v>
      </c>
      <c r="U21" s="50">
        <v>0.48308499999999999</v>
      </c>
      <c r="V21" s="50">
        <v>0.44536800000000004</v>
      </c>
      <c r="W21" s="50">
        <v>0.45896000000000003</v>
      </c>
      <c r="X21" s="50">
        <v>0.50039999999999996</v>
      </c>
      <c r="Y21" s="50">
        <v>0.47023999999999999</v>
      </c>
      <c r="Z21" s="50">
        <v>0.43522500000000003</v>
      </c>
      <c r="AA21" s="50">
        <v>0.43252499999999999</v>
      </c>
    </row>
    <row r="22" spans="1:27" x14ac:dyDescent="0.25">
      <c r="A22">
        <f>COUNTIF(MTSAO_EAF_CONVERTER!$C$9:$C$24,B22)</f>
        <v>1</v>
      </c>
      <c r="B22" s="53" t="s">
        <v>59</v>
      </c>
      <c r="C22" s="52">
        <v>2144</v>
      </c>
      <c r="D22" s="51">
        <v>0.66239999999999988</v>
      </c>
      <c r="E22" s="51">
        <v>0.6705779999999999</v>
      </c>
      <c r="F22" s="51">
        <v>0.69655039999999979</v>
      </c>
      <c r="G22" s="51">
        <v>0.64174719999999985</v>
      </c>
      <c r="H22" s="51">
        <v>0.60725279999999981</v>
      </c>
      <c r="I22" s="51">
        <v>0.58211999999999997</v>
      </c>
      <c r="J22" s="51">
        <v>0.5357384999999999</v>
      </c>
      <c r="K22" s="51">
        <v>0.55214699999999994</v>
      </c>
      <c r="L22" s="51">
        <v>0.53493849999999987</v>
      </c>
      <c r="M22" s="51">
        <v>0.51276799999999989</v>
      </c>
      <c r="N22" s="51">
        <v>0.49637500000000001</v>
      </c>
      <c r="O22" s="51">
        <v>0.49337500000000001</v>
      </c>
      <c r="P22" s="50">
        <v>0.71279999999999999</v>
      </c>
      <c r="Q22" s="50">
        <v>0.68129499999999998</v>
      </c>
      <c r="R22" s="50">
        <v>0.71580599999999994</v>
      </c>
      <c r="S22" s="50">
        <v>0.63523200000000002</v>
      </c>
      <c r="T22" s="50">
        <v>0.65704099999999999</v>
      </c>
      <c r="U22" s="50">
        <v>0.744282</v>
      </c>
      <c r="V22" s="50">
        <v>0.6921584999999999</v>
      </c>
      <c r="W22" s="50">
        <v>0.74168999999999996</v>
      </c>
      <c r="X22" s="50">
        <v>0.73502999999999996</v>
      </c>
      <c r="Y22" s="50">
        <v>0.72108000000000005</v>
      </c>
      <c r="Z22" s="50">
        <v>0.69492500000000001</v>
      </c>
      <c r="AA22" s="50">
        <v>0.69072500000000003</v>
      </c>
    </row>
    <row r="23" spans="1:27" x14ac:dyDescent="0.25">
      <c r="A23">
        <f>COUNTIF(MTSAO_EAF_CONVERTER!$C$9:$C$24,B23)</f>
        <v>1</v>
      </c>
      <c r="B23" s="53" t="s">
        <v>103</v>
      </c>
      <c r="C23" s="52">
        <v>1481</v>
      </c>
      <c r="D23" s="51">
        <v>0.504</v>
      </c>
      <c r="E23" s="51">
        <v>0.41969120000000004</v>
      </c>
      <c r="F23" s="51">
        <v>0.40663360000000004</v>
      </c>
      <c r="G23" s="51">
        <v>0.37249920000000009</v>
      </c>
      <c r="H23" s="51">
        <v>0.30773280000000008</v>
      </c>
      <c r="I23" s="51">
        <v>0.25224000000000002</v>
      </c>
      <c r="J23" s="51">
        <v>0.233322</v>
      </c>
      <c r="K23" s="51">
        <v>0.21440399999999998</v>
      </c>
      <c r="L23" s="51">
        <v>0.19548599999999997</v>
      </c>
      <c r="M23" s="51">
        <v>0</v>
      </c>
      <c r="N23" s="51">
        <v>0</v>
      </c>
      <c r="O23" s="51">
        <v>0</v>
      </c>
      <c r="P23" s="50">
        <v>0.58799999999999997</v>
      </c>
      <c r="Q23" s="50">
        <v>0.43531800000000004</v>
      </c>
      <c r="R23" s="50">
        <v>0.43480400000000002</v>
      </c>
      <c r="S23" s="50">
        <v>0.36215200000000008</v>
      </c>
      <c r="T23" s="50">
        <v>0.38466600000000001</v>
      </c>
      <c r="U23" s="50">
        <v>0.49817400000000006</v>
      </c>
      <c r="V23" s="50">
        <v>0.48556200000000005</v>
      </c>
      <c r="W23" s="50">
        <v>0.50448000000000004</v>
      </c>
      <c r="X23" s="50">
        <v>0.50448000000000004</v>
      </c>
      <c r="Y23" s="50">
        <v>0</v>
      </c>
      <c r="Z23" s="50">
        <v>0</v>
      </c>
      <c r="AA23" s="50">
        <v>0</v>
      </c>
    </row>
    <row r="24" spans="1:27" x14ac:dyDescent="0.25">
      <c r="A24">
        <f>COUNTIF(MTSAO_EAF_CONVERTER!$C$9:$C$24,B24)</f>
        <v>1</v>
      </c>
      <c r="B24" s="53" t="s">
        <v>100</v>
      </c>
      <c r="C24" s="52">
        <v>570</v>
      </c>
      <c r="D24" s="51">
        <v>0.74886000000000008</v>
      </c>
      <c r="E24" s="51">
        <v>0.670408</v>
      </c>
      <c r="F24" s="51">
        <v>0.59195600000000004</v>
      </c>
      <c r="G24" s="51">
        <v>0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0">
        <v>0.87367000000000006</v>
      </c>
      <c r="Q24" s="50">
        <v>0.69537000000000004</v>
      </c>
      <c r="R24" s="50">
        <v>0.632965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</row>
    <row r="25" spans="1:27" x14ac:dyDescent="0.25">
      <c r="A25">
        <f>COUNTIF(MTSAO_EAF_CONVERTER!$C$9:$C$24,B25)</f>
        <v>1</v>
      </c>
      <c r="B25" s="53" t="s">
        <v>97</v>
      </c>
      <c r="C25" s="52">
        <v>205</v>
      </c>
      <c r="D25" s="51">
        <v>0.73407599999999995</v>
      </c>
      <c r="E25" s="51">
        <v>0.6571728</v>
      </c>
      <c r="F25" s="51">
        <v>0.58026960000000005</v>
      </c>
      <c r="G25" s="51">
        <v>0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51">
        <v>0</v>
      </c>
      <c r="P25" s="50">
        <v>0.85642200000000002</v>
      </c>
      <c r="Q25" s="50">
        <v>0.68164200000000008</v>
      </c>
      <c r="R25" s="50">
        <v>0.62046899999999994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</row>
    <row r="26" spans="1:27" x14ac:dyDescent="0.25">
      <c r="D26" s="49">
        <f t="shared" ref="D26:AA26" si="0">SUMPRODUCT($C$11:$C$25,D$11:D$25)/SUM($C$11:$C$25)</f>
        <v>0.59892993084980706</v>
      </c>
      <c r="E26" s="49">
        <f t="shared" si="0"/>
        <v>0.56057784508676589</v>
      </c>
      <c r="F26" s="49">
        <f t="shared" si="0"/>
        <v>0.52831300626394684</v>
      </c>
      <c r="G26" s="49">
        <f t="shared" si="0"/>
        <v>0.47317069341314216</v>
      </c>
      <c r="H26" s="49">
        <f t="shared" si="0"/>
        <v>0.43360860839568394</v>
      </c>
      <c r="I26" s="49">
        <f t="shared" si="0"/>
        <v>0.39773750991047757</v>
      </c>
      <c r="J26" s="49">
        <f t="shared" si="0"/>
        <v>0.36918449190097385</v>
      </c>
      <c r="K26" s="49">
        <f t="shared" si="0"/>
        <v>0.3526467811819064</v>
      </c>
      <c r="L26" s="49">
        <f t="shared" si="0"/>
        <v>0.34043159805465856</v>
      </c>
      <c r="M26" s="49">
        <f t="shared" si="0"/>
        <v>0.31640074841826143</v>
      </c>
      <c r="N26" s="49">
        <f t="shared" si="0"/>
        <v>0.30117724593736056</v>
      </c>
      <c r="O26" s="49">
        <f t="shared" si="0"/>
        <v>0.27956395211467272</v>
      </c>
      <c r="P26" s="48">
        <f t="shared" si="0"/>
        <v>0.6675197982988107</v>
      </c>
      <c r="Q26" s="48">
        <f t="shared" si="0"/>
        <v>0.57433570352576724</v>
      </c>
      <c r="R26" s="48">
        <f t="shared" si="0"/>
        <v>0.55149877593132224</v>
      </c>
      <c r="S26" s="48">
        <f t="shared" si="0"/>
        <v>0.46544906193063984</v>
      </c>
      <c r="T26" s="48">
        <f t="shared" si="0"/>
        <v>0.49354700101073745</v>
      </c>
      <c r="U26" s="48">
        <f t="shared" si="0"/>
        <v>0.59407571897561107</v>
      </c>
      <c r="V26" s="48">
        <f t="shared" si="0"/>
        <v>0.55933535483447527</v>
      </c>
      <c r="W26" s="48">
        <f t="shared" si="0"/>
        <v>0.56979231419495424</v>
      </c>
      <c r="X26" s="48">
        <f t="shared" si="0"/>
        <v>0.56695752198682114</v>
      </c>
      <c r="Y26" s="48">
        <f t="shared" si="0"/>
        <v>0.54510783072116775</v>
      </c>
      <c r="Z26" s="48">
        <f t="shared" si="0"/>
        <v>0.52061682352786742</v>
      </c>
      <c r="AA26" s="48">
        <f t="shared" si="0"/>
        <v>0.45795673256149749</v>
      </c>
    </row>
    <row r="29" spans="1:27" x14ac:dyDescent="0.25">
      <c r="D29" s="47">
        <v>0.71082781806197048</v>
      </c>
      <c r="E29" s="47">
        <v>0.64318763976548476</v>
      </c>
      <c r="F29" s="47">
        <v>0.61783782431701029</v>
      </c>
      <c r="G29" s="47">
        <v>0.56143575131146639</v>
      </c>
      <c r="H29" s="47">
        <v>0.52647256532597808</v>
      </c>
      <c r="I29" s="47">
        <v>0.50183558560308927</v>
      </c>
      <c r="J29" s="47">
        <v>0.49476171320985851</v>
      </c>
      <c r="K29" s="47">
        <v>0.50300859405875276</v>
      </c>
      <c r="L29" s="47">
        <v>0.50198045421971316</v>
      </c>
      <c r="M29" s="47">
        <v>0.50585405194821054</v>
      </c>
      <c r="N29" s="47">
        <v>0.51460188607667001</v>
      </c>
      <c r="O29" s="47">
        <v>0.5275682760936623</v>
      </c>
      <c r="P29" s="47">
        <v>0.71082781806197048</v>
      </c>
      <c r="Q29" s="47">
        <v>0.64318763976548476</v>
      </c>
      <c r="R29" s="47">
        <v>0.61783782431701029</v>
      </c>
      <c r="S29" s="47">
        <v>0.56143575131146639</v>
      </c>
      <c r="T29" s="47">
        <v>0.58997509287546879</v>
      </c>
      <c r="U29" s="47">
        <v>0.66154270027079221</v>
      </c>
      <c r="V29" s="47">
        <v>0.66501899574418111</v>
      </c>
      <c r="W29" s="47">
        <v>0.67429952287759576</v>
      </c>
      <c r="X29" s="47">
        <v>0.67881891648519155</v>
      </c>
      <c r="Y29" s="47">
        <v>0.6832059954835985</v>
      </c>
      <c r="Z29" s="47">
        <v>0.68576375465249584</v>
      </c>
      <c r="AA29" s="47">
        <v>0.69328209995096446</v>
      </c>
    </row>
    <row r="30" spans="1:27" x14ac:dyDescent="0.25">
      <c r="D30" s="45">
        <v>0.98</v>
      </c>
      <c r="E30" s="44">
        <v>0.78</v>
      </c>
      <c r="F30" s="44">
        <v>0.71</v>
      </c>
      <c r="G30" s="44">
        <v>0.56000000000000005</v>
      </c>
      <c r="H30" s="46">
        <v>0.52</v>
      </c>
      <c r="I30" s="46">
        <v>0.5</v>
      </c>
      <c r="J30" s="46">
        <v>0.49</v>
      </c>
      <c r="K30" s="46">
        <v>0.495</v>
      </c>
      <c r="L30" s="46">
        <v>0.5</v>
      </c>
      <c r="M30" s="46">
        <v>0.5</v>
      </c>
      <c r="N30" s="46">
        <v>0.505</v>
      </c>
      <c r="O30" s="46">
        <v>0.51</v>
      </c>
      <c r="P30" s="45">
        <v>0.98</v>
      </c>
      <c r="Q30" s="44">
        <v>0.78</v>
      </c>
      <c r="R30" s="44">
        <v>0.71</v>
      </c>
      <c r="S30" s="43">
        <v>0.56000000000000005</v>
      </c>
      <c r="T30" s="42">
        <v>0.59</v>
      </c>
      <c r="U30" s="42">
        <v>0.66</v>
      </c>
      <c r="V30" s="42">
        <v>0.66500000000000004</v>
      </c>
      <c r="W30" s="42">
        <v>0.67</v>
      </c>
      <c r="X30" s="42">
        <v>0.67500000000000004</v>
      </c>
      <c r="Y30" s="42">
        <v>0.68</v>
      </c>
      <c r="Z30" s="42">
        <v>0.68500000000000005</v>
      </c>
      <c r="AA30" s="42">
        <f>Z30</f>
        <v>0.68500000000000005</v>
      </c>
    </row>
  </sheetData>
  <hyperlinks>
    <hyperlink ref="I4" r:id="rId1" xr:uid="{0A7DCCAF-D0DA-4920-8E1C-36E0B48DB2F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7FFA-D2AE-411C-8E5A-7EC97BDE9593}">
  <dimension ref="A3:V33"/>
  <sheetViews>
    <sheetView workbookViewId="0">
      <selection activeCell="S13" sqref="S13"/>
    </sheetView>
  </sheetViews>
  <sheetFormatPr defaultRowHeight="15" x14ac:dyDescent="0.25"/>
  <cols>
    <col min="3" max="3" width="15.85546875" customWidth="1"/>
    <col min="4" max="4" width="11.85546875" customWidth="1"/>
    <col min="15" max="15" width="11.140625" customWidth="1"/>
    <col min="16" max="16" width="10.28515625" customWidth="1"/>
    <col min="17" max="17" width="10.7109375" customWidth="1"/>
  </cols>
  <sheetData>
    <row r="3" spans="1:22" x14ac:dyDescent="0.25">
      <c r="B3" s="26" t="s">
        <v>237</v>
      </c>
      <c r="R3" s="5" t="s">
        <v>14</v>
      </c>
      <c r="S3" s="5" t="s">
        <v>14</v>
      </c>
      <c r="T3" s="5" t="s">
        <v>14</v>
      </c>
      <c r="U3" s="5" t="s">
        <v>14</v>
      </c>
    </row>
    <row r="4" spans="1:22" x14ac:dyDescent="0.25">
      <c r="R4" s="2">
        <v>2017</v>
      </c>
      <c r="S4" s="2">
        <v>2021</v>
      </c>
      <c r="T4" s="2">
        <v>2025</v>
      </c>
      <c r="U4" s="2">
        <v>2030</v>
      </c>
    </row>
    <row r="5" spans="1:22" x14ac:dyDescent="0.25">
      <c r="R5" s="2"/>
      <c r="S5" s="2"/>
      <c r="T5" s="2"/>
      <c r="U5" s="2"/>
    </row>
    <row r="6" spans="1:22" ht="30" x14ac:dyDescent="0.25">
      <c r="C6" s="8" t="s">
        <v>27</v>
      </c>
      <c r="D6" s="8" t="s">
        <v>28</v>
      </c>
      <c r="E6" s="8" t="s">
        <v>29</v>
      </c>
      <c r="F6" s="8" t="s">
        <v>30</v>
      </c>
      <c r="G6" s="2" t="s">
        <v>227</v>
      </c>
      <c r="H6" s="2" t="s">
        <v>227</v>
      </c>
      <c r="I6" s="2" t="s">
        <v>227</v>
      </c>
      <c r="J6" s="2" t="s">
        <v>227</v>
      </c>
      <c r="K6" s="2" t="s">
        <v>227</v>
      </c>
      <c r="L6" s="2" t="s">
        <v>227</v>
      </c>
      <c r="M6" s="2" t="s">
        <v>227</v>
      </c>
      <c r="N6" s="3" t="s">
        <v>228</v>
      </c>
      <c r="O6" s="78" t="s">
        <v>229</v>
      </c>
      <c r="P6" s="78" t="s">
        <v>230</v>
      </c>
      <c r="Q6" s="78" t="s">
        <v>231</v>
      </c>
      <c r="R6" s="3" t="str">
        <f>R3&amp;"~"&amp;R4</f>
        <v>NCAP_PKCNT~2017</v>
      </c>
      <c r="S6" s="3" t="str">
        <f t="shared" ref="S6:U6" si="0">S3&amp;"~"&amp;S4</f>
        <v>NCAP_PKCNT~2021</v>
      </c>
      <c r="T6" s="3" t="str">
        <f t="shared" si="0"/>
        <v>NCAP_PKCNT~2025</v>
      </c>
      <c r="U6" s="3" t="str">
        <f t="shared" si="0"/>
        <v>NCAP_PKCNT~2030</v>
      </c>
    </row>
    <row r="7" spans="1:22" x14ac:dyDescent="0.25">
      <c r="C7" s="2"/>
      <c r="D7" s="2"/>
      <c r="E7" s="2"/>
      <c r="F7" s="12"/>
      <c r="G7" s="2"/>
      <c r="H7" s="2"/>
      <c r="I7" s="2"/>
      <c r="J7" s="2"/>
      <c r="K7" s="2"/>
      <c r="L7" s="2"/>
      <c r="M7" s="2"/>
      <c r="N7" s="2"/>
      <c r="S7" s="2"/>
      <c r="T7" s="2"/>
      <c r="U7" s="2"/>
      <c r="V7" s="2"/>
    </row>
    <row r="8" spans="1:22" x14ac:dyDescent="0.25">
      <c r="A8" s="88" t="s">
        <v>103</v>
      </c>
      <c r="C8" s="2" t="s">
        <v>105</v>
      </c>
      <c r="D8" s="2" t="s">
        <v>104</v>
      </c>
      <c r="E8" s="2" t="s">
        <v>185</v>
      </c>
      <c r="F8" s="2" t="s">
        <v>15</v>
      </c>
      <c r="G8" s="2">
        <v>7</v>
      </c>
      <c r="H8" s="15"/>
      <c r="I8" s="15">
        <v>0.54111740129475128</v>
      </c>
      <c r="J8" s="15">
        <v>0.504</v>
      </c>
      <c r="K8" s="15">
        <v>0.46222980000000002</v>
      </c>
      <c r="L8" s="15">
        <v>0.48820528000000007</v>
      </c>
      <c r="M8" s="8">
        <v>4</v>
      </c>
      <c r="N8" s="15">
        <v>0.67</v>
      </c>
      <c r="O8">
        <v>0.5714285714285714</v>
      </c>
      <c r="P8" t="s">
        <v>232</v>
      </c>
      <c r="Q8" t="s">
        <v>232</v>
      </c>
      <c r="R8" s="15">
        <f>N8</f>
        <v>0.67</v>
      </c>
      <c r="S8" s="15">
        <f>O8</f>
        <v>0.5714285714285714</v>
      </c>
      <c r="T8" s="15" t="str">
        <f t="shared" ref="T8:T21" si="1">P8</f>
        <v/>
      </c>
      <c r="U8" s="15" t="str">
        <f t="shared" ref="U8:U21" si="2">Q8</f>
        <v/>
      </c>
    </row>
    <row r="9" spans="1:22" x14ac:dyDescent="0.25">
      <c r="A9" s="88" t="s">
        <v>100</v>
      </c>
      <c r="C9" s="2" t="s">
        <v>102</v>
      </c>
      <c r="D9" s="2" t="s">
        <v>101</v>
      </c>
      <c r="E9" s="2" t="s">
        <v>186</v>
      </c>
      <c r="F9" s="2" t="s">
        <v>15</v>
      </c>
      <c r="G9" s="2">
        <v>3</v>
      </c>
      <c r="H9" s="15"/>
      <c r="I9" s="15">
        <v>0.36749690039180255</v>
      </c>
      <c r="J9" s="15">
        <v>0.74886000000000008</v>
      </c>
      <c r="K9" s="15">
        <v>0.4</v>
      </c>
      <c r="L9" s="15">
        <v>0.71070380000000011</v>
      </c>
      <c r="M9" s="8">
        <v>1.5</v>
      </c>
      <c r="N9" s="15">
        <v>0.6</v>
      </c>
      <c r="O9">
        <v>0.5</v>
      </c>
      <c r="P9" t="s">
        <v>232</v>
      </c>
      <c r="Q9" t="s">
        <v>232</v>
      </c>
      <c r="R9" s="15">
        <f t="shared" ref="R9:R21" si="3">N9</f>
        <v>0.6</v>
      </c>
      <c r="S9" s="15">
        <f t="shared" ref="S9:S21" si="4">O9</f>
        <v>0.5</v>
      </c>
      <c r="T9" s="15" t="str">
        <f t="shared" si="1"/>
        <v/>
      </c>
      <c r="U9" s="15" t="str">
        <f t="shared" si="2"/>
        <v/>
      </c>
    </row>
    <row r="10" spans="1:22" x14ac:dyDescent="0.25">
      <c r="A10" s="88" t="s">
        <v>97</v>
      </c>
      <c r="C10" s="2" t="s">
        <v>99</v>
      </c>
      <c r="D10" s="2" t="s">
        <v>98</v>
      </c>
      <c r="E10" s="2" t="s">
        <v>187</v>
      </c>
      <c r="F10" s="2" t="s">
        <v>15</v>
      </c>
      <c r="G10" s="2">
        <v>4</v>
      </c>
      <c r="H10" s="15"/>
      <c r="I10" s="15">
        <v>0.33923410885870708</v>
      </c>
      <c r="J10" s="15">
        <v>0.73407599999999995</v>
      </c>
      <c r="K10" s="15">
        <v>0.4</v>
      </c>
      <c r="L10" s="15">
        <v>0.69667308000000006</v>
      </c>
      <c r="M10" s="8">
        <v>2</v>
      </c>
      <c r="N10" s="15">
        <v>0.6</v>
      </c>
      <c r="O10">
        <v>0.75</v>
      </c>
      <c r="P10" t="s">
        <v>232</v>
      </c>
      <c r="Q10" t="s">
        <v>232</v>
      </c>
      <c r="R10" s="15">
        <f t="shared" si="3"/>
        <v>0.6</v>
      </c>
      <c r="S10" s="15">
        <f t="shared" si="4"/>
        <v>0.75</v>
      </c>
      <c r="T10" s="15" t="str">
        <f t="shared" si="1"/>
        <v/>
      </c>
      <c r="U10" s="15" t="str">
        <f t="shared" si="2"/>
        <v/>
      </c>
    </row>
    <row r="11" spans="1:22" x14ac:dyDescent="0.25">
      <c r="A11" s="88" t="s">
        <v>94</v>
      </c>
      <c r="C11" s="2" t="s">
        <v>96</v>
      </c>
      <c r="D11" s="2" t="s">
        <v>95</v>
      </c>
      <c r="E11" s="2" t="s">
        <v>188</v>
      </c>
      <c r="F11" s="2" t="s">
        <v>15</v>
      </c>
      <c r="G11" s="2">
        <v>6</v>
      </c>
      <c r="H11" s="15"/>
      <c r="I11" s="15">
        <v>0.52901509650216993</v>
      </c>
      <c r="J11" s="15">
        <v>0.54650399999999999</v>
      </c>
      <c r="K11" s="15">
        <v>0.47996840000000002</v>
      </c>
      <c r="L11" s="15">
        <v>0.52104991999999994</v>
      </c>
      <c r="M11" s="8">
        <v>2.5</v>
      </c>
      <c r="N11" s="15">
        <v>0.8</v>
      </c>
      <c r="O11">
        <v>0.66666666666666674</v>
      </c>
      <c r="P11" t="s">
        <v>232</v>
      </c>
      <c r="Q11" t="s">
        <v>232</v>
      </c>
      <c r="R11" s="15">
        <f t="shared" si="3"/>
        <v>0.8</v>
      </c>
      <c r="S11" s="15">
        <f t="shared" si="4"/>
        <v>0.66666666666666674</v>
      </c>
      <c r="T11" s="15" t="str">
        <f t="shared" si="1"/>
        <v/>
      </c>
      <c r="U11" s="15" t="str">
        <f t="shared" si="2"/>
        <v/>
      </c>
    </row>
    <row r="12" spans="1:22" x14ac:dyDescent="0.25">
      <c r="A12" s="88" t="s">
        <v>91</v>
      </c>
      <c r="C12" s="2" t="s">
        <v>93</v>
      </c>
      <c r="D12" s="2" t="s">
        <v>92</v>
      </c>
      <c r="E12" s="2" t="s">
        <v>189</v>
      </c>
      <c r="F12" s="2" t="s">
        <v>15</v>
      </c>
      <c r="G12" s="2">
        <v>5</v>
      </c>
      <c r="H12" s="15"/>
      <c r="I12" s="15">
        <v>0.5492283190063032</v>
      </c>
      <c r="J12" s="15">
        <v>0.45763199999999993</v>
      </c>
      <c r="K12" s="15">
        <v>0.44800959999999995</v>
      </c>
      <c r="L12" s="15">
        <v>0.47959551999999994</v>
      </c>
      <c r="M12" s="8">
        <v>2.5</v>
      </c>
      <c r="N12" s="15">
        <v>0.8</v>
      </c>
      <c r="O12">
        <v>0.6</v>
      </c>
      <c r="P12" t="s">
        <v>232</v>
      </c>
      <c r="Q12" t="s">
        <v>232</v>
      </c>
      <c r="R12" s="15">
        <f t="shared" si="3"/>
        <v>0.8</v>
      </c>
      <c r="S12" s="15">
        <f t="shared" si="4"/>
        <v>0.6</v>
      </c>
      <c r="T12" s="15" t="str">
        <f t="shared" si="1"/>
        <v/>
      </c>
      <c r="U12" s="15" t="str">
        <f t="shared" si="2"/>
        <v/>
      </c>
    </row>
    <row r="13" spans="1:22" x14ac:dyDescent="0.25">
      <c r="A13" s="88" t="s">
        <v>88</v>
      </c>
      <c r="C13" s="2" t="s">
        <v>90</v>
      </c>
      <c r="D13" s="2" t="s">
        <v>89</v>
      </c>
      <c r="E13" s="2" t="s">
        <v>190</v>
      </c>
      <c r="F13" s="2" t="s">
        <v>15</v>
      </c>
      <c r="G13" s="2">
        <v>7</v>
      </c>
      <c r="H13" s="15"/>
      <c r="I13" s="15">
        <v>0.55583709036115203</v>
      </c>
      <c r="J13" s="15">
        <v>0.51181199999999993</v>
      </c>
      <c r="K13" s="15">
        <v>0.50833549999999994</v>
      </c>
      <c r="L13" s="15">
        <v>0.55285819999999997</v>
      </c>
      <c r="M13" s="8">
        <v>2.5</v>
      </c>
      <c r="N13" s="15">
        <v>0.8</v>
      </c>
      <c r="O13">
        <v>0.7142857142857143</v>
      </c>
      <c r="P13" t="s">
        <v>232</v>
      </c>
      <c r="Q13" t="s">
        <v>232</v>
      </c>
      <c r="R13" s="15">
        <f t="shared" si="3"/>
        <v>0.8</v>
      </c>
      <c r="S13" s="15">
        <f t="shared" si="4"/>
        <v>0.7142857142857143</v>
      </c>
      <c r="T13" s="15" t="str">
        <f t="shared" si="1"/>
        <v/>
      </c>
      <c r="U13" s="15" t="str">
        <f t="shared" si="2"/>
        <v/>
      </c>
    </row>
    <row r="14" spans="1:22" x14ac:dyDescent="0.25">
      <c r="A14" s="88" t="s">
        <v>85</v>
      </c>
      <c r="C14" s="2" t="s">
        <v>87</v>
      </c>
      <c r="D14" s="2" t="s">
        <v>86</v>
      </c>
      <c r="E14" s="2" t="s">
        <v>41</v>
      </c>
      <c r="F14" s="2" t="s">
        <v>15</v>
      </c>
      <c r="G14" s="2">
        <v>6</v>
      </c>
      <c r="H14" s="15"/>
      <c r="I14" s="15">
        <v>0.7392028286823541</v>
      </c>
      <c r="J14" s="15">
        <v>0.63571999999999995</v>
      </c>
      <c r="K14" s="15">
        <v>0.64242310000000014</v>
      </c>
      <c r="L14" s="15">
        <v>0.58831341999999998</v>
      </c>
      <c r="M14" s="8">
        <v>2</v>
      </c>
      <c r="N14" s="15">
        <v>1</v>
      </c>
      <c r="O14">
        <v>0.83333333333333337</v>
      </c>
      <c r="P14" t="s">
        <v>232</v>
      </c>
      <c r="Q14" t="s">
        <v>232</v>
      </c>
      <c r="R14" s="15">
        <f t="shared" si="3"/>
        <v>1</v>
      </c>
      <c r="S14" s="15">
        <f t="shared" si="4"/>
        <v>0.83333333333333337</v>
      </c>
      <c r="T14" s="15" t="str">
        <f t="shared" si="1"/>
        <v/>
      </c>
      <c r="U14" s="15" t="str">
        <f t="shared" si="2"/>
        <v/>
      </c>
    </row>
    <row r="15" spans="1:22" x14ac:dyDescent="0.25">
      <c r="A15" s="88" t="s">
        <v>82</v>
      </c>
      <c r="C15" s="2" t="s">
        <v>84</v>
      </c>
      <c r="D15" s="2" t="s">
        <v>83</v>
      </c>
      <c r="E15" s="2" t="s">
        <v>191</v>
      </c>
      <c r="F15" s="2" t="s">
        <v>15</v>
      </c>
      <c r="G15" s="2">
        <v>6</v>
      </c>
      <c r="H15" s="15"/>
      <c r="I15" s="15">
        <v>0.51428303219089555</v>
      </c>
      <c r="J15" s="15">
        <v>0.45444000000000001</v>
      </c>
      <c r="K15" s="15">
        <v>0.47234519999999997</v>
      </c>
      <c r="L15" s="15">
        <v>0.43551036000000004</v>
      </c>
      <c r="M15" s="8">
        <v>3</v>
      </c>
      <c r="N15" s="15">
        <v>0.8</v>
      </c>
      <c r="O15">
        <v>0.66666666666666674</v>
      </c>
      <c r="P15" t="s">
        <v>232</v>
      </c>
      <c r="Q15" t="s">
        <v>232</v>
      </c>
      <c r="R15" s="15">
        <f t="shared" si="3"/>
        <v>0.8</v>
      </c>
      <c r="S15" s="15">
        <f t="shared" si="4"/>
        <v>0.66666666666666674</v>
      </c>
      <c r="T15" s="15" t="str">
        <f t="shared" si="1"/>
        <v/>
      </c>
      <c r="U15" s="15" t="str">
        <f t="shared" si="2"/>
        <v/>
      </c>
    </row>
    <row r="16" spans="1:22" x14ac:dyDescent="0.25">
      <c r="A16" s="88" t="s">
        <v>79</v>
      </c>
      <c r="C16" s="2" t="s">
        <v>81</v>
      </c>
      <c r="D16" s="2" t="s">
        <v>80</v>
      </c>
      <c r="E16" s="2" t="s">
        <v>192</v>
      </c>
      <c r="F16" s="2" t="s">
        <v>15</v>
      </c>
      <c r="G16" s="2">
        <v>6</v>
      </c>
      <c r="H16" s="15"/>
      <c r="I16" s="15">
        <v>0.61629073285527491</v>
      </c>
      <c r="J16" s="15">
        <v>0.62143199999999998</v>
      </c>
      <c r="K16" s="15">
        <v>0.54887039999999987</v>
      </c>
      <c r="L16" s="15">
        <v>0.60276291999999998</v>
      </c>
      <c r="M16" s="8">
        <v>2</v>
      </c>
      <c r="N16" s="15">
        <v>0.8</v>
      </c>
      <c r="O16">
        <v>0.83333333333333337</v>
      </c>
      <c r="P16" t="s">
        <v>232</v>
      </c>
      <c r="Q16" t="s">
        <v>232</v>
      </c>
      <c r="R16" s="15">
        <f t="shared" si="3"/>
        <v>0.8</v>
      </c>
      <c r="S16" s="15">
        <f t="shared" si="4"/>
        <v>0.83333333333333337</v>
      </c>
      <c r="T16" s="15" t="str">
        <f t="shared" si="1"/>
        <v/>
      </c>
      <c r="U16" s="15" t="str">
        <f t="shared" si="2"/>
        <v/>
      </c>
    </row>
    <row r="17" spans="1:21" x14ac:dyDescent="0.25">
      <c r="A17" s="88" t="s">
        <v>74</v>
      </c>
      <c r="C17" s="2" t="s">
        <v>78</v>
      </c>
      <c r="D17" s="2" t="s">
        <v>77</v>
      </c>
      <c r="E17" s="2" t="s">
        <v>165</v>
      </c>
      <c r="F17" s="2" t="s">
        <v>15</v>
      </c>
      <c r="G17" s="2">
        <v>3</v>
      </c>
      <c r="H17" s="15"/>
      <c r="I17" s="15">
        <v>0.69869089871477885</v>
      </c>
      <c r="J17" s="15">
        <v>0.67205999999999988</v>
      </c>
      <c r="K17" s="15">
        <v>0.66755160000000013</v>
      </c>
      <c r="L17" s="15">
        <v>0.67682552000000007</v>
      </c>
      <c r="M17" s="8">
        <v>1</v>
      </c>
      <c r="N17" s="15">
        <v>0.8</v>
      </c>
      <c r="O17">
        <v>0.83333333333333337</v>
      </c>
      <c r="P17" t="s">
        <v>232</v>
      </c>
      <c r="Q17" t="s">
        <v>232</v>
      </c>
      <c r="R17" s="15">
        <f t="shared" si="3"/>
        <v>0.8</v>
      </c>
      <c r="S17" s="15">
        <f t="shared" si="4"/>
        <v>0.83333333333333337</v>
      </c>
      <c r="T17" s="15" t="str">
        <f t="shared" si="1"/>
        <v/>
      </c>
      <c r="U17" s="15" t="str">
        <f t="shared" si="2"/>
        <v/>
      </c>
    </row>
    <row r="18" spans="1:21" x14ac:dyDescent="0.25">
      <c r="A18" s="88" t="s">
        <v>74</v>
      </c>
      <c r="C18" s="2" t="s">
        <v>76</v>
      </c>
      <c r="D18" s="2" t="s">
        <v>75</v>
      </c>
      <c r="E18" s="2" t="s">
        <v>165</v>
      </c>
      <c r="F18" s="2" t="s">
        <v>15</v>
      </c>
      <c r="G18" s="2">
        <v>3</v>
      </c>
      <c r="H18" s="15"/>
      <c r="I18" s="15">
        <v>0.69869089871477885</v>
      </c>
      <c r="J18" s="15">
        <v>0.67205999999999988</v>
      </c>
      <c r="K18" s="15">
        <v>0.66755160000000013</v>
      </c>
      <c r="L18" s="15">
        <v>0.67682552000000007</v>
      </c>
      <c r="M18" s="8">
        <v>1</v>
      </c>
      <c r="N18" s="15">
        <v>0.8</v>
      </c>
      <c r="O18">
        <v>0.83333333333333337</v>
      </c>
      <c r="P18" t="s">
        <v>232</v>
      </c>
      <c r="Q18" t="s">
        <v>232</v>
      </c>
      <c r="R18" s="15">
        <f t="shared" si="3"/>
        <v>0.8</v>
      </c>
      <c r="S18" s="15">
        <f t="shared" si="4"/>
        <v>0.83333333333333337</v>
      </c>
      <c r="T18" s="15" t="str">
        <f t="shared" si="1"/>
        <v/>
      </c>
      <c r="U18" s="15" t="str">
        <f t="shared" si="2"/>
        <v/>
      </c>
    </row>
    <row r="19" spans="1:21" x14ac:dyDescent="0.25">
      <c r="A19" s="88" t="s">
        <v>71</v>
      </c>
      <c r="C19" s="2" t="s">
        <v>73</v>
      </c>
      <c r="D19" s="2" t="s">
        <v>72</v>
      </c>
      <c r="E19" s="2" t="s">
        <v>193</v>
      </c>
      <c r="F19" s="2" t="s">
        <v>15</v>
      </c>
      <c r="G19" s="2">
        <v>6</v>
      </c>
      <c r="H19" s="15"/>
      <c r="I19" s="15">
        <v>0.8094138159760893</v>
      </c>
      <c r="J19" s="15">
        <v>0.82750000000000001</v>
      </c>
      <c r="K19" s="15">
        <v>0.78370000000000006</v>
      </c>
      <c r="L19" s="15">
        <v>0.81640000000000001</v>
      </c>
      <c r="M19" s="8">
        <v>0.5</v>
      </c>
      <c r="N19" s="15">
        <v>1</v>
      </c>
      <c r="O19">
        <v>1</v>
      </c>
      <c r="P19" t="s">
        <v>232</v>
      </c>
      <c r="Q19" t="s">
        <v>232</v>
      </c>
      <c r="R19" s="15">
        <f t="shared" si="3"/>
        <v>1</v>
      </c>
      <c r="S19" s="15">
        <f t="shared" si="4"/>
        <v>1</v>
      </c>
      <c r="T19" s="15" t="str">
        <f t="shared" si="1"/>
        <v/>
      </c>
      <c r="U19" s="15" t="str">
        <f t="shared" si="2"/>
        <v/>
      </c>
    </row>
    <row r="20" spans="1:21" x14ac:dyDescent="0.25">
      <c r="A20" s="88" t="s">
        <v>68</v>
      </c>
      <c r="C20" s="2" t="s">
        <v>70</v>
      </c>
      <c r="D20" s="2" t="s">
        <v>69</v>
      </c>
      <c r="E20" s="2" t="s">
        <v>194</v>
      </c>
      <c r="F20" s="2" t="s">
        <v>15</v>
      </c>
      <c r="G20" s="2">
        <v>6</v>
      </c>
      <c r="H20" s="15"/>
      <c r="I20" s="15">
        <v>0.64697127709025493</v>
      </c>
      <c r="J20" s="15">
        <v>0.61915999999999993</v>
      </c>
      <c r="K20" s="15">
        <v>0.61114245000000011</v>
      </c>
      <c r="L20" s="15">
        <v>0.63566963999999992</v>
      </c>
      <c r="M20" s="8">
        <v>2</v>
      </c>
      <c r="N20" s="15">
        <v>1</v>
      </c>
      <c r="O20">
        <v>0.83333333333333337</v>
      </c>
      <c r="P20" t="s">
        <v>232</v>
      </c>
      <c r="Q20" t="s">
        <v>232</v>
      </c>
      <c r="R20" s="15">
        <f t="shared" si="3"/>
        <v>1</v>
      </c>
      <c r="S20" s="15">
        <f t="shared" si="4"/>
        <v>0.83333333333333337</v>
      </c>
      <c r="T20" s="15" t="str">
        <f t="shared" si="1"/>
        <v/>
      </c>
      <c r="U20" s="15" t="str">
        <f t="shared" si="2"/>
        <v/>
      </c>
    </row>
    <row r="21" spans="1:21" x14ac:dyDescent="0.25">
      <c r="A21" s="88" t="s">
        <v>65</v>
      </c>
      <c r="C21" s="2" t="s">
        <v>67</v>
      </c>
      <c r="D21" s="2" t="s">
        <v>66</v>
      </c>
      <c r="E21" s="2" t="s">
        <v>195</v>
      </c>
      <c r="F21" s="2" t="s">
        <v>15</v>
      </c>
      <c r="G21" s="2">
        <v>6</v>
      </c>
      <c r="H21" s="15"/>
      <c r="I21" s="15">
        <v>0.5381100970535827</v>
      </c>
      <c r="J21" s="15">
        <v>0.47090399999999999</v>
      </c>
      <c r="K21" s="15">
        <v>0.44822949999999995</v>
      </c>
      <c r="L21" s="15">
        <v>0.43088660000000001</v>
      </c>
      <c r="M21" s="8">
        <v>2.5</v>
      </c>
      <c r="N21" s="15">
        <v>0.8</v>
      </c>
      <c r="O21">
        <v>0.66666666666666674</v>
      </c>
      <c r="P21" t="s">
        <v>232</v>
      </c>
      <c r="Q21" t="s">
        <v>232</v>
      </c>
      <c r="R21" s="15">
        <f t="shared" si="3"/>
        <v>0.8</v>
      </c>
      <c r="S21" s="15">
        <f t="shared" si="4"/>
        <v>0.66666666666666674</v>
      </c>
      <c r="T21" s="15" t="str">
        <f t="shared" si="1"/>
        <v/>
      </c>
      <c r="U21" s="15" t="str">
        <f t="shared" si="2"/>
        <v/>
      </c>
    </row>
    <row r="22" spans="1:21" x14ac:dyDescent="0.25">
      <c r="C22" s="2"/>
      <c r="D22" s="2"/>
      <c r="E22" s="2"/>
      <c r="F22" s="2"/>
      <c r="G22" s="76"/>
      <c r="H22" s="15"/>
      <c r="I22" s="15"/>
      <c r="J22" s="15"/>
      <c r="K22" s="15"/>
      <c r="L22" s="15"/>
      <c r="M22" s="8"/>
      <c r="N22" s="15"/>
      <c r="R22" s="15"/>
      <c r="S22" s="15"/>
      <c r="T22" s="15"/>
      <c r="U22" s="15"/>
    </row>
    <row r="23" spans="1:21" x14ac:dyDescent="0.25">
      <c r="C23" s="2"/>
      <c r="D23" s="2"/>
      <c r="E23" s="2"/>
      <c r="F23" s="2"/>
      <c r="G23" s="2"/>
      <c r="H23" s="15"/>
      <c r="I23" s="15"/>
      <c r="J23" s="15"/>
      <c r="K23" s="15"/>
      <c r="L23" s="15"/>
      <c r="M23" s="8"/>
      <c r="N23" s="15"/>
      <c r="R23" s="15"/>
      <c r="S23" s="15"/>
      <c r="T23" s="15"/>
      <c r="U23" s="15"/>
    </row>
    <row r="24" spans="1:21" x14ac:dyDescent="0.25">
      <c r="C24" s="2"/>
      <c r="D24" s="2"/>
      <c r="E24" s="2"/>
      <c r="F24" s="2"/>
      <c r="G24" s="2"/>
      <c r="H24" s="15"/>
      <c r="I24" s="15"/>
      <c r="J24" s="15"/>
      <c r="K24" s="15"/>
      <c r="L24" s="15"/>
      <c r="M24" s="8"/>
      <c r="N24" s="15"/>
      <c r="R24" s="15"/>
      <c r="S24" s="15"/>
      <c r="T24" s="15"/>
      <c r="U24" s="15"/>
    </row>
    <row r="25" spans="1:21" x14ac:dyDescent="0.25">
      <c r="C25" s="2"/>
      <c r="D25" s="2"/>
      <c r="E25" s="2"/>
      <c r="F25" s="2"/>
      <c r="G25" s="2"/>
      <c r="H25" s="76"/>
      <c r="I25" s="76"/>
      <c r="J25" s="76"/>
      <c r="K25" s="76"/>
      <c r="L25" s="76"/>
      <c r="M25" s="8"/>
      <c r="N25" s="15"/>
      <c r="R25" s="15"/>
      <c r="S25" s="15"/>
      <c r="T25" s="15"/>
      <c r="U25" s="15"/>
    </row>
    <row r="26" spans="1:21" x14ac:dyDescent="0.25">
      <c r="C26" s="2"/>
      <c r="D26" s="2"/>
      <c r="E26" s="2"/>
      <c r="F26" s="2"/>
      <c r="G26" s="2"/>
      <c r="H26" s="15"/>
      <c r="I26" s="15"/>
      <c r="J26" s="15"/>
      <c r="K26" s="15"/>
      <c r="L26" s="15"/>
      <c r="M26" s="8"/>
      <c r="N26" s="15"/>
      <c r="R26" s="15"/>
      <c r="S26" s="15"/>
      <c r="T26" s="15"/>
      <c r="U26" s="15"/>
    </row>
    <row r="27" spans="1:21" x14ac:dyDescent="0.25">
      <c r="C27" s="2"/>
      <c r="D27" s="2"/>
      <c r="E27" s="2"/>
      <c r="F27" s="2"/>
      <c r="G27" s="2"/>
      <c r="H27" s="15"/>
      <c r="I27" s="15"/>
      <c r="J27" s="15"/>
      <c r="K27" s="15"/>
      <c r="L27" s="15"/>
      <c r="M27" s="8"/>
      <c r="N27" s="15"/>
      <c r="R27" s="15"/>
      <c r="S27" s="15"/>
      <c r="T27" s="15"/>
      <c r="U27" s="15"/>
    </row>
    <row r="28" spans="1:21" x14ac:dyDescent="0.25">
      <c r="C28" s="2"/>
      <c r="D28" s="2"/>
      <c r="E28" s="2"/>
      <c r="F28" s="2"/>
      <c r="G28" s="2"/>
      <c r="H28" s="15"/>
      <c r="I28" s="15"/>
      <c r="J28" s="15"/>
      <c r="K28" s="15"/>
      <c r="L28" s="15"/>
      <c r="M28" s="8"/>
      <c r="N28" s="15"/>
      <c r="R28" s="15"/>
      <c r="S28" s="15"/>
      <c r="T28" s="15"/>
      <c r="U28" s="15"/>
    </row>
    <row r="29" spans="1:21" x14ac:dyDescent="0.25">
      <c r="C29" s="2"/>
      <c r="D29" s="2"/>
      <c r="E29" s="2"/>
      <c r="F29" s="2"/>
      <c r="G29" s="2"/>
      <c r="H29" s="77"/>
      <c r="I29" s="77"/>
      <c r="J29" s="77"/>
      <c r="K29" s="77"/>
      <c r="L29" s="77"/>
      <c r="M29" s="8"/>
      <c r="N29" s="15"/>
      <c r="R29" s="15"/>
      <c r="S29" s="15"/>
      <c r="T29" s="15"/>
      <c r="U29" s="15"/>
    </row>
    <row r="30" spans="1:21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8"/>
      <c r="N30" s="15"/>
      <c r="R30" s="15"/>
      <c r="S30" s="15"/>
      <c r="T30" s="15"/>
      <c r="U30" s="15"/>
    </row>
    <row r="31" spans="1:21" x14ac:dyDescent="0.25">
      <c r="C31" s="2"/>
      <c r="D31" s="2"/>
      <c r="E31" s="2"/>
      <c r="F31" s="2"/>
      <c r="G31" s="2"/>
      <c r="H31" s="15"/>
      <c r="I31" s="15"/>
      <c r="J31" s="15"/>
      <c r="K31" s="15"/>
      <c r="L31" s="15"/>
      <c r="M31" s="8"/>
      <c r="O31" s="15"/>
      <c r="R31" s="15"/>
      <c r="S31" s="15"/>
      <c r="T31" s="15"/>
      <c r="U31" s="15"/>
    </row>
    <row r="32" spans="1:21" x14ac:dyDescent="0.25">
      <c r="C32" s="2"/>
      <c r="D32" s="2"/>
      <c r="E32" s="2"/>
      <c r="F32" s="2"/>
      <c r="G32" s="2"/>
      <c r="H32" s="15"/>
      <c r="I32" s="15"/>
      <c r="J32" s="15"/>
      <c r="K32" s="15"/>
      <c r="L32" s="15"/>
      <c r="M32" s="8"/>
      <c r="O32" s="15"/>
      <c r="R32" s="15"/>
      <c r="S32" s="15"/>
      <c r="T32" s="15"/>
      <c r="U32" s="15"/>
    </row>
    <row r="33" spans="3:14" x14ac:dyDescent="0.25">
      <c r="C33" s="2"/>
      <c r="D33" s="2"/>
      <c r="E33" s="2"/>
      <c r="F33" s="2"/>
      <c r="G33" s="2"/>
      <c r="H33" s="15"/>
      <c r="I33" s="15"/>
      <c r="J33" s="15"/>
      <c r="K33" s="15"/>
      <c r="L33" s="15"/>
      <c r="M33" s="2"/>
      <c r="N33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C81B-59B8-49B1-9788-631F5AE7974E}">
  <dimension ref="A1:AI55"/>
  <sheetViews>
    <sheetView zoomScale="160" zoomScaleNormal="160" workbookViewId="0">
      <selection activeCell="H23" sqref="H23"/>
    </sheetView>
  </sheetViews>
  <sheetFormatPr defaultColWidth="9.140625" defaultRowHeight="12.75" x14ac:dyDescent="0.2"/>
  <cols>
    <col min="1" max="2" width="9.140625" style="92"/>
    <col min="3" max="3" width="15.140625" style="92" customWidth="1"/>
    <col min="4" max="4" width="9.140625" style="92"/>
    <col min="5" max="5" width="9.5703125" style="92" bestFit="1" customWidth="1"/>
    <col min="6" max="6" width="10" style="92" customWidth="1"/>
    <col min="7" max="12" width="9.140625" style="92"/>
    <col min="13" max="13" width="10.42578125" style="92" customWidth="1"/>
    <col min="14" max="14" width="9.140625" style="92"/>
    <col min="15" max="15" width="23" style="92" customWidth="1"/>
    <col min="16" max="16384" width="9.140625" style="92"/>
  </cols>
  <sheetData>
    <row r="1" spans="3:11" x14ac:dyDescent="0.2">
      <c r="C1" s="92" t="s">
        <v>238</v>
      </c>
      <c r="D1" s="92" t="s">
        <v>239</v>
      </c>
      <c r="E1" s="99">
        <v>8.2000000000000003E-2</v>
      </c>
      <c r="J1" s="92" t="s">
        <v>240</v>
      </c>
    </row>
    <row r="2" spans="3:11" ht="15" x14ac:dyDescent="0.25">
      <c r="J2" s="33">
        <v>543.03708177844862</v>
      </c>
      <c r="K2" s="92" t="s">
        <v>242</v>
      </c>
    </row>
    <row r="3" spans="3:11" ht="15" x14ac:dyDescent="0.25">
      <c r="J3" s="32">
        <v>841.21272918520924</v>
      </c>
      <c r="K3" s="92" t="s">
        <v>243</v>
      </c>
    </row>
    <row r="4" spans="3:11" x14ac:dyDescent="0.2">
      <c r="C4" s="96" t="s">
        <v>241</v>
      </c>
      <c r="D4" s="92" t="s">
        <v>253</v>
      </c>
      <c r="G4" s="94"/>
    </row>
    <row r="5" spans="3:11" x14ac:dyDescent="0.2">
      <c r="J5" s="95">
        <f>J3-J2</f>
        <v>298.17564740676062</v>
      </c>
      <c r="K5" s="92" t="s">
        <v>244</v>
      </c>
    </row>
    <row r="6" spans="3:11" x14ac:dyDescent="0.2">
      <c r="C6" s="92" t="s">
        <v>245</v>
      </c>
      <c r="D6" s="92" t="s">
        <v>247</v>
      </c>
      <c r="E6" s="92" t="s">
        <v>246</v>
      </c>
      <c r="F6" s="92" t="s">
        <v>248</v>
      </c>
    </row>
    <row r="7" spans="3:11" ht="15" x14ac:dyDescent="0.25">
      <c r="C7" s="34" t="s">
        <v>103</v>
      </c>
      <c r="E7" s="97"/>
      <c r="F7" s="95"/>
      <c r="G7" s="93"/>
    </row>
    <row r="8" spans="3:11" ht="15" x14ac:dyDescent="0.25">
      <c r="C8" s="34" t="s">
        <v>100</v>
      </c>
      <c r="E8" s="97"/>
      <c r="F8" s="95"/>
    </row>
    <row r="9" spans="3:11" ht="15" x14ac:dyDescent="0.25">
      <c r="C9" s="34" t="s">
        <v>97</v>
      </c>
      <c r="E9" s="97"/>
      <c r="F9" s="95"/>
      <c r="G9" s="93"/>
    </row>
    <row r="10" spans="3:11" ht="15" x14ac:dyDescent="0.25">
      <c r="C10" s="34" t="s">
        <v>94</v>
      </c>
      <c r="E10" s="97"/>
      <c r="F10" s="95"/>
    </row>
    <row r="11" spans="3:11" ht="15" x14ac:dyDescent="0.25">
      <c r="C11" s="100" t="s">
        <v>91</v>
      </c>
      <c r="D11" s="101">
        <f>A34</f>
        <v>10</v>
      </c>
      <c r="E11" s="102">
        <v>1985</v>
      </c>
      <c r="F11" s="103">
        <f>-PMT($E$1,$D11,$E11)</f>
        <v>298.49763792475858</v>
      </c>
      <c r="H11" s="92" t="s">
        <v>252</v>
      </c>
    </row>
    <row r="12" spans="3:11" ht="15" x14ac:dyDescent="0.25">
      <c r="C12" s="34" t="s">
        <v>88</v>
      </c>
      <c r="E12" s="97"/>
      <c r="F12" s="95"/>
      <c r="G12" s="95"/>
    </row>
    <row r="13" spans="3:11" ht="15" x14ac:dyDescent="0.25">
      <c r="C13" s="34" t="s">
        <v>85</v>
      </c>
      <c r="E13" s="97"/>
      <c r="F13" s="95"/>
    </row>
    <row r="14" spans="3:11" ht="15" x14ac:dyDescent="0.25">
      <c r="C14" s="34" t="s">
        <v>82</v>
      </c>
      <c r="F14" s="95"/>
    </row>
    <row r="15" spans="3:11" ht="15" x14ac:dyDescent="0.25">
      <c r="C15" s="34" t="s">
        <v>79</v>
      </c>
      <c r="F15" s="95"/>
    </row>
    <row r="16" spans="3:11" ht="15" x14ac:dyDescent="0.25">
      <c r="C16" s="34" t="s">
        <v>74</v>
      </c>
      <c r="F16" s="95"/>
    </row>
    <row r="17" spans="1:35" ht="15" x14ac:dyDescent="0.25">
      <c r="C17" s="34" t="s">
        <v>74</v>
      </c>
      <c r="F17" s="95"/>
    </row>
    <row r="18" spans="1:35" ht="15" x14ac:dyDescent="0.25">
      <c r="C18" s="34" t="s">
        <v>71</v>
      </c>
      <c r="F18" s="95"/>
    </row>
    <row r="19" spans="1:35" ht="15" x14ac:dyDescent="0.25">
      <c r="C19" s="34" t="s">
        <v>68</v>
      </c>
      <c r="F19" s="95"/>
    </row>
    <row r="20" spans="1:35" ht="15" x14ac:dyDescent="0.25">
      <c r="C20" s="34" t="s">
        <v>65</v>
      </c>
      <c r="F20" s="95"/>
    </row>
    <row r="22" spans="1:35" x14ac:dyDescent="0.2">
      <c r="D22" s="93"/>
      <c r="E22" s="97"/>
      <c r="F22" s="97"/>
    </row>
    <row r="23" spans="1:35" x14ac:dyDescent="0.2">
      <c r="G23" s="97"/>
    </row>
    <row r="24" spans="1:35" x14ac:dyDescent="0.2">
      <c r="D24" s="93"/>
      <c r="E24" s="97"/>
      <c r="F24" s="97"/>
      <c r="G24" s="97"/>
    </row>
    <row r="25" spans="1:35" x14ac:dyDescent="0.2">
      <c r="D25" s="93"/>
      <c r="E25" s="97"/>
      <c r="F25" s="97"/>
      <c r="G25" s="97"/>
    </row>
    <row r="26" spans="1:35" x14ac:dyDescent="0.2">
      <c r="C26" s="92" t="s">
        <v>250</v>
      </c>
      <c r="D26" s="93"/>
      <c r="E26" s="97"/>
      <c r="F26" s="97"/>
      <c r="G26" s="97"/>
    </row>
    <row r="27" spans="1:35" x14ac:dyDescent="0.2">
      <c r="D27" s="93"/>
      <c r="E27" s="97"/>
      <c r="F27" s="97"/>
      <c r="G27" s="97"/>
    </row>
    <row r="28" spans="1:35" x14ac:dyDescent="0.2">
      <c r="A28" s="92" t="s">
        <v>251</v>
      </c>
      <c r="D28" s="93"/>
      <c r="E28" s="97"/>
      <c r="F28" s="97"/>
      <c r="G28" s="97"/>
    </row>
    <row r="29" spans="1:35" x14ac:dyDescent="0.2">
      <c r="C29" s="92" t="s">
        <v>249</v>
      </c>
      <c r="D29" s="96">
        <v>2019</v>
      </c>
      <c r="E29" s="98">
        <v>2020</v>
      </c>
      <c r="F29" s="98">
        <v>2021</v>
      </c>
      <c r="G29" s="98">
        <v>2022</v>
      </c>
      <c r="H29" s="96">
        <v>2023</v>
      </c>
      <c r="I29" s="96">
        <v>2024</v>
      </c>
      <c r="J29" s="96">
        <v>2025</v>
      </c>
      <c r="K29" s="96">
        <v>2026</v>
      </c>
      <c r="L29" s="96">
        <v>2027</v>
      </c>
      <c r="M29" s="96">
        <v>2028</v>
      </c>
      <c r="N29" s="96">
        <v>2029</v>
      </c>
      <c r="O29" s="96">
        <v>2030</v>
      </c>
      <c r="P29" s="96">
        <v>2031</v>
      </c>
      <c r="Q29" s="96">
        <v>2032</v>
      </c>
      <c r="R29" s="96">
        <v>2033</v>
      </c>
      <c r="S29" s="96">
        <v>2034</v>
      </c>
      <c r="T29" s="96">
        <v>2035</v>
      </c>
      <c r="U29" s="96">
        <v>2036</v>
      </c>
      <c r="V29" s="96">
        <v>2037</v>
      </c>
      <c r="W29" s="96">
        <v>2038</v>
      </c>
      <c r="X29" s="96">
        <v>2039</v>
      </c>
      <c r="Y29" s="96">
        <v>2040</v>
      </c>
      <c r="Z29" s="96">
        <v>2041</v>
      </c>
      <c r="AA29" s="96">
        <v>2042</v>
      </c>
      <c r="AB29" s="96">
        <v>2043</v>
      </c>
      <c r="AC29" s="96">
        <v>2044</v>
      </c>
      <c r="AD29" s="96">
        <v>2045</v>
      </c>
      <c r="AE29" s="96">
        <v>2046</v>
      </c>
      <c r="AF29" s="96">
        <v>2047</v>
      </c>
      <c r="AG29" s="96">
        <v>2048</v>
      </c>
      <c r="AH29" s="96">
        <v>2049</v>
      </c>
      <c r="AI29" s="96">
        <v>2050</v>
      </c>
    </row>
    <row r="30" spans="1:35" x14ac:dyDescent="0.2">
      <c r="A30" s="92">
        <f>COUNT($I$29:$AI$29)-COUNTIF(I30:AI30,0)</f>
        <v>2</v>
      </c>
      <c r="C30" s="92" t="s">
        <v>103</v>
      </c>
      <c r="D30" s="92">
        <v>1.4810000000000001</v>
      </c>
      <c r="E30" s="97">
        <v>1.4810000000000001</v>
      </c>
      <c r="F30" s="97">
        <v>1.4810000000000001</v>
      </c>
      <c r="G30" s="97">
        <v>1.4810000000000001</v>
      </c>
      <c r="H30" s="92">
        <v>1.4810000000000001</v>
      </c>
      <c r="I30" s="92">
        <v>1.0578571428571428</v>
      </c>
      <c r="J30" s="92">
        <v>0.63471428571428568</v>
      </c>
      <c r="K30" s="92">
        <v>0</v>
      </c>
      <c r="L30" s="92">
        <v>0</v>
      </c>
      <c r="M30" s="92">
        <v>0</v>
      </c>
      <c r="N30" s="92">
        <v>0</v>
      </c>
      <c r="O30" s="92">
        <v>0</v>
      </c>
      <c r="P30" s="92">
        <v>0</v>
      </c>
      <c r="Q30" s="92">
        <v>0</v>
      </c>
      <c r="R30" s="92">
        <v>0</v>
      </c>
      <c r="S30" s="92">
        <v>0</v>
      </c>
      <c r="T30" s="92">
        <v>0</v>
      </c>
      <c r="U30" s="92">
        <v>0</v>
      </c>
      <c r="V30" s="92">
        <v>0</v>
      </c>
      <c r="W30" s="92">
        <v>0</v>
      </c>
      <c r="X30" s="92">
        <v>0</v>
      </c>
      <c r="Y30" s="92">
        <v>0</v>
      </c>
      <c r="Z30" s="92">
        <v>0</v>
      </c>
      <c r="AA30" s="92">
        <v>0</v>
      </c>
      <c r="AB30" s="92">
        <v>0</v>
      </c>
      <c r="AC30" s="92">
        <v>0</v>
      </c>
      <c r="AD30" s="92">
        <v>0</v>
      </c>
      <c r="AE30" s="92">
        <v>0</v>
      </c>
      <c r="AF30" s="92">
        <v>0</v>
      </c>
      <c r="AG30" s="92">
        <v>0</v>
      </c>
      <c r="AH30" s="92">
        <v>0</v>
      </c>
      <c r="AI30" s="92">
        <v>0</v>
      </c>
    </row>
    <row r="31" spans="1:35" x14ac:dyDescent="0.2">
      <c r="A31" s="92">
        <f t="shared" ref="A31:A45" si="0">COUNT($I$29:$AI$29)-COUNTIF(I31:AI31,0)</f>
        <v>4</v>
      </c>
      <c r="C31" s="92" t="s">
        <v>100</v>
      </c>
      <c r="D31" s="92">
        <v>0.56999999999999995</v>
      </c>
      <c r="E31" s="97">
        <v>0.56999999999999995</v>
      </c>
      <c r="F31" s="97">
        <v>0.56999999999999995</v>
      </c>
      <c r="G31" s="97">
        <v>0.56999999999999995</v>
      </c>
      <c r="H31" s="92">
        <v>0.56999999999999995</v>
      </c>
      <c r="I31" s="92">
        <v>0.56999999999999995</v>
      </c>
      <c r="J31" s="92">
        <v>0.56999999999999995</v>
      </c>
      <c r="K31" s="92">
        <v>0.38</v>
      </c>
      <c r="L31" s="92">
        <v>0.19000000000000003</v>
      </c>
      <c r="M31" s="92">
        <v>0</v>
      </c>
      <c r="N31" s="92">
        <v>0</v>
      </c>
      <c r="O31" s="92">
        <v>0</v>
      </c>
      <c r="P31" s="92">
        <v>0</v>
      </c>
      <c r="Q31" s="92">
        <v>0</v>
      </c>
      <c r="R31" s="92">
        <v>0</v>
      </c>
      <c r="S31" s="92">
        <v>0</v>
      </c>
      <c r="T31" s="92">
        <v>0</v>
      </c>
      <c r="U31" s="92">
        <v>0</v>
      </c>
      <c r="V31" s="92">
        <v>0</v>
      </c>
      <c r="W31" s="92">
        <v>0</v>
      </c>
      <c r="X31" s="92">
        <v>0</v>
      </c>
      <c r="Y31" s="92">
        <v>0</v>
      </c>
      <c r="Z31" s="92">
        <v>0</v>
      </c>
      <c r="AA31" s="92">
        <v>0</v>
      </c>
      <c r="AB31" s="92">
        <v>0</v>
      </c>
      <c r="AC31" s="92">
        <v>0</v>
      </c>
      <c r="AD31" s="92">
        <v>0</v>
      </c>
      <c r="AE31" s="92">
        <v>0</v>
      </c>
      <c r="AF31" s="92">
        <v>0</v>
      </c>
      <c r="AG31" s="92">
        <v>0</v>
      </c>
      <c r="AH31" s="92">
        <v>0</v>
      </c>
      <c r="AI31" s="92">
        <v>0</v>
      </c>
    </row>
    <row r="32" spans="1:35" x14ac:dyDescent="0.2">
      <c r="A32" s="92">
        <f t="shared" si="0"/>
        <v>0</v>
      </c>
      <c r="C32" s="92" t="s">
        <v>97</v>
      </c>
      <c r="D32" s="92">
        <v>0.41</v>
      </c>
      <c r="E32" s="95">
        <v>0.20499999999999999</v>
      </c>
      <c r="F32" s="95">
        <v>0.10249999999999999</v>
      </c>
      <c r="G32" s="92">
        <v>0</v>
      </c>
      <c r="H32" s="92">
        <v>0</v>
      </c>
      <c r="I32" s="92">
        <v>0</v>
      </c>
      <c r="J32" s="92">
        <v>0</v>
      </c>
      <c r="K32" s="92">
        <v>0</v>
      </c>
      <c r="L32" s="92">
        <v>0</v>
      </c>
      <c r="M32" s="92">
        <v>0</v>
      </c>
      <c r="N32" s="92">
        <v>0</v>
      </c>
      <c r="O32" s="92">
        <v>0</v>
      </c>
      <c r="P32" s="92">
        <v>0</v>
      </c>
      <c r="Q32" s="92">
        <v>0</v>
      </c>
      <c r="R32" s="92">
        <v>0</v>
      </c>
      <c r="S32" s="92">
        <v>0</v>
      </c>
      <c r="T32" s="92">
        <v>0</v>
      </c>
      <c r="U32" s="92">
        <v>0</v>
      </c>
      <c r="V32" s="92">
        <v>0</v>
      </c>
      <c r="W32" s="92">
        <v>0</v>
      </c>
      <c r="X32" s="92">
        <v>0</v>
      </c>
      <c r="Y32" s="92">
        <v>0</v>
      </c>
      <c r="Z32" s="92">
        <v>0</v>
      </c>
      <c r="AA32" s="92">
        <v>0</v>
      </c>
      <c r="AB32" s="92">
        <v>0</v>
      </c>
      <c r="AC32" s="92">
        <v>0</v>
      </c>
      <c r="AD32" s="92">
        <v>0</v>
      </c>
      <c r="AE32" s="92">
        <v>0</v>
      </c>
      <c r="AF32" s="92">
        <v>0</v>
      </c>
      <c r="AG32" s="92">
        <v>0</v>
      </c>
      <c r="AH32" s="92">
        <v>0</v>
      </c>
      <c r="AI32" s="92">
        <v>0</v>
      </c>
    </row>
    <row r="33" spans="1:35" x14ac:dyDescent="0.2">
      <c r="A33" s="92">
        <f t="shared" si="0"/>
        <v>5</v>
      </c>
      <c r="C33" s="92" t="s">
        <v>94</v>
      </c>
      <c r="D33" s="92">
        <v>2.2320000000000002</v>
      </c>
      <c r="E33" s="95">
        <v>2.2320000000000002</v>
      </c>
      <c r="F33" s="95">
        <v>2.2320000000000002</v>
      </c>
      <c r="G33" s="92">
        <v>2.2320000000000002</v>
      </c>
      <c r="H33" s="92">
        <v>2.2320000000000002</v>
      </c>
      <c r="I33" s="92">
        <v>2.2320000000000002</v>
      </c>
      <c r="J33" s="92">
        <v>2.2320000000000002</v>
      </c>
      <c r="K33" s="92">
        <v>1.488</v>
      </c>
      <c r="L33" s="92">
        <v>0.74399999999999988</v>
      </c>
      <c r="M33" s="92">
        <v>0.74399999999999988</v>
      </c>
      <c r="N33" s="92">
        <v>0</v>
      </c>
      <c r="O33" s="92">
        <v>0</v>
      </c>
      <c r="P33" s="92">
        <v>0</v>
      </c>
      <c r="Q33" s="92">
        <v>0</v>
      </c>
      <c r="R33" s="92">
        <v>0</v>
      </c>
      <c r="S33" s="92">
        <v>0</v>
      </c>
      <c r="T33" s="92">
        <v>0</v>
      </c>
      <c r="U33" s="92">
        <v>0</v>
      </c>
      <c r="V33" s="92">
        <v>0</v>
      </c>
      <c r="W33" s="92">
        <v>0</v>
      </c>
      <c r="X33" s="92">
        <v>0</v>
      </c>
      <c r="Y33" s="92">
        <v>0</v>
      </c>
      <c r="Z33" s="92">
        <v>0</v>
      </c>
      <c r="AA33" s="92">
        <v>0</v>
      </c>
      <c r="AB33" s="92">
        <v>0</v>
      </c>
      <c r="AC33" s="92">
        <v>0</v>
      </c>
      <c r="AD33" s="92">
        <v>0</v>
      </c>
      <c r="AE33" s="92">
        <v>0</v>
      </c>
      <c r="AF33" s="92">
        <v>0</v>
      </c>
      <c r="AG33" s="92">
        <v>0</v>
      </c>
      <c r="AH33" s="92">
        <v>0</v>
      </c>
      <c r="AI33" s="92">
        <v>0</v>
      </c>
    </row>
    <row r="34" spans="1:35" x14ac:dyDescent="0.2">
      <c r="A34" s="92">
        <f t="shared" si="0"/>
        <v>10</v>
      </c>
      <c r="C34" s="92" t="s">
        <v>91</v>
      </c>
      <c r="D34" s="92">
        <v>2.875</v>
      </c>
      <c r="E34" s="92">
        <v>2.875</v>
      </c>
      <c r="F34" s="92">
        <v>2.875</v>
      </c>
      <c r="G34" s="92">
        <v>2.875</v>
      </c>
      <c r="H34" s="92">
        <v>2.875</v>
      </c>
      <c r="I34" s="92">
        <v>2.875</v>
      </c>
      <c r="J34" s="92">
        <v>2.875</v>
      </c>
      <c r="K34" s="92">
        <v>2.875</v>
      </c>
      <c r="L34" s="92">
        <v>2.875</v>
      </c>
      <c r="M34" s="92">
        <v>2.875</v>
      </c>
      <c r="N34" s="92">
        <v>2.875</v>
      </c>
      <c r="O34" s="92">
        <v>2.875</v>
      </c>
      <c r="P34" s="92">
        <v>1.7250000000000001</v>
      </c>
      <c r="Q34" s="92">
        <v>1.7250000000000001</v>
      </c>
      <c r="R34" s="92">
        <v>0.57500000000000018</v>
      </c>
      <c r="S34" s="92">
        <v>0</v>
      </c>
      <c r="T34" s="92">
        <v>0</v>
      </c>
      <c r="U34" s="92">
        <v>0</v>
      </c>
      <c r="V34" s="92">
        <v>0</v>
      </c>
      <c r="W34" s="92">
        <v>0</v>
      </c>
      <c r="X34" s="92">
        <v>0</v>
      </c>
      <c r="Y34" s="92">
        <v>0</v>
      </c>
      <c r="Z34" s="92">
        <v>0</v>
      </c>
      <c r="AA34" s="92">
        <v>0</v>
      </c>
      <c r="AB34" s="92">
        <v>0</v>
      </c>
      <c r="AC34" s="92">
        <v>0</v>
      </c>
      <c r="AD34" s="92">
        <v>0</v>
      </c>
      <c r="AE34" s="92">
        <v>0</v>
      </c>
      <c r="AF34" s="92">
        <v>0</v>
      </c>
      <c r="AG34" s="92">
        <v>0</v>
      </c>
      <c r="AH34" s="92">
        <v>0</v>
      </c>
      <c r="AI34" s="92">
        <v>0</v>
      </c>
    </row>
    <row r="35" spans="1:35" x14ac:dyDescent="0.2">
      <c r="A35" s="92">
        <f t="shared" si="0"/>
        <v>1</v>
      </c>
      <c r="C35" s="92" t="s">
        <v>88</v>
      </c>
      <c r="D35" s="92">
        <v>1.2929999999999999</v>
      </c>
      <c r="E35" s="92">
        <v>1.2929999999999999</v>
      </c>
      <c r="F35" s="92">
        <v>1.1082857142857143</v>
      </c>
      <c r="G35" s="92">
        <v>1.1082857142857143</v>
      </c>
      <c r="H35" s="92">
        <v>0.9235714285714286</v>
      </c>
      <c r="I35" s="92">
        <v>0.73885714285714288</v>
      </c>
      <c r="J35" s="92">
        <v>0</v>
      </c>
      <c r="K35" s="92">
        <v>0</v>
      </c>
      <c r="L35" s="92">
        <v>0</v>
      </c>
      <c r="M35" s="92">
        <v>0</v>
      </c>
      <c r="N35" s="92">
        <v>0</v>
      </c>
      <c r="O35" s="92">
        <v>0</v>
      </c>
      <c r="P35" s="92">
        <v>0</v>
      </c>
      <c r="Q35" s="92">
        <v>0</v>
      </c>
      <c r="R35" s="92">
        <v>0</v>
      </c>
      <c r="S35" s="92">
        <v>0</v>
      </c>
      <c r="T35" s="92">
        <v>0</v>
      </c>
      <c r="U35" s="92">
        <v>0</v>
      </c>
      <c r="V35" s="92">
        <v>0</v>
      </c>
      <c r="W35" s="92">
        <v>0</v>
      </c>
      <c r="X35" s="92">
        <v>0</v>
      </c>
      <c r="Y35" s="92">
        <v>0</v>
      </c>
      <c r="Z35" s="92">
        <v>0</v>
      </c>
      <c r="AA35" s="92">
        <v>0</v>
      </c>
      <c r="AB35" s="92">
        <v>0</v>
      </c>
      <c r="AC35" s="92">
        <v>0</v>
      </c>
      <c r="AD35" s="92">
        <v>0</v>
      </c>
      <c r="AE35" s="92">
        <v>0</v>
      </c>
      <c r="AF35" s="92">
        <v>0</v>
      </c>
      <c r="AG35" s="92">
        <v>0</v>
      </c>
      <c r="AH35" s="92">
        <v>0</v>
      </c>
      <c r="AI35" s="92">
        <v>0</v>
      </c>
    </row>
    <row r="36" spans="1:35" x14ac:dyDescent="0.2">
      <c r="A36" s="92">
        <f t="shared" si="0"/>
        <v>20</v>
      </c>
      <c r="C36" s="92" t="s">
        <v>85</v>
      </c>
      <c r="D36" s="92">
        <v>3.84</v>
      </c>
      <c r="E36" s="92">
        <v>3.84</v>
      </c>
      <c r="F36" s="97">
        <v>3.84</v>
      </c>
      <c r="G36" s="97">
        <v>3.84</v>
      </c>
      <c r="H36" s="97">
        <v>3.84</v>
      </c>
      <c r="I36" s="92">
        <v>3.84</v>
      </c>
      <c r="J36" s="92">
        <v>3.84</v>
      </c>
      <c r="K36" s="92">
        <v>3.84</v>
      </c>
      <c r="L36" s="92">
        <v>3.84</v>
      </c>
      <c r="M36" s="92">
        <v>3.84</v>
      </c>
      <c r="N36" s="92">
        <v>3.84</v>
      </c>
      <c r="O36" s="92">
        <v>3.84</v>
      </c>
      <c r="P36" s="92">
        <v>3.84</v>
      </c>
      <c r="Q36" s="92">
        <v>3.84</v>
      </c>
      <c r="R36" s="92">
        <v>3.84</v>
      </c>
      <c r="S36" s="92">
        <v>3.84</v>
      </c>
      <c r="T36" s="92">
        <v>3.84</v>
      </c>
      <c r="U36" s="92">
        <v>3.84</v>
      </c>
      <c r="V36" s="92">
        <v>3.84</v>
      </c>
      <c r="W36" s="92">
        <v>3.84</v>
      </c>
      <c r="X36" s="92">
        <v>3.1999999999999997</v>
      </c>
      <c r="Y36" s="92">
        <v>3.1999999999999997</v>
      </c>
      <c r="Z36" s="92">
        <v>2.5599999999999996</v>
      </c>
      <c r="AA36" s="92">
        <v>1.2799999999999996</v>
      </c>
      <c r="AB36" s="92">
        <v>0.63999999999999957</v>
      </c>
      <c r="AC36" s="92">
        <v>0</v>
      </c>
      <c r="AD36" s="92">
        <v>0</v>
      </c>
      <c r="AE36" s="92">
        <v>0</v>
      </c>
      <c r="AF36" s="92">
        <v>0</v>
      </c>
      <c r="AG36" s="92">
        <v>0</v>
      </c>
      <c r="AH36" s="92">
        <v>0</v>
      </c>
      <c r="AI36" s="92">
        <v>0</v>
      </c>
    </row>
    <row r="37" spans="1:35" x14ac:dyDescent="0.2">
      <c r="A37" s="92">
        <f t="shared" si="0"/>
        <v>6</v>
      </c>
      <c r="C37" s="92" t="s">
        <v>82</v>
      </c>
      <c r="D37" s="92">
        <v>2.85</v>
      </c>
      <c r="E37" s="92">
        <v>2.85</v>
      </c>
      <c r="F37" s="97">
        <v>2.85</v>
      </c>
      <c r="G37" s="97">
        <v>2.85</v>
      </c>
      <c r="H37" s="92">
        <v>2.85</v>
      </c>
      <c r="I37" s="92">
        <v>2.85</v>
      </c>
      <c r="J37" s="92">
        <v>2.85</v>
      </c>
      <c r="K37" s="92">
        <v>2.375</v>
      </c>
      <c r="L37" s="92">
        <v>1.9</v>
      </c>
      <c r="M37" s="92">
        <v>1.4249999999999998</v>
      </c>
      <c r="N37" s="92">
        <v>0.47499999999999976</v>
      </c>
      <c r="O37" s="92">
        <v>0</v>
      </c>
      <c r="P37" s="92">
        <v>0</v>
      </c>
      <c r="Q37" s="92">
        <v>0</v>
      </c>
      <c r="R37" s="92">
        <v>0</v>
      </c>
      <c r="S37" s="92">
        <v>0</v>
      </c>
      <c r="T37" s="92">
        <v>0</v>
      </c>
      <c r="U37" s="92">
        <v>0</v>
      </c>
      <c r="V37" s="92">
        <v>0</v>
      </c>
      <c r="W37" s="92">
        <v>0</v>
      </c>
      <c r="X37" s="92">
        <v>0</v>
      </c>
      <c r="Y37" s="92">
        <v>0</v>
      </c>
      <c r="Z37" s="92">
        <v>0</v>
      </c>
      <c r="AA37" s="92">
        <v>0</v>
      </c>
      <c r="AB37" s="92">
        <v>0</v>
      </c>
      <c r="AC37" s="92">
        <v>0</v>
      </c>
      <c r="AD37" s="92">
        <v>0</v>
      </c>
      <c r="AE37" s="92">
        <v>0</v>
      </c>
      <c r="AF37" s="92">
        <v>0</v>
      </c>
      <c r="AG37" s="92">
        <v>0</v>
      </c>
      <c r="AH37" s="92">
        <v>0</v>
      </c>
      <c r="AI37" s="92">
        <v>0</v>
      </c>
    </row>
    <row r="38" spans="1:35" x14ac:dyDescent="0.2">
      <c r="A38" s="92">
        <f t="shared" si="0"/>
        <v>17</v>
      </c>
      <c r="C38" s="92" t="s">
        <v>79</v>
      </c>
      <c r="D38" s="92">
        <v>3.5579999999999998</v>
      </c>
      <c r="E38" s="92">
        <v>3.5579999999999998</v>
      </c>
      <c r="F38" s="97">
        <v>3.5579999999999998</v>
      </c>
      <c r="G38" s="97">
        <v>3.5579999999999998</v>
      </c>
      <c r="H38" s="92">
        <v>3.5579999999999998</v>
      </c>
      <c r="I38" s="92">
        <v>3.5579999999999998</v>
      </c>
      <c r="J38" s="92">
        <v>3.5579999999999998</v>
      </c>
      <c r="K38" s="92">
        <v>3.5579999999999998</v>
      </c>
      <c r="L38" s="92">
        <v>3.5579999999999998</v>
      </c>
      <c r="M38" s="92">
        <v>3.5579999999999998</v>
      </c>
      <c r="N38" s="92">
        <v>3.5579999999999998</v>
      </c>
      <c r="O38" s="92">
        <v>3.5579999999999998</v>
      </c>
      <c r="P38" s="92">
        <v>3.5579999999999998</v>
      </c>
      <c r="Q38" s="92">
        <v>3.5579999999999998</v>
      </c>
      <c r="R38" s="92">
        <v>3.5579999999999998</v>
      </c>
      <c r="S38" s="92">
        <v>3.5579999999999998</v>
      </c>
      <c r="T38" s="92">
        <v>3.5579999999999998</v>
      </c>
      <c r="U38" s="92">
        <v>2.9649999999999999</v>
      </c>
      <c r="V38" s="92">
        <v>1.7789999999999999</v>
      </c>
      <c r="W38" s="92">
        <v>1.1859999999999999</v>
      </c>
      <c r="X38" s="92">
        <v>1.1859999999999999</v>
      </c>
      <c r="Y38" s="92">
        <v>0.59299999999999997</v>
      </c>
      <c r="Z38" s="92">
        <v>0</v>
      </c>
      <c r="AA38" s="92">
        <v>0</v>
      </c>
      <c r="AB38" s="92">
        <v>0</v>
      </c>
      <c r="AC38" s="92">
        <v>0</v>
      </c>
      <c r="AD38" s="92">
        <v>0</v>
      </c>
      <c r="AE38" s="92">
        <v>0</v>
      </c>
      <c r="AF38" s="92">
        <v>0</v>
      </c>
      <c r="AG38" s="92">
        <v>0</v>
      </c>
      <c r="AH38" s="92">
        <v>0</v>
      </c>
      <c r="AI38" s="92">
        <v>0</v>
      </c>
    </row>
    <row r="39" spans="1:35" x14ac:dyDescent="0.2">
      <c r="A39" s="92">
        <f t="shared" si="0"/>
        <v>24</v>
      </c>
      <c r="C39" s="92" t="s">
        <v>74</v>
      </c>
      <c r="D39" s="92">
        <v>1.8330000000000002</v>
      </c>
      <c r="E39" s="92">
        <v>1.8330000000000002</v>
      </c>
      <c r="F39" s="97">
        <v>1.8330000000000002</v>
      </c>
      <c r="G39" s="97">
        <v>1.8330000000000002</v>
      </c>
      <c r="H39" s="92">
        <v>1.8330000000000002</v>
      </c>
      <c r="I39" s="92">
        <v>1.8330000000000002</v>
      </c>
      <c r="J39" s="92">
        <v>1.8330000000000002</v>
      </c>
      <c r="K39" s="92">
        <v>1.8330000000000002</v>
      </c>
      <c r="L39" s="92">
        <v>1.8330000000000002</v>
      </c>
      <c r="M39" s="92">
        <v>1.8330000000000002</v>
      </c>
      <c r="N39" s="92">
        <v>1.8330000000000002</v>
      </c>
      <c r="O39" s="92">
        <v>1.8330000000000002</v>
      </c>
      <c r="P39" s="92">
        <v>1.8330000000000002</v>
      </c>
      <c r="Q39" s="92">
        <v>1.8330000000000002</v>
      </c>
      <c r="R39" s="92">
        <v>1.8330000000000002</v>
      </c>
      <c r="S39" s="92">
        <v>1.8330000000000002</v>
      </c>
      <c r="T39" s="92">
        <v>1.8330000000000002</v>
      </c>
      <c r="U39" s="92">
        <v>1.8330000000000002</v>
      </c>
      <c r="V39" s="92">
        <v>1.8330000000000002</v>
      </c>
      <c r="W39" s="92">
        <v>1.8330000000000002</v>
      </c>
      <c r="X39" s="92">
        <v>1.8330000000000002</v>
      </c>
      <c r="Y39" s="92">
        <v>1.8330000000000002</v>
      </c>
      <c r="Z39" s="92">
        <v>1.8330000000000002</v>
      </c>
      <c r="AA39" s="92">
        <v>1.8330000000000002</v>
      </c>
      <c r="AB39" s="92">
        <v>1.8330000000000002</v>
      </c>
      <c r="AC39" s="92">
        <v>1.8330000000000002</v>
      </c>
      <c r="AD39" s="92">
        <v>1.8330000000000002</v>
      </c>
      <c r="AE39" s="92">
        <v>1.222</v>
      </c>
      <c r="AF39" s="92">
        <v>0.61099999999999988</v>
      </c>
      <c r="AG39" s="92">
        <v>0</v>
      </c>
      <c r="AH39" s="92">
        <v>0</v>
      </c>
      <c r="AI39" s="92">
        <v>0</v>
      </c>
    </row>
    <row r="40" spans="1:35" x14ac:dyDescent="0.2">
      <c r="A40" s="92">
        <f t="shared" si="0"/>
        <v>27</v>
      </c>
      <c r="D40" s="92">
        <v>2.0099999999999998</v>
      </c>
      <c r="E40" s="92">
        <v>2.0099999999999998</v>
      </c>
      <c r="F40" s="97">
        <v>2.0099999999999998</v>
      </c>
      <c r="G40" s="97">
        <v>2.0099999999999998</v>
      </c>
      <c r="H40" s="92">
        <v>2.0099999999999998</v>
      </c>
      <c r="I40" s="92">
        <v>2.0099999999999998</v>
      </c>
      <c r="J40" s="92">
        <v>2.0099999999999998</v>
      </c>
      <c r="K40" s="92">
        <v>2.0099999999999998</v>
      </c>
      <c r="L40" s="92">
        <v>2.0099999999999998</v>
      </c>
      <c r="M40" s="92">
        <v>2.0099999999999998</v>
      </c>
      <c r="N40" s="92">
        <v>2.0099999999999998</v>
      </c>
      <c r="O40" s="92">
        <v>2.0099999999999998</v>
      </c>
      <c r="P40" s="92">
        <v>2.0099999999999998</v>
      </c>
      <c r="Q40" s="92">
        <v>2.0099999999999998</v>
      </c>
      <c r="R40" s="92">
        <v>2.0099999999999998</v>
      </c>
      <c r="S40" s="92">
        <v>2.0099999999999998</v>
      </c>
      <c r="T40" s="92">
        <v>2.0099999999999998</v>
      </c>
      <c r="U40" s="92">
        <v>2.0099999999999998</v>
      </c>
      <c r="V40" s="92">
        <v>2.0099999999999998</v>
      </c>
      <c r="W40" s="92">
        <v>2.0099999999999998</v>
      </c>
      <c r="X40" s="92">
        <v>2.0099999999999998</v>
      </c>
      <c r="Y40" s="92">
        <v>2.0099999999999998</v>
      </c>
      <c r="Z40" s="92">
        <v>2.0099999999999998</v>
      </c>
      <c r="AA40" s="92">
        <v>2.0099999999999998</v>
      </c>
      <c r="AB40" s="92">
        <v>2.0099999999999998</v>
      </c>
      <c r="AC40" s="92">
        <v>2.0099999999999998</v>
      </c>
      <c r="AD40" s="92">
        <v>2.0099999999999998</v>
      </c>
      <c r="AE40" s="92">
        <v>2.0099999999999998</v>
      </c>
      <c r="AF40" s="92">
        <v>2.0099999999999998</v>
      </c>
      <c r="AG40" s="92">
        <v>2.0099999999999998</v>
      </c>
      <c r="AH40" s="92">
        <v>1.3399999999999999</v>
      </c>
      <c r="AI40" s="92">
        <v>0.66999999999999993</v>
      </c>
    </row>
    <row r="41" spans="1:35" x14ac:dyDescent="0.2">
      <c r="A41" s="92">
        <f t="shared" si="0"/>
        <v>18</v>
      </c>
      <c r="C41" s="92" t="s">
        <v>71</v>
      </c>
      <c r="D41" s="92">
        <v>3.69</v>
      </c>
      <c r="E41" s="95">
        <v>3.69</v>
      </c>
      <c r="F41" s="97">
        <v>3.69</v>
      </c>
      <c r="G41" s="97">
        <v>3.69</v>
      </c>
      <c r="H41" s="92">
        <v>3.69</v>
      </c>
      <c r="I41" s="92">
        <v>3.69</v>
      </c>
      <c r="J41" s="92">
        <v>3.69</v>
      </c>
      <c r="K41" s="92">
        <v>3.69</v>
      </c>
      <c r="L41" s="92">
        <v>3.69</v>
      </c>
      <c r="M41" s="92">
        <v>3.69</v>
      </c>
      <c r="N41" s="92">
        <v>3.69</v>
      </c>
      <c r="O41" s="92">
        <v>3.69</v>
      </c>
      <c r="P41" s="92">
        <v>3.69</v>
      </c>
      <c r="Q41" s="92">
        <v>3.69</v>
      </c>
      <c r="R41" s="92">
        <v>3.69</v>
      </c>
      <c r="S41" s="92">
        <v>3.69</v>
      </c>
      <c r="T41" s="92">
        <v>3.69</v>
      </c>
      <c r="U41" s="92">
        <v>3.69</v>
      </c>
      <c r="V41" s="92">
        <v>3.69</v>
      </c>
      <c r="W41" s="92">
        <v>2.46</v>
      </c>
      <c r="X41" s="92">
        <v>1.845</v>
      </c>
      <c r="Y41" s="92">
        <v>1.23</v>
      </c>
      <c r="Z41" s="92">
        <v>0.61499999999999999</v>
      </c>
      <c r="AA41" s="92">
        <v>0</v>
      </c>
      <c r="AB41" s="92">
        <v>0</v>
      </c>
      <c r="AC41" s="92">
        <v>0</v>
      </c>
      <c r="AD41" s="92">
        <v>0</v>
      </c>
      <c r="AE41" s="92">
        <v>0</v>
      </c>
      <c r="AF41" s="92">
        <v>0</v>
      </c>
      <c r="AG41" s="92">
        <v>0</v>
      </c>
      <c r="AH41" s="92">
        <v>0</v>
      </c>
      <c r="AI41" s="92">
        <v>0</v>
      </c>
    </row>
    <row r="42" spans="1:35" x14ac:dyDescent="0.2">
      <c r="A42" s="92">
        <f t="shared" si="0"/>
        <v>10</v>
      </c>
      <c r="C42" s="92" t="s">
        <v>68</v>
      </c>
      <c r="D42" s="92">
        <v>3.45</v>
      </c>
      <c r="E42" s="95">
        <v>3.45</v>
      </c>
      <c r="F42" s="97">
        <v>3.45</v>
      </c>
      <c r="G42" s="97">
        <v>3.45</v>
      </c>
      <c r="H42" s="92">
        <v>3.45</v>
      </c>
      <c r="I42" s="92">
        <v>3.45</v>
      </c>
      <c r="J42" s="92">
        <v>3.45</v>
      </c>
      <c r="K42" s="92">
        <v>3.45</v>
      </c>
      <c r="L42" s="92">
        <v>3.45</v>
      </c>
      <c r="M42" s="92">
        <v>3.45</v>
      </c>
      <c r="N42" s="92">
        <v>3.45</v>
      </c>
      <c r="O42" s="92">
        <v>2.875</v>
      </c>
      <c r="P42" s="92">
        <v>1.7249999999999999</v>
      </c>
      <c r="Q42" s="92">
        <v>1.1499999999999999</v>
      </c>
      <c r="R42" s="92">
        <v>0.57499999999999984</v>
      </c>
      <c r="S42" s="92">
        <v>0</v>
      </c>
      <c r="T42" s="92">
        <v>0</v>
      </c>
      <c r="U42" s="92">
        <v>0</v>
      </c>
      <c r="V42" s="92">
        <v>0</v>
      </c>
      <c r="W42" s="92">
        <v>0</v>
      </c>
      <c r="X42" s="92">
        <v>0</v>
      </c>
      <c r="Y42" s="92">
        <v>0</v>
      </c>
      <c r="Z42" s="92">
        <v>0</v>
      </c>
      <c r="AA42" s="92">
        <v>0</v>
      </c>
      <c r="AB42" s="92">
        <v>0</v>
      </c>
      <c r="AC42" s="92">
        <v>0</v>
      </c>
      <c r="AD42" s="92">
        <v>0</v>
      </c>
      <c r="AE42" s="92">
        <v>0</v>
      </c>
      <c r="AF42" s="92">
        <v>0</v>
      </c>
      <c r="AG42" s="92">
        <v>0</v>
      </c>
      <c r="AH42" s="92">
        <v>0</v>
      </c>
      <c r="AI42" s="92">
        <v>0</v>
      </c>
    </row>
    <row r="43" spans="1:35" x14ac:dyDescent="0.2">
      <c r="A43" s="92">
        <f t="shared" si="0"/>
        <v>6</v>
      </c>
      <c r="C43" s="92" t="s">
        <v>65</v>
      </c>
      <c r="D43" s="92">
        <v>3.51</v>
      </c>
      <c r="E43" s="95">
        <v>3.51</v>
      </c>
      <c r="F43" s="97">
        <v>3.51</v>
      </c>
      <c r="G43" s="97">
        <v>3.51</v>
      </c>
      <c r="H43" s="92">
        <v>3.51</v>
      </c>
      <c r="I43" s="92">
        <v>3.51</v>
      </c>
      <c r="J43" s="92">
        <v>3.51</v>
      </c>
      <c r="K43" s="92">
        <v>3.51</v>
      </c>
      <c r="L43" s="92">
        <v>3.51</v>
      </c>
      <c r="M43" s="92">
        <v>3.51</v>
      </c>
      <c r="N43" s="92">
        <v>3.51</v>
      </c>
      <c r="O43" s="92">
        <v>0</v>
      </c>
      <c r="P43" s="92">
        <v>0</v>
      </c>
      <c r="Q43" s="92">
        <v>0</v>
      </c>
      <c r="R43" s="92">
        <v>0</v>
      </c>
      <c r="S43" s="92">
        <v>0</v>
      </c>
      <c r="T43" s="92">
        <v>0</v>
      </c>
      <c r="U43" s="92">
        <v>0</v>
      </c>
      <c r="V43" s="92">
        <v>0</v>
      </c>
      <c r="W43" s="92">
        <v>0</v>
      </c>
      <c r="X43" s="92">
        <v>0</v>
      </c>
      <c r="Y43" s="92">
        <v>0</v>
      </c>
      <c r="Z43" s="92">
        <v>0</v>
      </c>
      <c r="AA43" s="92">
        <v>0</v>
      </c>
      <c r="AB43" s="92">
        <v>0</v>
      </c>
      <c r="AC43" s="92">
        <v>0</v>
      </c>
      <c r="AD43" s="92">
        <v>0</v>
      </c>
      <c r="AE43" s="92">
        <v>0</v>
      </c>
      <c r="AF43" s="92">
        <v>0</v>
      </c>
      <c r="AG43" s="92">
        <v>0</v>
      </c>
      <c r="AH43" s="92">
        <v>0</v>
      </c>
      <c r="AI43" s="92">
        <v>0</v>
      </c>
    </row>
    <row r="44" spans="1:35" x14ac:dyDescent="0.2">
      <c r="A44" s="92">
        <f t="shared" si="0"/>
        <v>27</v>
      </c>
      <c r="C44" s="92" t="s">
        <v>62</v>
      </c>
      <c r="D44" s="92">
        <v>33.601999999999997</v>
      </c>
      <c r="E44" s="95">
        <v>33.396999999999998</v>
      </c>
      <c r="F44" s="97">
        <v>33.109785714285707</v>
      </c>
      <c r="G44" s="97">
        <v>33.007285714285707</v>
      </c>
      <c r="H44" s="92">
        <v>32.822571428571422</v>
      </c>
      <c r="I44" s="92">
        <v>32.21471428571428</v>
      </c>
      <c r="J44" s="92">
        <v>31.052714285714281</v>
      </c>
      <c r="K44" s="92">
        <v>29.009</v>
      </c>
      <c r="L44" s="92">
        <v>27.6</v>
      </c>
      <c r="M44" s="92">
        <v>26.935000000000002</v>
      </c>
      <c r="N44" s="92">
        <v>25.241</v>
      </c>
      <c r="O44" s="92">
        <v>20.681000000000001</v>
      </c>
      <c r="P44" s="92">
        <v>18.381</v>
      </c>
      <c r="Q44" s="92">
        <v>17.805999999999997</v>
      </c>
      <c r="R44" s="92">
        <v>16.081</v>
      </c>
      <c r="S44" s="92">
        <v>14.930999999999999</v>
      </c>
      <c r="T44" s="92">
        <v>14.930999999999999</v>
      </c>
      <c r="U44" s="92">
        <v>14.337999999999999</v>
      </c>
      <c r="V44" s="92">
        <v>13.151999999999999</v>
      </c>
      <c r="W44" s="92">
        <v>11.329000000000001</v>
      </c>
      <c r="X44" s="92">
        <v>10.074</v>
      </c>
      <c r="Y44" s="92">
        <v>8.8659999999999997</v>
      </c>
      <c r="Z44" s="92">
        <v>7.0179999999999998</v>
      </c>
      <c r="AA44" s="92">
        <v>5.1229999999999993</v>
      </c>
      <c r="AB44" s="92">
        <v>4.4829999999999997</v>
      </c>
      <c r="AC44" s="92">
        <v>3.843</v>
      </c>
      <c r="AD44" s="92">
        <v>3.843</v>
      </c>
      <c r="AE44" s="92">
        <v>3.2319999999999998</v>
      </c>
      <c r="AF44" s="92">
        <v>2.6209999999999996</v>
      </c>
      <c r="AG44" s="92">
        <v>2.0099999999999998</v>
      </c>
      <c r="AH44" s="92">
        <v>1.3399999999999999</v>
      </c>
      <c r="AI44" s="92">
        <v>0.66999999999999993</v>
      </c>
    </row>
    <row r="45" spans="1:35" x14ac:dyDescent="0.2">
      <c r="A45" s="92">
        <f t="shared" si="0"/>
        <v>25</v>
      </c>
      <c r="C45" s="92" t="s">
        <v>59</v>
      </c>
      <c r="E45" s="92">
        <v>-0.20499999999999829</v>
      </c>
      <c r="F45" s="92">
        <v>-0.28721428571429186</v>
      </c>
      <c r="G45" s="92">
        <v>-0.10249999999999915</v>
      </c>
      <c r="H45" s="92">
        <v>-0.18471428571428561</v>
      </c>
      <c r="I45" s="92">
        <v>-0.60785714285714221</v>
      </c>
      <c r="J45" s="92">
        <v>-1.161999999999999</v>
      </c>
      <c r="K45" s="92">
        <v>-2.0437142857142803</v>
      </c>
      <c r="L45" s="92">
        <v>-1.4089999999999989</v>
      </c>
      <c r="M45" s="92">
        <v>-0.66499999999999915</v>
      </c>
      <c r="N45" s="92">
        <v>-1.6940000000000026</v>
      </c>
      <c r="O45" s="92">
        <v>-4.5599999999999987</v>
      </c>
      <c r="P45" s="92">
        <v>-2.3000000000000007</v>
      </c>
      <c r="Q45" s="92">
        <v>-0.57500000000000284</v>
      </c>
      <c r="R45" s="92">
        <v>-1.7249999999999979</v>
      </c>
      <c r="S45" s="92">
        <v>-1.1500000000000004</v>
      </c>
      <c r="T45" s="92">
        <v>0</v>
      </c>
      <c r="U45" s="92">
        <v>-0.59299999999999997</v>
      </c>
      <c r="V45" s="92">
        <v>-1.1859999999999999</v>
      </c>
      <c r="W45" s="92">
        <v>-1.8229999999999986</v>
      </c>
      <c r="X45" s="92">
        <v>-1.2550000000000008</v>
      </c>
      <c r="Y45" s="92">
        <v>-1.2080000000000002</v>
      </c>
      <c r="Z45" s="92">
        <v>-1.8479999999999999</v>
      </c>
      <c r="AA45" s="92">
        <v>-1.8950000000000005</v>
      </c>
      <c r="AB45" s="92">
        <v>-0.63999999999999968</v>
      </c>
      <c r="AC45" s="92">
        <v>-0.63999999999999968</v>
      </c>
      <c r="AD45" s="92">
        <v>0</v>
      </c>
      <c r="AE45" s="92">
        <v>-0.61100000000000021</v>
      </c>
      <c r="AF45" s="92">
        <v>-0.61100000000000021</v>
      </c>
      <c r="AG45" s="92">
        <v>-0.61099999999999977</v>
      </c>
      <c r="AH45" s="92">
        <v>-0.66999999999999993</v>
      </c>
      <c r="AI45" s="92">
        <v>-0.66999999999999993</v>
      </c>
    </row>
    <row r="46" spans="1:35" x14ac:dyDescent="0.2">
      <c r="C46" s="96"/>
    </row>
    <row r="48" spans="1:35" x14ac:dyDescent="0.2">
      <c r="D48" s="93"/>
    </row>
    <row r="49" spans="4:4" x14ac:dyDescent="0.2">
      <c r="D49" s="93"/>
    </row>
    <row r="50" spans="4:4" x14ac:dyDescent="0.2">
      <c r="D50" s="93"/>
    </row>
    <row r="51" spans="4:4" x14ac:dyDescent="0.2">
      <c r="D51" s="93"/>
    </row>
    <row r="52" spans="4:4" x14ac:dyDescent="0.2">
      <c r="D52" s="93"/>
    </row>
    <row r="53" spans="4:4" x14ac:dyDescent="0.2">
      <c r="D53" s="93"/>
    </row>
    <row r="54" spans="4:4" x14ac:dyDescent="0.2">
      <c r="D54" s="93"/>
    </row>
    <row r="55" spans="4:4" x14ac:dyDescent="0.2">
      <c r="D55" s="93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Define names</vt:lpstr>
      <vt:lpstr>Define topologies</vt:lpstr>
      <vt:lpstr>Refurbishment details</vt:lpstr>
      <vt:lpstr>MTSAO_EAF_CONVERTER</vt:lpstr>
      <vt:lpstr>DATA</vt:lpstr>
      <vt:lpstr>AF and PKCNT</vt:lpstr>
      <vt:lpstr>FOM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Mc Call</dc:creator>
  <cp:lastModifiedBy>Bryce Mc Call</cp:lastModifiedBy>
  <dcterms:created xsi:type="dcterms:W3CDTF">2023-11-28T12:51:50Z</dcterms:created>
  <dcterms:modified xsi:type="dcterms:W3CDTF">2023-12-04T14:47:14Z</dcterms:modified>
</cp:coreProperties>
</file>