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omments4.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5C43A4EA-697B-4144-8F20-6E183184830A}" xr6:coauthVersionLast="47" xr6:coauthVersionMax="47" xr10:uidLastSave="{00000000-0000-0000-0000-000000000000}"/>
  <bookViews>
    <workbookView xWindow="-120" yWindow="-120" windowWidth="29040" windowHeight="15840" tabRatio="921" firstSheet="5" activeTab="12" xr2:uid="{00000000-000D-0000-FFFF-FFFF00000000}"/>
  </bookViews>
  <sheets>
    <sheet name="KutoolsforExcel" sheetId="61" r:id="rId1"/>
    <sheet name="Index" sheetId="46" r:id="rId2"/>
    <sheet name="References" sheetId="40" r:id="rId3"/>
    <sheet name="Log of Changes" sheetId="36" r:id="rId4"/>
    <sheet name="conversion factors" sheetId="1" r:id="rId5"/>
    <sheet name="access to services" sheetId="60" r:id="rId6"/>
    <sheet name="Fridges" sheetId="62" r:id="rId7"/>
    <sheet name="Lighting" sheetId="71" r:id="rId8"/>
    <sheet name="Electrical efficiency" sheetId="83" r:id="rId9"/>
    <sheet name="Census 2011_17" sheetId="41" r:id="rId10"/>
    <sheet name="2017 end use splits" sheetId="74" r:id="rId11"/>
    <sheet name="Energy_Balance" sheetId="33" r:id="rId12"/>
    <sheet name="RES" sheetId="20" r:id="rId13"/>
    <sheet name="ITEMS_Tech" sheetId="84" r:id="rId14"/>
    <sheet name="ITEMS_Comm" sheetId="24" r:id="rId15"/>
    <sheet name="TS BYDem" sheetId="85" r:id="rId16"/>
    <sheet name="AFA" sheetId="32" r:id="rId17"/>
    <sheet name="Scenarios" sheetId="68" r:id="rId18"/>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1" hidden="1">Energy_Balance!$B$54:$I$160</definedName>
    <definedName name="_xlnm._FilterDatabase" localSheetId="12" hidden="1">RES!$A$34:$T$145</definedName>
    <definedName name="_ftn1" localSheetId="4">#REF!</definedName>
    <definedName name="_ftnref1" localSheetId="4">#REF!</definedName>
    <definedName name="ComTechs" localSheetId="15">#REF!</definedName>
    <definedName name="ComTechs">RES!#REF!</definedName>
    <definedName name="cr_ess_2001_draft1_qd1_sct4" localSheetId="17">#REF!</definedName>
    <definedName name="cr_ess_2001_draft1_qd1_sct4" localSheetId="15">#REF!</definedName>
    <definedName name="cr_ess_2001_draft1_qd1_sct4">#REF!</definedName>
    <definedName name="cr_ess_2001_draft1_qd1_sct5" localSheetId="17">#REF!</definedName>
    <definedName name="cr_ess_2001_draft1_qd1_sct5" localSheetId="15">#REF!</definedName>
    <definedName name="cr_ess_2001_draft1_qd1_sct5">#REF!</definedName>
    <definedName name="cr_supply_statistics_spreadsheets_1999_2000_final_2_with_table_titles_transmission_">#REF!</definedName>
    <definedName name="eps" localSheetId="17">#REF!</definedName>
    <definedName name="eps" localSheetId="15">#REF!</definedName>
    <definedName name="eps">#REF!</definedName>
    <definedName name="Ezekiel">#REF!</definedName>
    <definedName name="Ezkiel">#REF!</definedName>
    <definedName name="FuelCodes" localSheetId="17">#REF!</definedName>
    <definedName name="FuelCodes" localSheetId="15">#REF!</definedName>
    <definedName name="FuelCodes">#REF!</definedName>
    <definedName name="FuelNames" localSheetId="17">#REF!</definedName>
    <definedName name="FuelNames" localSheetId="15">#REF!</definedName>
    <definedName name="FuelNames">#REF!</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sert_Area" localSheetId="17">#REF!</definedName>
    <definedName name="Insert_Area" localSheetId="15">#REF!</definedName>
    <definedName name="Insert_Area">#REF!</definedName>
    <definedName name="Paraffin_Stoves">#REF!</definedName>
    <definedName name="QueryD3_HRInfo" localSheetId="17">#REF!</definedName>
    <definedName name="QueryD3_HRInfo" localSheetId="15">#REF!</definedName>
    <definedName name="QueryD3_HRInfo">#REF!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rt_Area_Final" localSheetId="17">#REF!</definedName>
    <definedName name="Sort_Area_Final" localSheetId="15">#REF!</definedName>
    <definedName name="Sort_Area_Final">#REF!</definedName>
    <definedName name="Sort_Area_Start" localSheetId="17">#REF!</definedName>
    <definedName name="Sort_Area_Start" localSheetId="15">#REF!</definedName>
    <definedName name="Sort_Area_Start">#REF!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F129" i="20" l="1"/>
  <c r="AG129" i="20" s="1"/>
  <c r="AH129" i="20" s="1"/>
  <c r="AI129" i="20" s="1"/>
  <c r="AJ129" i="20" s="1"/>
  <c r="AK129" i="20" s="1"/>
  <c r="AL129" i="20" s="1"/>
  <c r="AP40" i="20"/>
  <c r="AP44" i="20"/>
  <c r="AP45" i="20"/>
  <c r="AP46" i="20"/>
  <c r="AP47" i="20"/>
  <c r="AP51" i="20"/>
  <c r="AP52" i="20"/>
  <c r="AP53" i="20"/>
  <c r="AP54" i="20"/>
  <c r="AP57" i="20"/>
  <c r="AP58" i="20"/>
  <c r="AP61" i="20"/>
  <c r="AP62" i="20"/>
  <c r="AP63" i="20"/>
  <c r="AP64" i="20"/>
  <c r="AP65" i="20"/>
  <c r="AP72" i="20"/>
  <c r="AP76" i="20"/>
  <c r="AP80" i="20"/>
  <c r="AP81" i="20"/>
  <c r="AP82" i="20"/>
  <c r="AP83" i="20"/>
  <c r="AP84" i="20"/>
  <c r="AP88" i="20"/>
  <c r="AP89" i="20"/>
  <c r="AP90" i="20"/>
  <c r="AP91" i="20"/>
  <c r="AP92" i="20"/>
  <c r="AP96" i="20"/>
  <c r="AP99" i="20"/>
  <c r="AP100" i="20"/>
  <c r="AP101" i="20"/>
  <c r="AP102" i="20"/>
  <c r="AP103" i="20"/>
  <c r="AP104" i="20"/>
  <c r="AP111" i="20"/>
  <c r="AP118" i="20"/>
  <c r="AP119" i="20"/>
  <c r="AP120" i="20"/>
  <c r="AP125" i="20"/>
  <c r="AP126" i="20"/>
  <c r="AP127" i="20"/>
  <c r="AP128" i="20"/>
  <c r="AP129" i="20"/>
  <c r="AP132" i="20"/>
  <c r="AP133" i="20"/>
  <c r="AP134" i="20"/>
  <c r="AP135" i="20"/>
  <c r="AP136" i="20"/>
  <c r="AP137" i="20"/>
  <c r="R142" i="20"/>
  <c r="R141" i="20"/>
  <c r="R139" i="20"/>
  <c r="R138" i="20"/>
  <c r="R137" i="20"/>
  <c r="R136" i="20"/>
  <c r="R135" i="20"/>
  <c r="R131" i="20"/>
  <c r="R130" i="20"/>
  <c r="R129" i="20"/>
  <c r="R128" i="20"/>
  <c r="R127" i="20"/>
  <c r="R126" i="20"/>
  <c r="R125" i="20"/>
  <c r="R123" i="20"/>
  <c r="R122" i="20"/>
  <c r="R118" i="20"/>
  <c r="R116" i="20"/>
  <c r="R115" i="20"/>
  <c r="R113" i="20"/>
  <c r="R112" i="20"/>
  <c r="R111" i="20"/>
  <c r="R109" i="20"/>
  <c r="R108" i="20"/>
  <c r="R106" i="20"/>
  <c r="R105" i="20"/>
  <c r="R104" i="20"/>
  <c r="R103" i="20"/>
  <c r="S102" i="20"/>
  <c r="S101" i="20"/>
  <c r="S100" i="20"/>
  <c r="S99" i="20"/>
  <c r="R98" i="20"/>
  <c r="R97" i="20"/>
  <c r="R94" i="20"/>
  <c r="R93" i="20"/>
  <c r="S92" i="20"/>
  <c r="S91" i="20"/>
  <c r="S90" i="20"/>
  <c r="S89" i="20"/>
  <c r="S88" i="20"/>
  <c r="R86" i="20"/>
  <c r="R85" i="20"/>
  <c r="S84" i="20"/>
  <c r="S83" i="20"/>
  <c r="S80" i="20"/>
  <c r="R78" i="20"/>
  <c r="R77" i="20"/>
  <c r="S76" i="20"/>
  <c r="R74" i="20"/>
  <c r="R73" i="20"/>
  <c r="S72" i="20"/>
  <c r="R70" i="20"/>
  <c r="R69" i="20"/>
  <c r="R67" i="20"/>
  <c r="R66" i="20"/>
  <c r="S65" i="20"/>
  <c r="S64" i="20"/>
  <c r="S63" i="20"/>
  <c r="S62" i="20"/>
  <c r="S61" i="20"/>
  <c r="S54" i="20"/>
  <c r="S53" i="20"/>
  <c r="S52" i="20"/>
  <c r="S51" i="20"/>
  <c r="S47" i="20"/>
  <c r="S44" i="20"/>
  <c r="Q85" i="20"/>
  <c r="Q86" i="20"/>
  <c r="Q93" i="20"/>
  <c r="Q94" i="20"/>
  <c r="Q97" i="20"/>
  <c r="Q98" i="20"/>
  <c r="Q105" i="20"/>
  <c r="Q106" i="20"/>
  <c r="Q108" i="20"/>
  <c r="Q109" i="20"/>
  <c r="Q112" i="20"/>
  <c r="Q113" i="20"/>
  <c r="Q115" i="20"/>
  <c r="Q116" i="20"/>
  <c r="Q122" i="20"/>
  <c r="Q123" i="20"/>
  <c r="Q130" i="20"/>
  <c r="Q131" i="20"/>
  <c r="Q138" i="20"/>
  <c r="Q139" i="20"/>
  <c r="Q141" i="20"/>
  <c r="Q142" i="20"/>
  <c r="P44" i="20"/>
  <c r="P45" i="20"/>
  <c r="P46" i="20"/>
  <c r="P40" i="20"/>
  <c r="Q40" i="20" s="1"/>
  <c r="R40" i="20" s="1"/>
  <c r="S40" i="20" s="1"/>
  <c r="P137" i="20"/>
  <c r="P136" i="20"/>
  <c r="P135" i="20"/>
  <c r="P134" i="20"/>
  <c r="P133" i="20"/>
  <c r="P132" i="20"/>
  <c r="P129" i="20"/>
  <c r="P128" i="20"/>
  <c r="P127" i="20"/>
  <c r="P126" i="20"/>
  <c r="P125" i="20"/>
  <c r="P120" i="20"/>
  <c r="P119" i="20"/>
  <c r="P118" i="20"/>
  <c r="P111" i="20"/>
  <c r="P104" i="20"/>
  <c r="P103" i="20"/>
  <c r="P102" i="20"/>
  <c r="P101" i="20"/>
  <c r="P100" i="20"/>
  <c r="P99" i="20"/>
  <c r="P96" i="20"/>
  <c r="P92" i="20"/>
  <c r="P91" i="20"/>
  <c r="P90" i="20"/>
  <c r="P89" i="20"/>
  <c r="P88" i="20"/>
  <c r="P84" i="20"/>
  <c r="P83" i="20"/>
  <c r="P82" i="20"/>
  <c r="P81" i="20"/>
  <c r="P80" i="20"/>
  <c r="P76" i="20"/>
  <c r="P72" i="20"/>
  <c r="P65" i="20"/>
  <c r="P64" i="20"/>
  <c r="P63" i="20"/>
  <c r="P62" i="20"/>
  <c r="P61" i="20"/>
  <c r="P54" i="20"/>
  <c r="P53" i="20"/>
  <c r="P52" i="20"/>
  <c r="P51" i="20"/>
  <c r="P47" i="20"/>
  <c r="R65" i="20" l="1"/>
  <c r="Q90" i="20"/>
  <c r="Q89" i="20"/>
  <c r="R47" i="20"/>
  <c r="Q84" i="20"/>
  <c r="R51" i="20"/>
  <c r="Q65" i="20"/>
  <c r="R44" i="20"/>
  <c r="Q53" i="20"/>
  <c r="R54" i="20"/>
  <c r="Q64" i="20"/>
  <c r="R102" i="20"/>
  <c r="R90" i="20"/>
  <c r="R100" i="20"/>
  <c r="Q51" i="20"/>
  <c r="R61" i="20"/>
  <c r="Q80" i="20"/>
  <c r="R101" i="20"/>
  <c r="R52" i="20"/>
  <c r="R76" i="20"/>
  <c r="R92" i="20"/>
  <c r="R88" i="20"/>
  <c r="Q101" i="20"/>
  <c r="Q102" i="20"/>
  <c r="Q44" i="20"/>
  <c r="R53" i="20"/>
  <c r="Q61" i="20"/>
  <c r="R64" i="20"/>
  <c r="R72" i="20"/>
  <c r="Q76" i="20"/>
  <c r="R80" i="20"/>
  <c r="R84" i="20"/>
  <c r="R63" i="20"/>
  <c r="R83" i="20"/>
  <c r="Q47" i="20"/>
  <c r="Q54" i="20"/>
  <c r="R62" i="20"/>
  <c r="Q83" i="20"/>
  <c r="R89" i="20"/>
  <c r="R91" i="20"/>
  <c r="R99" i="20"/>
  <c r="Q63" i="20"/>
  <c r="Q88" i="20"/>
  <c r="Q92" i="20"/>
  <c r="Q100" i="20"/>
  <c r="Q52" i="20"/>
  <c r="Q62" i="20"/>
  <c r="Q72" i="20"/>
  <c r="Q91" i="20"/>
  <c r="Q99" i="20"/>
  <c r="AF33" i="20"/>
  <c r="AH33" i="20"/>
  <c r="AJ33" i="20"/>
  <c r="AL33" i="20"/>
  <c r="AE33" i="20"/>
  <c r="AA33" i="20"/>
  <c r="AB33" i="20"/>
  <c r="AC33" i="20"/>
  <c r="W33" i="20"/>
  <c r="X33" i="20"/>
  <c r="Y33" i="20"/>
  <c r="Z33" i="20"/>
  <c r="V33" i="20"/>
  <c r="Q33" i="20"/>
  <c r="R33" i="20"/>
  <c r="S33" i="20"/>
  <c r="P33" i="20"/>
  <c r="C37" i="85"/>
  <c r="C8" i="85"/>
  <c r="A9" i="85" l="1"/>
  <c r="A11" i="85"/>
  <c r="E12" i="85"/>
  <c r="A13" i="85"/>
  <c r="A15" i="85"/>
  <c r="E16" i="85"/>
  <c r="A17" i="85"/>
  <c r="E18" i="85"/>
  <c r="A27" i="85"/>
  <c r="E28" i="85"/>
  <c r="A29" i="85"/>
  <c r="A37" i="85"/>
  <c r="E27" i="85" l="1"/>
  <c r="E17" i="85"/>
  <c r="E37" i="85"/>
  <c r="E29" i="85"/>
  <c r="A28" i="85"/>
  <c r="A18" i="85"/>
  <c r="A16" i="85"/>
  <c r="A14" i="85"/>
  <c r="A12" i="85"/>
  <c r="A10" i="85"/>
  <c r="A8" i="85"/>
  <c r="A28" i="84" l="1"/>
  <c r="A29" i="84"/>
  <c r="A30" i="84"/>
  <c r="A31" i="84"/>
  <c r="A32" i="84"/>
  <c r="A33" i="84"/>
  <c r="A34" i="84"/>
  <c r="A35" i="84"/>
  <c r="A36" i="84"/>
  <c r="A37" i="84"/>
  <c r="A38" i="84"/>
  <c r="A39" i="84"/>
  <c r="A40" i="84"/>
  <c r="A41" i="84"/>
  <c r="A42" i="84"/>
  <c r="A43" i="84"/>
  <c r="A44" i="84"/>
  <c r="A45" i="84"/>
  <c r="A46" i="84"/>
  <c r="A47" i="84"/>
  <c r="A48" i="84"/>
  <c r="A49" i="84"/>
  <c r="A50" i="84"/>
  <c r="A51" i="84"/>
  <c r="A52" i="84"/>
  <c r="A53" i="84"/>
  <c r="A54" i="84"/>
  <c r="A55" i="84"/>
  <c r="A56" i="84"/>
  <c r="A57" i="84"/>
  <c r="A58" i="84"/>
  <c r="A59" i="84"/>
  <c r="A60" i="84"/>
  <c r="A61" i="84"/>
  <c r="A62" i="84"/>
  <c r="A63" i="84"/>
  <c r="A64" i="84"/>
  <c r="A65" i="84"/>
  <c r="A66" i="84"/>
  <c r="A67" i="84"/>
  <c r="A68" i="84"/>
  <c r="A69" i="84"/>
  <c r="A70" i="84"/>
  <c r="A71" i="84"/>
  <c r="A72" i="84"/>
  <c r="A73" i="84"/>
  <c r="A74" i="84"/>
  <c r="A75" i="84"/>
  <c r="A76" i="84"/>
  <c r="A77" i="84"/>
  <c r="A78" i="84"/>
  <c r="A79" i="84"/>
  <c r="A80" i="84"/>
  <c r="A81" i="84"/>
  <c r="A82" i="84"/>
  <c r="A83" i="84"/>
  <c r="A84" i="84"/>
  <c r="A85" i="84"/>
  <c r="A86" i="84"/>
  <c r="A87" i="84"/>
  <c r="A88" i="84"/>
  <c r="A89" i="84"/>
  <c r="A90" i="84"/>
  <c r="A91" i="84"/>
  <c r="A92" i="84"/>
  <c r="A93" i="84"/>
  <c r="A94" i="84"/>
  <c r="A95" i="84"/>
  <c r="A96" i="84"/>
  <c r="A97" i="84"/>
  <c r="A98" i="84"/>
  <c r="A99" i="84"/>
  <c r="A100" i="84"/>
  <c r="A101" i="84"/>
  <c r="A102" i="84"/>
  <c r="A103" i="84"/>
  <c r="A104" i="84"/>
  <c r="A105" i="84"/>
  <c r="A106" i="84"/>
  <c r="A107" i="84"/>
  <c r="A108" i="84"/>
  <c r="A109" i="84"/>
  <c r="A110" i="84"/>
  <c r="A111" i="84"/>
  <c r="A112" i="84"/>
  <c r="A113" i="84"/>
  <c r="A114" i="84"/>
  <c r="A115" i="84"/>
  <c r="A116" i="84"/>
  <c r="A117" i="84"/>
  <c r="A118" i="84"/>
  <c r="A119" i="84"/>
  <c r="A120" i="84"/>
  <c r="A121" i="84"/>
  <c r="A122" i="84"/>
  <c r="A123" i="84"/>
  <c r="A124" i="84"/>
  <c r="A125" i="84"/>
  <c r="A126" i="84"/>
  <c r="A127" i="84"/>
  <c r="A128" i="84"/>
  <c r="A129" i="84"/>
  <c r="A130" i="84"/>
  <c r="A131" i="84"/>
  <c r="A132" i="84"/>
  <c r="A133" i="84"/>
  <c r="A27" i="84"/>
  <c r="V33" i="33" l="1"/>
  <c r="B28" i="84"/>
  <c r="E29" i="84"/>
  <c r="G30" i="84"/>
  <c r="B31" i="84"/>
  <c r="C32" i="84"/>
  <c r="B33" i="84"/>
  <c r="G34" i="84"/>
  <c r="B35" i="84"/>
  <c r="G36" i="84"/>
  <c r="B37" i="84"/>
  <c r="G38" i="84"/>
  <c r="B39" i="84"/>
  <c r="C40" i="84"/>
  <c r="E41" i="84"/>
  <c r="G42" i="84"/>
  <c r="B43" i="84"/>
  <c r="B44" i="84"/>
  <c r="E45" i="84"/>
  <c r="G46" i="84"/>
  <c r="B47" i="84"/>
  <c r="B48" i="84"/>
  <c r="E49" i="84"/>
  <c r="G50" i="84"/>
  <c r="F51" i="84"/>
  <c r="B52" i="84"/>
  <c r="E53" i="84"/>
  <c r="G54" i="84"/>
  <c r="C55" i="84"/>
  <c r="B56" i="84"/>
  <c r="E57" i="84"/>
  <c r="G58" i="84"/>
  <c r="C59" i="84"/>
  <c r="B60" i="84"/>
  <c r="E61" i="84"/>
  <c r="G62" i="84"/>
  <c r="G63" i="84"/>
  <c r="B64" i="84"/>
  <c r="E65" i="84"/>
  <c r="G66" i="84"/>
  <c r="B67" i="84"/>
  <c r="B68" i="84"/>
  <c r="E69" i="84"/>
  <c r="G70" i="84"/>
  <c r="E71" i="84"/>
  <c r="B72" i="84"/>
  <c r="E73" i="84"/>
  <c r="G74" i="84"/>
  <c r="B75" i="84"/>
  <c r="B76" i="84"/>
  <c r="E77" i="84"/>
  <c r="G78" i="84"/>
  <c r="B79" i="84"/>
  <c r="E80" i="84"/>
  <c r="E81" i="84"/>
  <c r="F83" i="84"/>
  <c r="B84" i="84"/>
  <c r="G86" i="84"/>
  <c r="C87" i="84"/>
  <c r="B89" i="84"/>
  <c r="G90" i="84"/>
  <c r="C91" i="84"/>
  <c r="F92" i="84"/>
  <c r="E93" i="84"/>
  <c r="G94" i="84"/>
  <c r="C95" i="84"/>
  <c r="B95" i="84"/>
  <c r="B96" i="84"/>
  <c r="E97" i="84"/>
  <c r="G98" i="84"/>
  <c r="E99" i="84"/>
  <c r="B100" i="84"/>
  <c r="E101" i="84"/>
  <c r="G102" i="84"/>
  <c r="B104" i="84"/>
  <c r="E105" i="84"/>
  <c r="B106" i="84"/>
  <c r="B107" i="84"/>
  <c r="B108" i="84"/>
  <c r="B109" i="84"/>
  <c r="G110" i="84"/>
  <c r="G111" i="84"/>
  <c r="C112" i="84"/>
  <c r="E113" i="84"/>
  <c r="B115" i="84"/>
  <c r="B116" i="84"/>
  <c r="E118" i="84"/>
  <c r="C119" i="84"/>
  <c r="B121" i="84"/>
  <c r="G122" i="84"/>
  <c r="B123" i="84"/>
  <c r="F124" i="84"/>
  <c r="E125" i="84"/>
  <c r="B126" i="84"/>
  <c r="G127" i="84"/>
  <c r="B128" i="84"/>
  <c r="B129" i="84"/>
  <c r="G130" i="84"/>
  <c r="E131" i="84"/>
  <c r="C132" i="84"/>
  <c r="E133" i="84"/>
  <c r="B27" i="84"/>
  <c r="B7" i="24"/>
  <c r="B8" i="24"/>
  <c r="B9" i="24"/>
  <c r="B10" i="24"/>
  <c r="B11" i="24"/>
  <c r="B12" i="24"/>
  <c r="B13" i="24"/>
  <c r="B14" i="24"/>
  <c r="C19" i="85" s="1"/>
  <c r="A19" i="85" s="1"/>
  <c r="B15" i="24"/>
  <c r="C20" i="85" s="1"/>
  <c r="A20" i="85" s="1"/>
  <c r="B16" i="24"/>
  <c r="C21" i="85" s="1"/>
  <c r="A21" i="85" s="1"/>
  <c r="B17" i="24"/>
  <c r="C22" i="85" s="1"/>
  <c r="A22" i="85" s="1"/>
  <c r="B18" i="24"/>
  <c r="C23" i="85" s="1"/>
  <c r="A23" i="85" s="1"/>
  <c r="B19" i="24"/>
  <c r="C24" i="85" s="1"/>
  <c r="A24" i="85" s="1"/>
  <c r="B20" i="24"/>
  <c r="C25" i="85" s="1"/>
  <c r="A25" i="85" s="1"/>
  <c r="B21" i="24"/>
  <c r="C26" i="85" s="1"/>
  <c r="A26" i="85" s="1"/>
  <c r="B22" i="24"/>
  <c r="C30" i="85" s="1"/>
  <c r="A30" i="85" s="1"/>
  <c r="B23" i="24"/>
  <c r="C31" i="85" s="1"/>
  <c r="A31" i="85" s="1"/>
  <c r="B24" i="24"/>
  <c r="C32" i="85" s="1"/>
  <c r="A32" i="85" s="1"/>
  <c r="B25" i="24"/>
  <c r="C33" i="85" s="1"/>
  <c r="A33" i="85" s="1"/>
  <c r="B26" i="24"/>
  <c r="C34" i="85" s="1"/>
  <c r="A34" i="85" s="1"/>
  <c r="B27" i="24"/>
  <c r="C35" i="85" s="1"/>
  <c r="A35" i="85" s="1"/>
  <c r="B28" i="24"/>
  <c r="C36" i="85" s="1"/>
  <c r="A36" i="85" s="1"/>
  <c r="B6" i="24"/>
  <c r="G84" i="84" l="1"/>
  <c r="E63" i="84"/>
  <c r="E90" i="84"/>
  <c r="B90" i="84"/>
  <c r="B83" i="84"/>
  <c r="F67" i="84"/>
  <c r="E116" i="84"/>
  <c r="C106" i="84"/>
  <c r="C72" i="84"/>
  <c r="F122" i="84"/>
  <c r="F99" i="84"/>
  <c r="B97" i="84"/>
  <c r="G81" i="84"/>
  <c r="F57" i="84"/>
  <c r="B62" i="84"/>
  <c r="G116" i="84"/>
  <c r="E38" i="84"/>
  <c r="G99" i="84"/>
  <c r="E51" i="84"/>
  <c r="B101" i="84"/>
  <c r="F90" i="84"/>
  <c r="E72" i="84"/>
  <c r="B61" i="84"/>
  <c r="B51" i="84"/>
  <c r="F81" i="84"/>
  <c r="B58" i="84"/>
  <c r="G119" i="84"/>
  <c r="C131" i="84"/>
  <c r="F119" i="84"/>
  <c r="C107" i="84"/>
  <c r="B102" i="84"/>
  <c r="B98" i="84"/>
  <c r="G93" i="84"/>
  <c r="F36" i="84"/>
  <c r="E119" i="84"/>
  <c r="F93" i="84"/>
  <c r="C71" i="84"/>
  <c r="F60" i="84"/>
  <c r="B55" i="84"/>
  <c r="E104" i="84"/>
  <c r="G69" i="84"/>
  <c r="G133" i="84"/>
  <c r="F128" i="84"/>
  <c r="E124" i="84"/>
  <c r="F116" i="84"/>
  <c r="C104" i="84"/>
  <c r="B86" i="84"/>
  <c r="C78" i="84"/>
  <c r="F69" i="84"/>
  <c r="B65" i="84"/>
  <c r="E122" i="84"/>
  <c r="G108" i="84"/>
  <c r="C99" i="84"/>
  <c r="G95" i="84"/>
  <c r="B93" i="84"/>
  <c r="F84" i="84"/>
  <c r="C81" i="84"/>
  <c r="E75" i="84"/>
  <c r="E67" i="84"/>
  <c r="C63" i="84"/>
  <c r="F125" i="84"/>
  <c r="B122" i="84"/>
  <c r="F113" i="84"/>
  <c r="E108" i="84"/>
  <c r="G104" i="84"/>
  <c r="G101" i="84"/>
  <c r="F95" i="84"/>
  <c r="E84" i="84"/>
  <c r="C75" i="84"/>
  <c r="C67" i="84"/>
  <c r="B63" i="84"/>
  <c r="B59" i="84"/>
  <c r="G41" i="84"/>
  <c r="C36" i="84"/>
  <c r="C27" i="84"/>
  <c r="B125" i="84"/>
  <c r="C113" i="84"/>
  <c r="F104" i="84"/>
  <c r="F101" i="84"/>
  <c r="C98" i="84"/>
  <c r="E95" i="84"/>
  <c r="C92" i="84"/>
  <c r="G44" i="84"/>
  <c r="E87" i="84"/>
  <c r="B87" i="84"/>
  <c r="G32" i="84"/>
  <c r="C29" i="84"/>
  <c r="G76" i="84"/>
  <c r="C69" i="84"/>
  <c r="E54" i="84"/>
  <c r="G43" i="84"/>
  <c r="F133" i="84"/>
  <c r="F130" i="84"/>
  <c r="C124" i="84"/>
  <c r="F121" i="84"/>
  <c r="B119" i="84"/>
  <c r="C101" i="84"/>
  <c r="B99" i="84"/>
  <c r="E86" i="84"/>
  <c r="E83" i="84"/>
  <c r="E76" i="84"/>
  <c r="G73" i="84"/>
  <c r="B69" i="84"/>
  <c r="G64" i="84"/>
  <c r="B54" i="84"/>
  <c r="F46" i="84"/>
  <c r="F43" i="84"/>
  <c r="B29" i="84"/>
  <c r="C133" i="84"/>
  <c r="E130" i="84"/>
  <c r="C121" i="84"/>
  <c r="F110" i="84"/>
  <c r="G107" i="84"/>
  <c r="G105" i="84"/>
  <c r="G96" i="84"/>
  <c r="F70" i="84"/>
  <c r="F66" i="84"/>
  <c r="F64" i="84"/>
  <c r="E46" i="84"/>
  <c r="E43" i="84"/>
  <c r="G31" i="84"/>
  <c r="B133" i="84"/>
  <c r="C130" i="84"/>
  <c r="E110" i="84"/>
  <c r="F107" i="84"/>
  <c r="C105" i="84"/>
  <c r="F102" i="84"/>
  <c r="F98" i="84"/>
  <c r="F96" i="84"/>
  <c r="F78" i="84"/>
  <c r="G75" i="84"/>
  <c r="G72" i="84"/>
  <c r="E70" i="84"/>
  <c r="C68" i="84"/>
  <c r="E66" i="84"/>
  <c r="C64" i="84"/>
  <c r="G55" i="84"/>
  <c r="G49" i="84"/>
  <c r="C46" i="84"/>
  <c r="C43" i="84"/>
  <c r="F38" i="84"/>
  <c r="F31" i="84"/>
  <c r="G28" i="84"/>
  <c r="B130" i="84"/>
  <c r="G125" i="84"/>
  <c r="G113" i="84"/>
  <c r="C110" i="84"/>
  <c r="E107" i="84"/>
  <c r="C102" i="84"/>
  <c r="C100" i="84"/>
  <c r="E98" i="84"/>
  <c r="C96" i="84"/>
  <c r="B94" i="84"/>
  <c r="B91" i="84"/>
  <c r="G87" i="84"/>
  <c r="E78" i="84"/>
  <c r="F75" i="84"/>
  <c r="F72" i="84"/>
  <c r="C70" i="84"/>
  <c r="C66" i="84"/>
  <c r="G61" i="84"/>
  <c r="F58" i="84"/>
  <c r="F55" i="84"/>
  <c r="F52" i="84"/>
  <c r="F49" i="84"/>
  <c r="E31" i="84"/>
  <c r="F28" i="84"/>
  <c r="F87" i="84"/>
  <c r="G67" i="84"/>
  <c r="B66" i="84"/>
  <c r="F63" i="84"/>
  <c r="F61" i="84"/>
  <c r="E58" i="84"/>
  <c r="E55" i="84"/>
  <c r="E52" i="84"/>
  <c r="C49" i="84"/>
  <c r="C42" i="84"/>
  <c r="C38" i="84"/>
  <c r="F34" i="84"/>
  <c r="C31" i="84"/>
  <c r="B131" i="84"/>
  <c r="G131" i="84"/>
  <c r="F131" i="84"/>
  <c r="C128" i="84"/>
  <c r="G128" i="84"/>
  <c r="C127" i="84"/>
  <c r="B127" i="84"/>
  <c r="F127" i="84"/>
  <c r="E127" i="84"/>
  <c r="G126" i="84"/>
  <c r="C126" i="84"/>
  <c r="E126" i="84"/>
  <c r="F126" i="84"/>
  <c r="G118" i="84"/>
  <c r="F118" i="84"/>
  <c r="C109" i="84"/>
  <c r="E103" i="84"/>
  <c r="F103" i="84"/>
  <c r="G103" i="84"/>
  <c r="E117" i="84"/>
  <c r="B117" i="84"/>
  <c r="C117" i="84"/>
  <c r="F117" i="84"/>
  <c r="G117" i="84"/>
  <c r="F115" i="84"/>
  <c r="G115" i="84"/>
  <c r="B112" i="84"/>
  <c r="F112" i="84"/>
  <c r="G112" i="84"/>
  <c r="F89" i="84"/>
  <c r="G114" i="84"/>
  <c r="B114" i="84"/>
  <c r="C114" i="84"/>
  <c r="E114" i="84"/>
  <c r="F114" i="84"/>
  <c r="E109" i="84"/>
  <c r="F109" i="84"/>
  <c r="G109" i="84"/>
  <c r="B92" i="84"/>
  <c r="G92" i="84"/>
  <c r="E92" i="84"/>
  <c r="B111" i="84"/>
  <c r="C111" i="84"/>
  <c r="E111" i="84"/>
  <c r="F111" i="84"/>
  <c r="E89" i="84"/>
  <c r="G89" i="84"/>
  <c r="C89" i="84"/>
  <c r="B80" i="84"/>
  <c r="F80" i="84"/>
  <c r="G80" i="84"/>
  <c r="C80" i="84"/>
  <c r="E129" i="84"/>
  <c r="C129" i="84"/>
  <c r="F129" i="84"/>
  <c r="G129" i="84"/>
  <c r="B88" i="84"/>
  <c r="C88" i="84"/>
  <c r="E88" i="84"/>
  <c r="F88" i="84"/>
  <c r="G88" i="84"/>
  <c r="G106" i="84"/>
  <c r="E106" i="84"/>
  <c r="F106" i="84"/>
  <c r="E85" i="84"/>
  <c r="B85" i="84"/>
  <c r="C85" i="84"/>
  <c r="F85" i="84"/>
  <c r="G85" i="84"/>
  <c r="G82" i="84"/>
  <c r="B82" i="84"/>
  <c r="C82" i="84"/>
  <c r="E82" i="84"/>
  <c r="F82" i="84"/>
  <c r="B132" i="84"/>
  <c r="E132" i="84"/>
  <c r="F132" i="84"/>
  <c r="G132" i="84"/>
  <c r="B124" i="84"/>
  <c r="G124" i="84"/>
  <c r="C123" i="84"/>
  <c r="E123" i="84"/>
  <c r="F123" i="84"/>
  <c r="G123" i="84"/>
  <c r="E121" i="84"/>
  <c r="G121" i="84"/>
  <c r="C118" i="84"/>
  <c r="E115" i="84"/>
  <c r="C103" i="84"/>
  <c r="B120" i="84"/>
  <c r="C120" i="84"/>
  <c r="E120" i="84"/>
  <c r="F120" i="84"/>
  <c r="G120" i="84"/>
  <c r="B118" i="84"/>
  <c r="C115" i="84"/>
  <c r="E112" i="84"/>
  <c r="B103" i="84"/>
  <c r="C77" i="84"/>
  <c r="C74" i="84"/>
  <c r="E48" i="84"/>
  <c r="C45" i="84"/>
  <c r="G40" i="84"/>
  <c r="E35" i="84"/>
  <c r="F33" i="84"/>
  <c r="B30" i="84"/>
  <c r="C86" i="84"/>
  <c r="C83" i="84"/>
  <c r="B77" i="84"/>
  <c r="B74" i="84"/>
  <c r="B71" i="84"/>
  <c r="E60" i="84"/>
  <c r="C57" i="84"/>
  <c r="C54" i="84"/>
  <c r="G52" i="84"/>
  <c r="C51" i="84"/>
  <c r="C48" i="84"/>
  <c r="B45" i="84"/>
  <c r="B42" i="84"/>
  <c r="F40" i="84"/>
  <c r="E37" i="84"/>
  <c r="G37" i="84"/>
  <c r="C35" i="84"/>
  <c r="C33" i="84"/>
  <c r="C60" i="84"/>
  <c r="B57" i="84"/>
  <c r="G79" i="84"/>
  <c r="G47" i="84"/>
  <c r="B40" i="84"/>
  <c r="E40" i="84"/>
  <c r="E33" i="84"/>
  <c r="G33" i="84"/>
  <c r="E128" i="84"/>
  <c r="C125" i="84"/>
  <c r="C122" i="84"/>
  <c r="C116" i="84"/>
  <c r="B113" i="84"/>
  <c r="B110" i="84"/>
  <c r="F108" i="84"/>
  <c r="F105" i="84"/>
  <c r="E102" i="84"/>
  <c r="E96" i="84"/>
  <c r="C93" i="84"/>
  <c r="G91" i="84"/>
  <c r="C90" i="84"/>
  <c r="C84" i="84"/>
  <c r="B81" i="84"/>
  <c r="F79" i="84"/>
  <c r="B78" i="84"/>
  <c r="F76" i="84"/>
  <c r="F73" i="84"/>
  <c r="E64" i="84"/>
  <c r="C61" i="84"/>
  <c r="G59" i="84"/>
  <c r="C58" i="84"/>
  <c r="G56" i="84"/>
  <c r="G53" i="84"/>
  <c r="C52" i="84"/>
  <c r="F50" i="84"/>
  <c r="B49" i="84"/>
  <c r="F47" i="84"/>
  <c r="B46" i="84"/>
  <c r="F44" i="84"/>
  <c r="F41" i="84"/>
  <c r="G39" i="84"/>
  <c r="B38" i="84"/>
  <c r="E34" i="84"/>
  <c r="G100" i="84"/>
  <c r="G97" i="84"/>
  <c r="F94" i="84"/>
  <c r="F91" i="84"/>
  <c r="E79" i="84"/>
  <c r="C73" i="84"/>
  <c r="G71" i="84"/>
  <c r="G68" i="84"/>
  <c r="G65" i="84"/>
  <c r="F62" i="84"/>
  <c r="F59" i="84"/>
  <c r="F56" i="84"/>
  <c r="F53" i="84"/>
  <c r="E50" i="84"/>
  <c r="E47" i="84"/>
  <c r="E44" i="84"/>
  <c r="C41" i="84"/>
  <c r="F39" i="84"/>
  <c r="B36" i="84"/>
  <c r="E36" i="84"/>
  <c r="C34" i="84"/>
  <c r="F32" i="84"/>
  <c r="F30" i="84"/>
  <c r="C108" i="84"/>
  <c r="B105" i="84"/>
  <c r="F100" i="84"/>
  <c r="F97" i="84"/>
  <c r="E94" i="84"/>
  <c r="E91" i="84"/>
  <c r="G83" i="84"/>
  <c r="C79" i="84"/>
  <c r="G77" i="84"/>
  <c r="C76" i="84"/>
  <c r="F74" i="84"/>
  <c r="B73" i="84"/>
  <c r="F71" i="84"/>
  <c r="B70" i="84"/>
  <c r="F68" i="84"/>
  <c r="F65" i="84"/>
  <c r="E62" i="84"/>
  <c r="E59" i="84"/>
  <c r="E56" i="84"/>
  <c r="C53" i="84"/>
  <c r="G51" i="84"/>
  <c r="C50" i="84"/>
  <c r="G48" i="84"/>
  <c r="C47" i="84"/>
  <c r="G45" i="84"/>
  <c r="C44" i="84"/>
  <c r="F42" i="84"/>
  <c r="B41" i="84"/>
  <c r="E39" i="84"/>
  <c r="F37" i="84"/>
  <c r="G35" i="84"/>
  <c r="B34" i="84"/>
  <c r="E30" i="84"/>
  <c r="E100" i="84"/>
  <c r="C97" i="84"/>
  <c r="C94" i="84"/>
  <c r="F86" i="84"/>
  <c r="F77" i="84"/>
  <c r="E74" i="84"/>
  <c r="E68" i="84"/>
  <c r="C65" i="84"/>
  <c r="C62" i="84"/>
  <c r="G60" i="84"/>
  <c r="G57" i="84"/>
  <c r="C56" i="84"/>
  <c r="F54" i="84"/>
  <c r="B53" i="84"/>
  <c r="B50" i="84"/>
  <c r="F48" i="84"/>
  <c r="F45" i="84"/>
  <c r="E42" i="84"/>
  <c r="C39" i="84"/>
  <c r="C37" i="84"/>
  <c r="F35" i="84"/>
  <c r="B32" i="84"/>
  <c r="E32" i="84"/>
  <c r="C30" i="84"/>
  <c r="G29" i="84"/>
  <c r="E28" i="84"/>
  <c r="F29" i="84"/>
  <c r="C28" i="84"/>
  <c r="E27" i="84"/>
  <c r="F27" i="84"/>
  <c r="G27" i="84"/>
  <c r="T30" i="33" l="1"/>
  <c r="R7" i="33" l="1"/>
  <c r="V7" i="33"/>
  <c r="J4" i="41"/>
  <c r="J7" i="41" s="1"/>
  <c r="J5" i="41"/>
  <c r="J3" i="41"/>
  <c r="J6" i="41" s="1"/>
  <c r="N6" i="41" l="1"/>
  <c r="N5" i="41"/>
  <c r="N7" i="41"/>
  <c r="M111" i="20" l="1"/>
  <c r="M104" i="20"/>
  <c r="M84" i="20"/>
  <c r="M72" i="20"/>
  <c r="M58" i="20"/>
  <c r="M57" i="20"/>
  <c r="N15" i="33" l="1"/>
  <c r="N16" i="33" s="1"/>
  <c r="N17" i="33" s="1"/>
  <c r="N18" i="33" s="1"/>
  <c r="P15" i="33"/>
  <c r="P21" i="33" s="1"/>
  <c r="P27" i="33" s="1"/>
  <c r="P18" i="33"/>
  <c r="P24" i="33" s="1"/>
  <c r="P30" i="33" s="1"/>
  <c r="P20" i="33"/>
  <c r="P26" i="33" s="1"/>
  <c r="P32" i="33" s="1"/>
  <c r="Q111" i="20"/>
  <c r="S96" i="20"/>
  <c r="S82" i="20"/>
  <c r="S81" i="20"/>
  <c r="S46" i="20"/>
  <c r="S45" i="20"/>
  <c r="E71" i="20"/>
  <c r="AP71" i="20" s="1"/>
  <c r="E68" i="20"/>
  <c r="AP68" i="20" s="1"/>
  <c r="E50" i="20"/>
  <c r="AP50" i="20" s="1"/>
  <c r="E43" i="20"/>
  <c r="AP43" i="20" s="1"/>
  <c r="O103" i="83"/>
  <c r="P103" i="83" s="1"/>
  <c r="N103" i="83"/>
  <c r="M103" i="83"/>
  <c r="I103" i="83"/>
  <c r="O102" i="83"/>
  <c r="P102" i="83" s="1"/>
  <c r="N102" i="83"/>
  <c r="M102" i="83"/>
  <c r="I102" i="83"/>
  <c r="O101" i="83"/>
  <c r="P101" i="83" s="1"/>
  <c r="N101" i="83"/>
  <c r="M101" i="83"/>
  <c r="I101" i="83"/>
  <c r="O100" i="83"/>
  <c r="P100" i="83" s="1"/>
  <c r="N100" i="83"/>
  <c r="M100" i="83"/>
  <c r="I100" i="83"/>
  <c r="O99" i="83"/>
  <c r="P99" i="83" s="1"/>
  <c r="N99" i="83"/>
  <c r="M99" i="83"/>
  <c r="I99" i="83"/>
  <c r="O97" i="83"/>
  <c r="P97" i="83" s="1"/>
  <c r="N97" i="83"/>
  <c r="M97" i="83"/>
  <c r="I97" i="83"/>
  <c r="O96" i="83"/>
  <c r="P96" i="83" s="1"/>
  <c r="N96" i="83"/>
  <c r="M96" i="83"/>
  <c r="I96" i="83"/>
  <c r="O95" i="83"/>
  <c r="P95" i="83" s="1"/>
  <c r="N95" i="83"/>
  <c r="M95" i="83"/>
  <c r="I95" i="83"/>
  <c r="O94" i="83"/>
  <c r="P94" i="83" s="1"/>
  <c r="N94" i="83"/>
  <c r="M94" i="83"/>
  <c r="I94" i="83"/>
  <c r="O93" i="83"/>
  <c r="P93" i="83" s="1"/>
  <c r="N93" i="83"/>
  <c r="M93" i="83"/>
  <c r="K93" i="83"/>
  <c r="I93" i="83"/>
  <c r="O91" i="83"/>
  <c r="P91" i="83" s="1"/>
  <c r="N91" i="83"/>
  <c r="M91" i="83"/>
  <c r="I91" i="83"/>
  <c r="O90" i="83"/>
  <c r="P90" i="83" s="1"/>
  <c r="N90" i="83"/>
  <c r="M90" i="83"/>
  <c r="I90" i="83"/>
  <c r="O89" i="83"/>
  <c r="P89" i="83" s="1"/>
  <c r="N89" i="83"/>
  <c r="M89" i="83"/>
  <c r="I89" i="83"/>
  <c r="O88" i="83"/>
  <c r="P88" i="83" s="1"/>
  <c r="N88" i="83"/>
  <c r="M88" i="83"/>
  <c r="I88" i="83"/>
  <c r="O83" i="83"/>
  <c r="P83" i="83" s="1"/>
  <c r="N83" i="83"/>
  <c r="M83" i="83"/>
  <c r="I83" i="83"/>
  <c r="O82" i="83"/>
  <c r="P82" i="83" s="1"/>
  <c r="N82" i="83"/>
  <c r="M82" i="83"/>
  <c r="I82" i="83"/>
  <c r="O81" i="83"/>
  <c r="P81" i="83" s="1"/>
  <c r="N81" i="83"/>
  <c r="M81" i="83"/>
  <c r="I81" i="83"/>
  <c r="O80" i="83"/>
  <c r="P80" i="83" s="1"/>
  <c r="N80" i="83"/>
  <c r="M80" i="83"/>
  <c r="I80" i="83"/>
  <c r="O79" i="83"/>
  <c r="P79" i="83" s="1"/>
  <c r="N79" i="83"/>
  <c r="M79" i="83"/>
  <c r="I79" i="83"/>
  <c r="O77" i="83"/>
  <c r="P77" i="83" s="1"/>
  <c r="N77" i="83"/>
  <c r="M77" i="83"/>
  <c r="I77" i="83"/>
  <c r="O76" i="83"/>
  <c r="P76" i="83" s="1"/>
  <c r="N76" i="83"/>
  <c r="M76" i="83"/>
  <c r="I76" i="83"/>
  <c r="O75" i="83"/>
  <c r="P75" i="83" s="1"/>
  <c r="N75" i="83"/>
  <c r="M75" i="83"/>
  <c r="I75" i="83"/>
  <c r="O74" i="83"/>
  <c r="P74" i="83" s="1"/>
  <c r="N74" i="83"/>
  <c r="M74" i="83"/>
  <c r="I74" i="83"/>
  <c r="O73" i="83"/>
  <c r="P73" i="83" s="1"/>
  <c r="N73" i="83"/>
  <c r="M73" i="83"/>
  <c r="K73" i="83"/>
  <c r="I73" i="83"/>
  <c r="O71" i="83"/>
  <c r="P71" i="83" s="1"/>
  <c r="N71" i="83"/>
  <c r="M71" i="83"/>
  <c r="I71" i="83"/>
  <c r="O70" i="83"/>
  <c r="P70" i="83" s="1"/>
  <c r="N70" i="83"/>
  <c r="M70" i="83"/>
  <c r="I70" i="83"/>
  <c r="O69" i="83"/>
  <c r="P69" i="83" s="1"/>
  <c r="N69" i="83"/>
  <c r="M69" i="83"/>
  <c r="I69" i="83"/>
  <c r="O68" i="83"/>
  <c r="P68" i="83" s="1"/>
  <c r="N68" i="83"/>
  <c r="M68" i="83"/>
  <c r="I68" i="83"/>
  <c r="O63" i="83"/>
  <c r="P63" i="83" s="1"/>
  <c r="N63" i="83"/>
  <c r="M63" i="83"/>
  <c r="I63" i="83"/>
  <c r="O62" i="83"/>
  <c r="P62" i="83" s="1"/>
  <c r="N62" i="83"/>
  <c r="M62" i="83"/>
  <c r="I62" i="83"/>
  <c r="O61" i="83"/>
  <c r="P61" i="83" s="1"/>
  <c r="N61" i="83"/>
  <c r="M61" i="83"/>
  <c r="I61" i="83"/>
  <c r="O60" i="83"/>
  <c r="P60" i="83" s="1"/>
  <c r="N60" i="83"/>
  <c r="M60" i="83"/>
  <c r="I60" i="83"/>
  <c r="O59" i="83"/>
  <c r="P59" i="83" s="1"/>
  <c r="N59" i="83"/>
  <c r="M59" i="83"/>
  <c r="I59" i="83"/>
  <c r="O57" i="83"/>
  <c r="P57" i="83" s="1"/>
  <c r="N57" i="83"/>
  <c r="M57" i="83"/>
  <c r="I57" i="83"/>
  <c r="O56" i="83"/>
  <c r="P56" i="83" s="1"/>
  <c r="N56" i="83"/>
  <c r="M56" i="83"/>
  <c r="I56" i="83"/>
  <c r="O55" i="83"/>
  <c r="P55" i="83" s="1"/>
  <c r="N55" i="83"/>
  <c r="M55" i="83"/>
  <c r="I55" i="83"/>
  <c r="O54" i="83"/>
  <c r="P54" i="83" s="1"/>
  <c r="N54" i="83"/>
  <c r="M54" i="83"/>
  <c r="I54" i="83"/>
  <c r="O53" i="83"/>
  <c r="P53" i="83" s="1"/>
  <c r="N53" i="83"/>
  <c r="M53" i="83"/>
  <c r="K53" i="83"/>
  <c r="I53" i="83"/>
  <c r="O51" i="83"/>
  <c r="P51" i="83" s="1"/>
  <c r="N51" i="83"/>
  <c r="M51" i="83"/>
  <c r="I51" i="83"/>
  <c r="O50" i="83"/>
  <c r="P50" i="83" s="1"/>
  <c r="N50" i="83"/>
  <c r="M50" i="83"/>
  <c r="I50" i="83"/>
  <c r="O49" i="83"/>
  <c r="P49" i="83" s="1"/>
  <c r="N49" i="83"/>
  <c r="M49" i="83"/>
  <c r="I49" i="83"/>
  <c r="O48" i="83"/>
  <c r="P48" i="83" s="1"/>
  <c r="N48" i="83"/>
  <c r="M48" i="83"/>
  <c r="I48" i="83"/>
  <c r="O43" i="83"/>
  <c r="P43" i="83" s="1"/>
  <c r="N43" i="83"/>
  <c r="M43" i="83"/>
  <c r="I43" i="83"/>
  <c r="O42" i="83"/>
  <c r="P42" i="83" s="1"/>
  <c r="N42" i="83"/>
  <c r="M42" i="83"/>
  <c r="I42" i="83"/>
  <c r="O41" i="83"/>
  <c r="P41" i="83" s="1"/>
  <c r="N41" i="83"/>
  <c r="M41" i="83"/>
  <c r="I41" i="83"/>
  <c r="O40" i="83"/>
  <c r="P40" i="83" s="1"/>
  <c r="N40" i="83"/>
  <c r="M40" i="83"/>
  <c r="I40" i="83"/>
  <c r="O39" i="83"/>
  <c r="P39" i="83" s="1"/>
  <c r="N39" i="83"/>
  <c r="M39" i="83"/>
  <c r="I39" i="83"/>
  <c r="O37" i="83"/>
  <c r="P37" i="83" s="1"/>
  <c r="N37" i="83"/>
  <c r="M37" i="83"/>
  <c r="I37" i="83"/>
  <c r="O36" i="83"/>
  <c r="P36" i="83" s="1"/>
  <c r="N36" i="83"/>
  <c r="M36" i="83"/>
  <c r="I36" i="83"/>
  <c r="O35" i="83"/>
  <c r="P35" i="83" s="1"/>
  <c r="N35" i="83"/>
  <c r="M35" i="83"/>
  <c r="I35" i="83"/>
  <c r="O34" i="83"/>
  <c r="P34" i="83" s="1"/>
  <c r="N34" i="83"/>
  <c r="M34" i="83"/>
  <c r="I34" i="83"/>
  <c r="O33" i="83"/>
  <c r="P33" i="83" s="1"/>
  <c r="N33" i="83"/>
  <c r="M33" i="83"/>
  <c r="K33" i="83"/>
  <c r="I33" i="83"/>
  <c r="O31" i="83"/>
  <c r="P31" i="83" s="1"/>
  <c r="N31" i="83"/>
  <c r="M31" i="83"/>
  <c r="I31" i="83"/>
  <c r="O30" i="83"/>
  <c r="P30" i="83" s="1"/>
  <c r="N30" i="83"/>
  <c r="M30" i="83"/>
  <c r="I30" i="83"/>
  <c r="O29" i="83"/>
  <c r="P29" i="83" s="1"/>
  <c r="N29" i="83"/>
  <c r="M29" i="83"/>
  <c r="I29" i="83"/>
  <c r="O28" i="83"/>
  <c r="P28" i="83" s="1"/>
  <c r="N28" i="83"/>
  <c r="M28" i="83"/>
  <c r="I28" i="83"/>
  <c r="R133" i="20" l="1"/>
  <c r="Q133" i="20" s="1"/>
  <c r="R46" i="20"/>
  <c r="Q46" i="20"/>
  <c r="R82" i="20"/>
  <c r="Q82" i="20"/>
  <c r="R96" i="20"/>
  <c r="Q96" i="20"/>
  <c r="R132" i="20"/>
  <c r="Q132" i="20" s="1"/>
  <c r="R119" i="20"/>
  <c r="Q119" i="20" s="1"/>
  <c r="R45" i="20"/>
  <c r="Q45" i="20"/>
  <c r="Q81" i="20"/>
  <c r="R81" i="20"/>
  <c r="R120" i="20"/>
  <c r="Q120" i="20" s="1"/>
  <c r="R134" i="20"/>
  <c r="Q134" i="20" s="1"/>
  <c r="S136" i="20"/>
  <c r="Q136" i="20"/>
  <c r="S118" i="20"/>
  <c r="Q118" i="20"/>
  <c r="S125" i="20"/>
  <c r="Q125" i="20"/>
  <c r="S127" i="20"/>
  <c r="Q127" i="20"/>
  <c r="S129" i="20"/>
  <c r="Q129" i="20"/>
  <c r="S103" i="20"/>
  <c r="Q103" i="20"/>
  <c r="S135" i="20"/>
  <c r="Q135" i="20"/>
  <c r="S137" i="20"/>
  <c r="Q137" i="20"/>
  <c r="S104" i="20"/>
  <c r="Q104" i="20"/>
  <c r="S126" i="20"/>
  <c r="Q126" i="20"/>
  <c r="S128" i="20"/>
  <c r="Q128" i="20"/>
  <c r="N19" i="33"/>
  <c r="N20" i="33"/>
  <c r="N21" i="33" s="1"/>
  <c r="N22" i="33" s="1"/>
  <c r="N23" i="33" s="1"/>
  <c r="N24" i="33" s="1"/>
  <c r="S111" i="20"/>
  <c r="E121" i="20"/>
  <c r="AP121" i="20" s="1"/>
  <c r="S134" i="20" l="1"/>
  <c r="S120" i="20"/>
  <c r="S119" i="20"/>
  <c r="S132" i="20"/>
  <c r="S133" i="20"/>
  <c r="P121" i="20"/>
  <c r="N25" i="33"/>
  <c r="N26" i="33"/>
  <c r="N27" i="33" s="1"/>
  <c r="N28" i="33" s="1"/>
  <c r="N29" i="33" s="1"/>
  <c r="N30" i="33" s="1"/>
  <c r="I23" i="83"/>
  <c r="I22" i="83"/>
  <c r="I21" i="83"/>
  <c r="I20" i="83"/>
  <c r="I19" i="83"/>
  <c r="I17" i="83"/>
  <c r="I16" i="83"/>
  <c r="I15" i="83"/>
  <c r="I14" i="83"/>
  <c r="K13" i="83"/>
  <c r="I13" i="83"/>
  <c r="I11" i="83"/>
  <c r="I10" i="83"/>
  <c r="I9" i="83"/>
  <c r="I8" i="83"/>
  <c r="R121" i="20" l="1"/>
  <c r="Q121" i="20" s="1"/>
  <c r="E107" i="20"/>
  <c r="AP107" i="20" s="1"/>
  <c r="E79" i="20"/>
  <c r="AP79" i="20" s="1"/>
  <c r="E140" i="20"/>
  <c r="AP140" i="20" s="1"/>
  <c r="E117" i="20"/>
  <c r="AP117" i="20" s="1"/>
  <c r="E110" i="20"/>
  <c r="AP110" i="20" s="1"/>
  <c r="E87" i="20"/>
  <c r="AP87" i="20" s="1"/>
  <c r="E143" i="20"/>
  <c r="AP143" i="20" s="1"/>
  <c r="E124" i="20"/>
  <c r="AP124" i="20" s="1"/>
  <c r="N32" i="33"/>
  <c r="N31" i="33"/>
  <c r="S121" i="20" l="1"/>
  <c r="I258" i="41"/>
  <c r="F259" i="41"/>
  <c r="C29" i="41"/>
  <c r="F25" i="41"/>
  <c r="C30" i="41"/>
  <c r="F26" i="41"/>
  <c r="H37" i="41"/>
  <c r="H38" i="41"/>
  <c r="H39" i="41"/>
  <c r="F40" i="41"/>
  <c r="H40" i="41" s="1"/>
  <c r="H29" i="41" l="1"/>
  <c r="I30" i="41"/>
  <c r="G30" i="41"/>
  <c r="J30" i="41"/>
  <c r="H30" i="41"/>
  <c r="G29" i="41"/>
  <c r="J29" i="41"/>
  <c r="I29" i="41"/>
  <c r="G38" i="41" l="1"/>
  <c r="G40" i="41"/>
  <c r="G39" i="41"/>
  <c r="G37" i="41"/>
  <c r="I37" i="41"/>
  <c r="G32" i="41"/>
  <c r="I38" i="41"/>
  <c r="G41" i="41" l="1"/>
  <c r="C10" i="71" l="1"/>
  <c r="C9" i="71"/>
  <c r="S50" i="71" l="1"/>
  <c r="S54" i="71" s="1"/>
  <c r="S49" i="71"/>
  <c r="S53" i="71" s="1"/>
  <c r="S47" i="71"/>
  <c r="S51" i="71" s="1"/>
  <c r="S55" i="71" s="1"/>
  <c r="R46" i="71"/>
  <c r="R45" i="71"/>
  <c r="R30" i="71"/>
  <c r="R34" i="71" s="1"/>
  <c r="S30" i="71"/>
  <c r="S34" i="71" s="1"/>
  <c r="T30" i="71"/>
  <c r="T34" i="71" s="1"/>
  <c r="U30" i="71"/>
  <c r="U34" i="71" s="1"/>
  <c r="S29" i="71"/>
  <c r="S33" i="71" s="1"/>
  <c r="T29" i="71"/>
  <c r="T33" i="71" s="1"/>
  <c r="U29" i="71"/>
  <c r="U33" i="71" s="1"/>
  <c r="R29" i="71"/>
  <c r="R33" i="71" s="1"/>
  <c r="S27" i="71"/>
  <c r="S31" i="71" s="1"/>
  <c r="S35" i="71" s="1"/>
  <c r="R27" i="71"/>
  <c r="R31" i="71" s="1"/>
  <c r="R35" i="71" s="1"/>
  <c r="H9" i="71"/>
  <c r="I9" i="71"/>
  <c r="G10" i="71"/>
  <c r="H16" i="71"/>
  <c r="I16" i="71"/>
  <c r="G16" i="71"/>
  <c r="H8" i="71"/>
  <c r="I8" i="71" s="1"/>
  <c r="W17" i="71" l="1"/>
  <c r="H10" i="71"/>
  <c r="H17" i="71" s="1"/>
  <c r="R47" i="71"/>
  <c r="G17" i="71"/>
  <c r="I10" i="71"/>
  <c r="I17" i="71" s="1"/>
  <c r="D89" i="41"/>
  <c r="AB31" i="20"/>
  <c r="Z31" i="20"/>
  <c r="X31" i="20"/>
  <c r="A50" i="24" l="1"/>
  <c r="A51" i="24"/>
  <c r="A41" i="24"/>
  <c r="A44" i="24"/>
  <c r="A45" i="24"/>
  <c r="A46" i="24"/>
  <c r="A47" i="24"/>
  <c r="A48" i="24"/>
  <c r="A49" i="24"/>
  <c r="A42" i="24" l="1"/>
  <c r="A40" i="24"/>
  <c r="A36" i="24"/>
  <c r="A43" i="24"/>
  <c r="A39" i="24"/>
  <c r="A38" i="24"/>
  <c r="A37" i="24"/>
  <c r="Q66" i="20" l="1"/>
  <c r="Q67" i="20"/>
  <c r="Q69" i="20"/>
  <c r="Q70" i="20"/>
  <c r="Q73" i="20"/>
  <c r="Q74" i="20"/>
  <c r="Q77" i="20"/>
  <c r="Q78" i="20"/>
  <c r="M17" i="71" l="1"/>
  <c r="S230" i="41"/>
  <c r="J121" i="41"/>
  <c r="A21" i="41"/>
  <c r="A20" i="41"/>
  <c r="B19" i="41" l="1"/>
  <c r="P110" i="41" s="1"/>
  <c r="P141" i="41" s="1"/>
  <c r="P174" i="41" s="1"/>
  <c r="P212" i="41" s="1"/>
  <c r="D19" i="41"/>
  <c r="Q110" i="41" s="1"/>
  <c r="Q141" i="41" s="1"/>
  <c r="Q174" i="41" s="1"/>
  <c r="Q212" i="41" s="1"/>
  <c r="F19" i="41"/>
  <c r="R110" i="41" s="1"/>
  <c r="R141" i="41" s="1"/>
  <c r="R174" i="41" s="1"/>
  <c r="R212" i="41" s="1"/>
  <c r="S110" i="41"/>
  <c r="S141" i="41" s="1"/>
  <c r="S174" i="41" s="1"/>
  <c r="S212" i="41" s="1"/>
  <c r="F21" i="41" l="1"/>
  <c r="G21" i="41" s="1"/>
  <c r="H21" i="41" s="1"/>
  <c r="B21" i="41"/>
  <c r="D21" i="41"/>
  <c r="D20" i="41"/>
  <c r="F20" i="41"/>
  <c r="G20" i="41" s="1"/>
  <c r="H20" i="41" s="1"/>
  <c r="E21" i="41" l="1"/>
  <c r="E20" i="41"/>
  <c r="C21" i="41"/>
  <c r="B20" i="41"/>
  <c r="C20" i="41" s="1"/>
  <c r="F16" i="33"/>
  <c r="H16" i="33"/>
  <c r="I16" i="33"/>
  <c r="J16" i="33"/>
  <c r="K16" i="33"/>
  <c r="K17" i="33"/>
  <c r="K19" i="33"/>
  <c r="F20" i="33"/>
  <c r="G20" i="33"/>
  <c r="H20" i="33"/>
  <c r="I20" i="33"/>
  <c r="J20" i="33"/>
  <c r="K20" i="33"/>
  <c r="G21" i="33"/>
  <c r="H21" i="33"/>
  <c r="I21" i="33"/>
  <c r="J21" i="33"/>
  <c r="K21" i="33"/>
  <c r="G22" i="33"/>
  <c r="H22" i="33"/>
  <c r="I22" i="33"/>
  <c r="J22" i="33"/>
  <c r="K22" i="33"/>
  <c r="G23" i="33"/>
  <c r="H23" i="33"/>
  <c r="I23" i="33"/>
  <c r="J23" i="33"/>
  <c r="K23" i="33"/>
  <c r="F24" i="33"/>
  <c r="H24" i="33"/>
  <c r="I24" i="33"/>
  <c r="J24" i="33"/>
  <c r="K24" i="33"/>
  <c r="K25" i="33"/>
  <c r="K27" i="33"/>
  <c r="G28" i="33"/>
  <c r="H28" i="33"/>
  <c r="I28" i="33"/>
  <c r="J28" i="33"/>
  <c r="K28" i="33"/>
  <c r="G29" i="33"/>
  <c r="H29" i="33"/>
  <c r="I29" i="33"/>
  <c r="J29" i="33"/>
  <c r="K29" i="33"/>
  <c r="G30" i="33"/>
  <c r="H30" i="33"/>
  <c r="I30" i="33"/>
  <c r="J30" i="33"/>
  <c r="K30" i="33"/>
  <c r="G31" i="33"/>
  <c r="H31" i="33"/>
  <c r="I31" i="33"/>
  <c r="J31" i="33"/>
  <c r="K31" i="33"/>
  <c r="F34" i="33"/>
  <c r="G35" i="33"/>
  <c r="H35" i="33"/>
  <c r="I35" i="33"/>
  <c r="J35" i="33"/>
  <c r="K35" i="33"/>
  <c r="G36" i="33"/>
  <c r="H36" i="33"/>
  <c r="I36" i="33"/>
  <c r="J36" i="33"/>
  <c r="K36" i="33"/>
  <c r="G37" i="33"/>
  <c r="H37" i="33"/>
  <c r="I37" i="33"/>
  <c r="J37" i="33"/>
  <c r="K37" i="33"/>
  <c r="G15" i="33"/>
  <c r="H15" i="33"/>
  <c r="I15" i="33"/>
  <c r="J15" i="33"/>
  <c r="K15" i="33"/>
  <c r="A32" i="24" l="1"/>
  <c r="C165" i="60"/>
  <c r="D165" i="60" s="1"/>
  <c r="E165" i="60" s="1"/>
  <c r="F165" i="60" s="1"/>
  <c r="G165" i="60" s="1"/>
  <c r="H165" i="60" s="1"/>
  <c r="I165" i="60" s="1"/>
  <c r="J165" i="60" s="1"/>
  <c r="D32" i="24" l="1"/>
  <c r="C32" i="24"/>
  <c r="E32" i="24"/>
  <c r="H55" i="71"/>
  <c r="F55" i="71"/>
  <c r="H54" i="71"/>
  <c r="F54" i="71"/>
  <c r="H53" i="71"/>
  <c r="F53" i="71"/>
  <c r="H52" i="71"/>
  <c r="G52" i="71"/>
  <c r="I52" i="71" s="1"/>
  <c r="F52" i="71"/>
  <c r="H51" i="71"/>
  <c r="F51" i="71"/>
  <c r="H50" i="71"/>
  <c r="F50" i="71"/>
  <c r="H49" i="71"/>
  <c r="F49" i="71"/>
  <c r="H48" i="71"/>
  <c r="G48" i="71"/>
  <c r="I48" i="71" s="1"/>
  <c r="F48" i="71"/>
  <c r="H47" i="71"/>
  <c r="F47" i="71"/>
  <c r="H46" i="71"/>
  <c r="F46" i="71"/>
  <c r="H45" i="71"/>
  <c r="F45" i="71"/>
  <c r="E43" i="71"/>
  <c r="F43" i="71" s="1"/>
  <c r="G43" i="71" s="1"/>
  <c r="H43" i="71" s="1"/>
  <c r="I43" i="71" s="1"/>
  <c r="D35" i="33"/>
  <c r="D28" i="33"/>
  <c r="D20" i="33"/>
  <c r="X49" i="71" l="1"/>
  <c r="Y45" i="71"/>
  <c r="V45" i="71"/>
  <c r="X53" i="71"/>
  <c r="X45" i="71"/>
  <c r="Y49" i="71"/>
  <c r="V49" i="71"/>
  <c r="W45" i="71"/>
  <c r="W49" i="71"/>
  <c r="Y53" i="71"/>
  <c r="V53" i="71"/>
  <c r="W53" i="71"/>
  <c r="D22" i="33" l="1"/>
  <c r="E22" i="33"/>
  <c r="AE36" i="20"/>
  <c r="V36" i="20"/>
  <c r="L45" i="20"/>
  <c r="L46" i="20"/>
  <c r="L47" i="20"/>
  <c r="L44" i="20"/>
  <c r="M131" i="20"/>
  <c r="M123" i="20"/>
  <c r="D24" i="33" l="1"/>
  <c r="E24" i="33"/>
  <c r="A7" i="24" l="1"/>
  <c r="C7" i="24" s="1"/>
  <c r="D7" i="24" l="1"/>
  <c r="A18" i="24"/>
  <c r="D36" i="33"/>
  <c r="E36" i="33"/>
  <c r="D29" i="33"/>
  <c r="E29" i="33"/>
  <c r="D21" i="33"/>
  <c r="E21" i="33"/>
  <c r="F24" i="62"/>
  <c r="G24" i="62" s="1"/>
  <c r="F23" i="62"/>
  <c r="E5" i="62" s="1"/>
  <c r="F21" i="62"/>
  <c r="G21" i="62" s="1"/>
  <c r="F20" i="62"/>
  <c r="E4" i="62" s="1"/>
  <c r="F18" i="62"/>
  <c r="G18" i="62" s="1"/>
  <c r="F17" i="62"/>
  <c r="E3" i="62" s="1"/>
  <c r="D91" i="41"/>
  <c r="D90" i="41"/>
  <c r="E95" i="62"/>
  <c r="D18" i="24" l="1"/>
  <c r="C13" i="84" s="1"/>
  <c r="G20" i="62"/>
  <c r="G17" i="62"/>
  <c r="G23" i="62"/>
  <c r="F13" i="84" l="1"/>
  <c r="E13" i="84"/>
  <c r="G13" i="84"/>
  <c r="E56" i="33"/>
  <c r="E93" i="33"/>
  <c r="M48" i="41"/>
  <c r="M49" i="41"/>
  <c r="M50" i="41"/>
  <c r="M51" i="41"/>
  <c r="C95" i="41"/>
  <c r="C96" i="41"/>
  <c r="C97" i="41"/>
  <c r="B98" i="41"/>
  <c r="C98" i="41"/>
  <c r="B99" i="41"/>
  <c r="B102" i="41" s="1"/>
  <c r="B105" i="41" s="1"/>
  <c r="C99" i="41"/>
  <c r="B100" i="41"/>
  <c r="B103" i="41" s="1"/>
  <c r="B106" i="41" s="1"/>
  <c r="C100" i="41"/>
  <c r="C101" i="41"/>
  <c r="D101" i="41"/>
  <c r="C102" i="41"/>
  <c r="C103" i="41"/>
  <c r="C104" i="41"/>
  <c r="D104" i="41"/>
  <c r="C105" i="41"/>
  <c r="C106" i="41"/>
  <c r="L111" i="41"/>
  <c r="T21" i="74"/>
  <c r="T20" i="74"/>
  <c r="K150" i="41"/>
  <c r="K170" i="41"/>
  <c r="K160" i="41"/>
  <c r="I41" i="74"/>
  <c r="J41" i="74"/>
  <c r="K41" i="74"/>
  <c r="M41" i="74"/>
  <c r="P41" i="74"/>
  <c r="O48" i="41"/>
  <c r="O49" i="41"/>
  <c r="Q79" i="41"/>
  <c r="B70" i="41"/>
  <c r="B85" i="41"/>
  <c r="B86" i="41"/>
  <c r="B87" i="41"/>
  <c r="B84" i="41"/>
  <c r="B66" i="41"/>
  <c r="B65" i="41"/>
  <c r="B64" i="41"/>
  <c r="B63" i="41"/>
  <c r="B53" i="41"/>
  <c r="B73" i="41" s="1"/>
  <c r="B54" i="41"/>
  <c r="B76" i="41" s="1"/>
  <c r="B55" i="41"/>
  <c r="B52" i="41"/>
  <c r="L112" i="41"/>
  <c r="L113" i="41"/>
  <c r="L114" i="41"/>
  <c r="L115" i="41"/>
  <c r="L116" i="41"/>
  <c r="L117" i="41"/>
  <c r="L118" i="41"/>
  <c r="L121" i="41"/>
  <c r="L122" i="41"/>
  <c r="L123" i="41"/>
  <c r="L124" i="41"/>
  <c r="L125" i="41"/>
  <c r="L126" i="41"/>
  <c r="L127" i="41"/>
  <c r="L128" i="41"/>
  <c r="L131" i="41"/>
  <c r="L132" i="41"/>
  <c r="L133" i="41"/>
  <c r="L134" i="41"/>
  <c r="L135" i="41"/>
  <c r="L136" i="41"/>
  <c r="L137" i="41"/>
  <c r="L138" i="41"/>
  <c r="G48" i="41"/>
  <c r="H48" i="41"/>
  <c r="I48" i="41"/>
  <c r="J48" i="41"/>
  <c r="K48" i="41"/>
  <c r="L48" i="41"/>
  <c r="N48" i="41"/>
  <c r="P48" i="41"/>
  <c r="G49" i="41"/>
  <c r="H49" i="41"/>
  <c r="I49" i="41"/>
  <c r="J49" i="41"/>
  <c r="K49" i="41"/>
  <c r="L49" i="41"/>
  <c r="N49" i="41"/>
  <c r="P49" i="41"/>
  <c r="G50" i="41"/>
  <c r="H50" i="41"/>
  <c r="I50" i="41"/>
  <c r="J50" i="41"/>
  <c r="K50" i="41"/>
  <c r="L50" i="41"/>
  <c r="N50" i="41"/>
  <c r="O50" i="41"/>
  <c r="P50" i="41"/>
  <c r="G51" i="41"/>
  <c r="H51" i="41"/>
  <c r="I51" i="41"/>
  <c r="J51" i="41"/>
  <c r="K51" i="41"/>
  <c r="L51" i="41"/>
  <c r="N51" i="41"/>
  <c r="O51" i="41"/>
  <c r="P51" i="41"/>
  <c r="F49" i="41"/>
  <c r="F50" i="41"/>
  <c r="F51" i="41"/>
  <c r="F48" i="41"/>
  <c r="D48" i="41" l="1"/>
  <c r="D51" i="41"/>
  <c r="D50" i="41"/>
  <c r="D49" i="41"/>
  <c r="B101" i="41"/>
  <c r="B104" i="41" s="1"/>
  <c r="D105" i="41"/>
  <c r="D102" i="41"/>
  <c r="M59" i="41"/>
  <c r="M61" i="41"/>
  <c r="M62" i="41"/>
  <c r="M60" i="41"/>
  <c r="L139" i="41"/>
  <c r="L129" i="41"/>
  <c r="L119" i="41"/>
  <c r="F59" i="41"/>
  <c r="B74" i="41"/>
  <c r="B71" i="41"/>
  <c r="B77" i="41"/>
  <c r="O61" i="41"/>
  <c r="O59" i="41"/>
  <c r="F61" i="41"/>
  <c r="H62" i="41"/>
  <c r="J62" i="41"/>
  <c r="L62" i="41"/>
  <c r="N62" i="41"/>
  <c r="P62" i="41"/>
  <c r="H60" i="41"/>
  <c r="J60" i="41"/>
  <c r="L60" i="41"/>
  <c r="N60" i="41"/>
  <c r="P60" i="41"/>
  <c r="F60" i="41"/>
  <c r="O62" i="41"/>
  <c r="K62" i="41"/>
  <c r="I62" i="41"/>
  <c r="G62" i="41"/>
  <c r="K61" i="41"/>
  <c r="I61" i="41"/>
  <c r="G61" i="41"/>
  <c r="H61" i="41"/>
  <c r="J61" i="41"/>
  <c r="L61" i="41"/>
  <c r="N61" i="41"/>
  <c r="P61" i="41"/>
  <c r="O60" i="41"/>
  <c r="K60" i="41"/>
  <c r="I60" i="41"/>
  <c r="G60" i="41"/>
  <c r="K59" i="41"/>
  <c r="I59" i="41"/>
  <c r="G59" i="41"/>
  <c r="H59" i="41"/>
  <c r="J59" i="41"/>
  <c r="L59" i="41"/>
  <c r="N59" i="41"/>
  <c r="P59" i="41"/>
  <c r="F62" i="41"/>
  <c r="D47" i="41"/>
  <c r="Q60" i="41" l="1"/>
  <c r="Q61" i="41"/>
  <c r="Q62" i="41"/>
  <c r="D103" i="41"/>
  <c r="D106" i="41"/>
  <c r="B72" i="41"/>
  <c r="B78" i="41"/>
  <c r="B75" i="41"/>
  <c r="Q59" i="41"/>
  <c r="H9" i="41"/>
  <c r="H35" i="71" l="1"/>
  <c r="H34" i="71"/>
  <c r="H33" i="71"/>
  <c r="H31" i="71"/>
  <c r="H30" i="71"/>
  <c r="H29" i="71"/>
  <c r="K34" i="71"/>
  <c r="K35" i="71"/>
  <c r="K33" i="71"/>
  <c r="F35" i="71"/>
  <c r="F34" i="71"/>
  <c r="F33" i="71"/>
  <c r="F30" i="71"/>
  <c r="F31" i="71"/>
  <c r="F29" i="71"/>
  <c r="H32" i="71"/>
  <c r="G32" i="71"/>
  <c r="F32" i="71"/>
  <c r="K30" i="71"/>
  <c r="K31" i="71"/>
  <c r="K29" i="71"/>
  <c r="H28" i="71"/>
  <c r="G28" i="71"/>
  <c r="F28" i="71"/>
  <c r="K17" i="71"/>
  <c r="J17" i="71"/>
  <c r="K26" i="71"/>
  <c r="K46" i="71" s="1"/>
  <c r="K27" i="71"/>
  <c r="K47" i="71" s="1"/>
  <c r="K25" i="71"/>
  <c r="K45" i="71" s="1"/>
  <c r="H26" i="71"/>
  <c r="H27" i="71"/>
  <c r="H25" i="71"/>
  <c r="F26" i="71"/>
  <c r="F27" i="71"/>
  <c r="F25" i="71"/>
  <c r="U27" i="71"/>
  <c r="U31" i="71" s="1"/>
  <c r="U35" i="71" s="1"/>
  <c r="T27" i="71"/>
  <c r="T31" i="71" s="1"/>
  <c r="T35" i="71" s="1"/>
  <c r="E23" i="71"/>
  <c r="F23" i="71" s="1"/>
  <c r="G23" i="71" s="1"/>
  <c r="H23" i="71" s="1"/>
  <c r="I23" i="71" s="1"/>
  <c r="W6" i="71"/>
  <c r="X6" i="71" s="1"/>
  <c r="K6" i="71"/>
  <c r="Z6" i="71" s="1"/>
  <c r="J6" i="71"/>
  <c r="D6" i="71"/>
  <c r="P184" i="60"/>
  <c r="P181" i="60"/>
  <c r="K51" i="71" l="1"/>
  <c r="K55" i="71" s="1"/>
  <c r="K50" i="71"/>
  <c r="K54" i="71" s="1"/>
  <c r="K49" i="71"/>
  <c r="O45" i="71"/>
  <c r="O25" i="71"/>
  <c r="G18" i="71" s="1"/>
  <c r="O17" i="71"/>
  <c r="N17" i="71"/>
  <c r="I32" i="71"/>
  <c r="I28" i="71"/>
  <c r="I36" i="71"/>
  <c r="V29" i="71"/>
  <c r="X29" i="71"/>
  <c r="R75" i="20" s="1"/>
  <c r="X33" i="71"/>
  <c r="R114" i="20" s="1"/>
  <c r="V33" i="71"/>
  <c r="Y33" i="71"/>
  <c r="S114" i="20" s="1"/>
  <c r="O33" i="71"/>
  <c r="W33" i="71"/>
  <c r="Q114" i="20" s="1"/>
  <c r="Y29" i="71"/>
  <c r="O29" i="71"/>
  <c r="W29" i="71"/>
  <c r="Q75" i="20" s="1"/>
  <c r="AB6" i="71"/>
  <c r="Y6" i="71"/>
  <c r="E114" i="20" l="1"/>
  <c r="AP114" i="20" s="1"/>
  <c r="P114" i="20"/>
  <c r="E75" i="20"/>
  <c r="AP75" i="20" s="1"/>
  <c r="P75" i="20"/>
  <c r="S75" i="20"/>
  <c r="K53" i="71"/>
  <c r="O53" i="71" s="1"/>
  <c r="O49" i="71"/>
  <c r="M18" i="71"/>
  <c r="M19" i="71" s="1"/>
  <c r="G19" i="71"/>
  <c r="N44" i="68" l="1"/>
  <c r="M44" i="68"/>
  <c r="D87" i="68" l="1"/>
  <c r="I85" i="68"/>
  <c r="I84" i="68"/>
  <c r="I83" i="68"/>
  <c r="I82" i="68"/>
  <c r="I81" i="68"/>
  <c r="O40" i="68"/>
  <c r="N40" i="68"/>
  <c r="M40" i="68"/>
  <c r="B241" i="60" l="1"/>
  <c r="B242" i="60"/>
  <c r="B246" i="60" s="1"/>
  <c r="B243" i="60"/>
  <c r="B247" i="60" s="1"/>
  <c r="B244" i="60"/>
  <c r="B248" i="60" s="1"/>
  <c r="AK30" i="20"/>
  <c r="AI30" i="20"/>
  <c r="AG30" i="20"/>
  <c r="AF36" i="20"/>
  <c r="AH36" i="20"/>
  <c r="AJ36" i="20"/>
  <c r="AL36" i="20"/>
  <c r="AE32" i="20"/>
  <c r="AB36" i="20"/>
  <c r="AB37" i="20"/>
  <c r="AC36" i="20"/>
  <c r="AA36" i="20"/>
  <c r="Z36" i="20"/>
  <c r="Y36" i="20"/>
  <c r="X36" i="20"/>
  <c r="W36" i="20"/>
  <c r="Z37" i="20"/>
  <c r="X37" i="20"/>
  <c r="V32" i="20"/>
  <c r="E59" i="33"/>
  <c r="F59" i="33"/>
  <c r="P16" i="33" s="1"/>
  <c r="P22" i="33" s="1"/>
  <c r="P28" i="33" s="1"/>
  <c r="E61" i="33"/>
  <c r="F61" i="33"/>
  <c r="E62" i="33"/>
  <c r="F62" i="33"/>
  <c r="E63" i="33"/>
  <c r="F63" i="33"/>
  <c r="E60" i="33"/>
  <c r="F60" i="33"/>
  <c r="E67" i="33"/>
  <c r="F67" i="33"/>
  <c r="E68" i="33"/>
  <c r="F68" i="33"/>
  <c r="E70" i="33"/>
  <c r="F70" i="33"/>
  <c r="E71" i="33"/>
  <c r="F71" i="33"/>
  <c r="E69" i="33"/>
  <c r="F69" i="33"/>
  <c r="E96" i="33"/>
  <c r="F96" i="33"/>
  <c r="E98" i="33"/>
  <c r="F98" i="33"/>
  <c r="E99" i="33"/>
  <c r="F99" i="33"/>
  <c r="E100" i="33"/>
  <c r="F100" i="33"/>
  <c r="E97" i="33"/>
  <c r="F97" i="33"/>
  <c r="E101" i="33"/>
  <c r="F101" i="33"/>
  <c r="F104" i="33"/>
  <c r="K106" i="33"/>
  <c r="F105" i="33"/>
  <c r="F107" i="33"/>
  <c r="F108" i="33"/>
  <c r="F106" i="33"/>
  <c r="F109" i="33"/>
  <c r="F213" i="41"/>
  <c r="F214" i="41"/>
  <c r="F215" i="41"/>
  <c r="F216" i="41"/>
  <c r="F217" i="41"/>
  <c r="F218" i="41"/>
  <c r="F219" i="41"/>
  <c r="F222" i="41"/>
  <c r="F223" i="41"/>
  <c r="F224" i="41"/>
  <c r="F225" i="41"/>
  <c r="F226" i="41"/>
  <c r="F227" i="41"/>
  <c r="F228" i="41"/>
  <c r="F231" i="41"/>
  <c r="F232" i="41"/>
  <c r="F233" i="41"/>
  <c r="F234" i="41"/>
  <c r="F235" i="41"/>
  <c r="F236" i="41"/>
  <c r="F237" i="41"/>
  <c r="D238" i="41"/>
  <c r="E131" i="33"/>
  <c r="F131" i="33"/>
  <c r="E133" i="33"/>
  <c r="F133" i="33"/>
  <c r="E134" i="33"/>
  <c r="F134" i="33"/>
  <c r="E132" i="33"/>
  <c r="F132" i="33"/>
  <c r="K133" i="33"/>
  <c r="E136" i="33"/>
  <c r="F136" i="33"/>
  <c r="E139" i="33"/>
  <c r="F139" i="33"/>
  <c r="P17" i="33" s="1"/>
  <c r="P23" i="33" s="1"/>
  <c r="P29" i="33" s="1"/>
  <c r="K141" i="33"/>
  <c r="E140" i="33"/>
  <c r="F140" i="33"/>
  <c r="E142" i="33"/>
  <c r="F142" i="33"/>
  <c r="E143" i="33"/>
  <c r="F143" i="33"/>
  <c r="E141" i="33"/>
  <c r="F141" i="33"/>
  <c r="E144" i="33"/>
  <c r="F144" i="33"/>
  <c r="J179" i="60"/>
  <c r="J171" i="60"/>
  <c r="B161" i="60"/>
  <c r="D161" i="60"/>
  <c r="F161" i="60"/>
  <c r="H161" i="60"/>
  <c r="J161" i="60"/>
  <c r="R181" i="60" s="1"/>
  <c r="P185" i="60"/>
  <c r="P186" i="60" s="1"/>
  <c r="E242" i="60"/>
  <c r="E246" i="60" s="1"/>
  <c r="Q185" i="60"/>
  <c r="Q186" i="60" s="1"/>
  <c r="F243" i="60"/>
  <c r="E244" i="60"/>
  <c r="G244" i="60" s="1"/>
  <c r="F179" i="60"/>
  <c r="D171" i="60"/>
  <c r="G243" i="60"/>
  <c r="I130" i="60"/>
  <c r="I133" i="60" s="1" a="1"/>
  <c r="I133" i="60" s="1"/>
  <c r="J130" i="60"/>
  <c r="K130" i="60"/>
  <c r="K132" i="60" s="1" a="1"/>
  <c r="K132" i="60" s="1"/>
  <c r="L130" i="60"/>
  <c r="L133" i="60" s="1" a="1"/>
  <c r="L133" i="60" s="1"/>
  <c r="M130" i="60"/>
  <c r="M131" i="60" s="1" a="1"/>
  <c r="M131" i="60" s="1"/>
  <c r="N130" i="60"/>
  <c r="N132" i="60" s="1" a="1"/>
  <c r="N132" i="60" s="1"/>
  <c r="L179" i="60"/>
  <c r="J243" i="60"/>
  <c r="H179" i="60"/>
  <c r="H171" i="60"/>
  <c r="I243" i="60"/>
  <c r="F171" i="60"/>
  <c r="H243" i="60"/>
  <c r="D37" i="20"/>
  <c r="S97" i="20"/>
  <c r="E97" i="20"/>
  <c r="E130" i="20"/>
  <c r="S130" i="20"/>
  <c r="E131" i="20"/>
  <c r="S131" i="20"/>
  <c r="E138" i="20"/>
  <c r="S138" i="20"/>
  <c r="E139" i="20"/>
  <c r="S139" i="20"/>
  <c r="E141" i="20"/>
  <c r="S141" i="20"/>
  <c r="E142" i="20"/>
  <c r="S142" i="20"/>
  <c r="E144" i="20"/>
  <c r="E41" i="20"/>
  <c r="F41" i="20"/>
  <c r="G41" i="20"/>
  <c r="E42" i="20"/>
  <c r="F42" i="20"/>
  <c r="G42" i="20"/>
  <c r="E48" i="20"/>
  <c r="E49" i="20"/>
  <c r="E55" i="20"/>
  <c r="E59" i="20"/>
  <c r="E66" i="20"/>
  <c r="S66" i="20"/>
  <c r="E67" i="20"/>
  <c r="E69" i="20"/>
  <c r="S69" i="20"/>
  <c r="E70" i="20"/>
  <c r="S70" i="20"/>
  <c r="E73" i="20"/>
  <c r="S73" i="20"/>
  <c r="E74" i="20"/>
  <c r="S74" i="20"/>
  <c r="E77" i="20"/>
  <c r="E78" i="20"/>
  <c r="S78" i="20"/>
  <c r="E85" i="20"/>
  <c r="S85" i="20"/>
  <c r="E86" i="20"/>
  <c r="S86" i="20"/>
  <c r="S93" i="20"/>
  <c r="E94" i="20"/>
  <c r="S94" i="20"/>
  <c r="S98" i="20"/>
  <c r="E105" i="20"/>
  <c r="S105" i="20"/>
  <c r="E106" i="20"/>
  <c r="S106" i="20"/>
  <c r="E108" i="20"/>
  <c r="E109" i="20"/>
  <c r="S109" i="20"/>
  <c r="E112" i="20"/>
  <c r="E113" i="20"/>
  <c r="S113" i="20"/>
  <c r="E115" i="20"/>
  <c r="S115" i="20"/>
  <c r="E116" i="20"/>
  <c r="S116" i="20"/>
  <c r="E122" i="20"/>
  <c r="S122" i="20"/>
  <c r="E123" i="20"/>
  <c r="S123" i="20"/>
  <c r="C130" i="62"/>
  <c r="D130" i="62" s="1"/>
  <c r="E130" i="62" s="1"/>
  <c r="F130" i="62" s="1"/>
  <c r="G130" i="62" s="1"/>
  <c r="H130" i="62" s="1"/>
  <c r="I130" i="62" s="1"/>
  <c r="J130" i="62" s="1"/>
  <c r="K130" i="62" s="1"/>
  <c r="L130" i="62" s="1"/>
  <c r="C129" i="62"/>
  <c r="D129" i="62" s="1"/>
  <c r="E129" i="62" s="1"/>
  <c r="F129" i="62" s="1"/>
  <c r="G129" i="62" s="1"/>
  <c r="H129" i="62" s="1"/>
  <c r="I129" i="62" s="1"/>
  <c r="J129" i="62" s="1"/>
  <c r="K129" i="62" s="1"/>
  <c r="L129" i="62" s="1"/>
  <c r="C131" i="62"/>
  <c r="D131" i="62" s="1"/>
  <c r="E131" i="62" s="1"/>
  <c r="F131" i="62" s="1"/>
  <c r="G131" i="62" s="1"/>
  <c r="H131" i="62" s="1"/>
  <c r="I131" i="62" s="1"/>
  <c r="J131" i="62" s="1"/>
  <c r="K131" i="62" s="1"/>
  <c r="L131" i="62" s="1"/>
  <c r="C132" i="62"/>
  <c r="D132" i="62" s="1"/>
  <c r="E132" i="62" s="1"/>
  <c r="F132" i="62" s="1"/>
  <c r="G132" i="62" s="1"/>
  <c r="H132" i="62" s="1"/>
  <c r="I132" i="62" s="1"/>
  <c r="J132" i="62" s="1"/>
  <c r="K132" i="62" s="1"/>
  <c r="L132" i="62" s="1"/>
  <c r="F215" i="60"/>
  <c r="E215" i="60"/>
  <c r="L215" i="60"/>
  <c r="J215" i="60"/>
  <c r="H215" i="60"/>
  <c r="E179" i="60"/>
  <c r="G215" i="60"/>
  <c r="I215" i="60"/>
  <c r="G179" i="60"/>
  <c r="K215" i="60"/>
  <c r="I179" i="60"/>
  <c r="K179" i="60"/>
  <c r="C245" i="60"/>
  <c r="C246" i="60"/>
  <c r="C247" i="60"/>
  <c r="C248" i="60"/>
  <c r="G130" i="60"/>
  <c r="G131" i="60" s="1" a="1"/>
  <c r="G131" i="60" s="1"/>
  <c r="H130" i="60"/>
  <c r="H131" i="60" s="1" a="1"/>
  <c r="H131" i="60" s="1"/>
  <c r="E220" i="60"/>
  <c r="D220" i="60"/>
  <c r="E245" i="60"/>
  <c r="E247" i="60"/>
  <c r="E230" i="60"/>
  <c r="E237" i="60" s="1"/>
  <c r="F230" i="60"/>
  <c r="G230" i="60"/>
  <c r="H230" i="60"/>
  <c r="I230" i="60"/>
  <c r="J230" i="60"/>
  <c r="K230" i="60"/>
  <c r="L230" i="60"/>
  <c r="D230" i="60"/>
  <c r="D237" i="60" s="1"/>
  <c r="D170" i="60"/>
  <c r="F170" i="60"/>
  <c r="H170" i="60"/>
  <c r="J170" i="60"/>
  <c r="P182" i="60"/>
  <c r="P183" i="60" s="1"/>
  <c r="C239" i="60"/>
  <c r="C238" i="60"/>
  <c r="B239" i="60"/>
  <c r="B238" i="60"/>
  <c r="A174" i="60"/>
  <c r="A173" i="60"/>
  <c r="Q194" i="60"/>
  <c r="Q195" i="60" s="1"/>
  <c r="Q196" i="60" s="1"/>
  <c r="Q182" i="60"/>
  <c r="Q183" i="60" s="1"/>
  <c r="AC37" i="20"/>
  <c r="AA37" i="20"/>
  <c r="Y37" i="20"/>
  <c r="W37" i="20"/>
  <c r="AM39" i="20"/>
  <c r="D215" i="60"/>
  <c r="M4" i="60"/>
  <c r="H8" i="60" s="1"/>
  <c r="K4" i="60"/>
  <c r="C130" i="60"/>
  <c r="D130" i="60"/>
  <c r="D132" i="60" s="1" a="1"/>
  <c r="D132" i="60" s="1"/>
  <c r="E130" i="60"/>
  <c r="F130" i="60"/>
  <c r="A147" i="60"/>
  <c r="A146" i="60"/>
  <c r="A145" i="60"/>
  <c r="O130" i="60"/>
  <c r="O133" i="60" s="1" a="1"/>
  <c r="O133" i="60" s="1"/>
  <c r="W130" i="60"/>
  <c r="W131" i="60" s="1" a="1"/>
  <c r="W131" i="60" s="1"/>
  <c r="X130" i="60"/>
  <c r="X133" i="60" s="1" a="1"/>
  <c r="X133" i="60" s="1"/>
  <c r="Y130" i="60"/>
  <c r="Y133" i="60" s="1" a="1"/>
  <c r="Y133" i="60" s="1"/>
  <c r="Z130" i="60"/>
  <c r="AA130" i="60"/>
  <c r="AA131" i="60" s="1" a="1"/>
  <c r="AA131" i="60" s="1"/>
  <c r="AB130" i="60"/>
  <c r="AB131" i="60" s="1" a="1"/>
  <c r="AB131" i="60" s="1"/>
  <c r="AC130" i="60"/>
  <c r="AC133" i="60" s="1" a="1"/>
  <c r="AC133" i="60" s="1"/>
  <c r="AK130" i="60"/>
  <c r="AL130" i="60"/>
  <c r="AL131" i="60" s="1" a="1"/>
  <c r="AL131" i="60" s="1"/>
  <c r="AM130" i="60"/>
  <c r="AM133" i="60" s="1" a="1"/>
  <c r="AM133" i="60" s="1"/>
  <c r="AN130" i="60"/>
  <c r="AN131" i="60" s="1" a="1"/>
  <c r="AN131" i="60" s="1"/>
  <c r="AO130" i="60"/>
  <c r="AO131" i="60" s="1" a="1"/>
  <c r="AO131" i="60" s="1"/>
  <c r="AP130" i="60"/>
  <c r="AP133" i="60" s="1" a="1"/>
  <c r="AP133" i="60" s="1"/>
  <c r="AQ130" i="60"/>
  <c r="AQ132" i="60" s="1" a="1"/>
  <c r="AQ132" i="60" s="1"/>
  <c r="AR130" i="60"/>
  <c r="AR133" i="60" s="1" a="1"/>
  <c r="AR133" i="60" s="1"/>
  <c r="AJ130" i="60"/>
  <c r="AI130" i="60"/>
  <c r="AH130" i="60"/>
  <c r="AH132" i="60" s="1" a="1"/>
  <c r="AH132" i="60" s="1"/>
  <c r="AG130" i="60"/>
  <c r="AF130" i="60"/>
  <c r="AE130" i="60"/>
  <c r="AE131" i="60" s="1" a="1"/>
  <c r="AE131" i="60" s="1"/>
  <c r="AD130" i="60"/>
  <c r="AD132" i="60" s="1" a="1"/>
  <c r="AD132" i="60" s="1"/>
  <c r="V130" i="60"/>
  <c r="U130" i="60"/>
  <c r="T130" i="60"/>
  <c r="T132" i="60" s="1" a="1"/>
  <c r="T132" i="60" s="1"/>
  <c r="S130" i="60"/>
  <c r="S131" i="60" s="1" a="1"/>
  <c r="S131" i="60" s="1"/>
  <c r="R130" i="60"/>
  <c r="R132" i="60" s="1" a="1"/>
  <c r="R132" i="60" s="1"/>
  <c r="Q130" i="60"/>
  <c r="Q131" i="60" s="1" a="1"/>
  <c r="Q131" i="60" s="1"/>
  <c r="P130" i="60"/>
  <c r="AE129" i="60"/>
  <c r="AF129" i="60" s="1"/>
  <c r="AG129" i="60" s="1"/>
  <c r="AH129" i="60" s="1"/>
  <c r="AI129" i="60" s="1"/>
  <c r="AJ129" i="60" s="1"/>
  <c r="AK129" i="60" s="1"/>
  <c r="AL129" i="60" s="1"/>
  <c r="AM129" i="60" s="1"/>
  <c r="AN129" i="60" s="1"/>
  <c r="AO129" i="60" s="1"/>
  <c r="AP129" i="60" s="1"/>
  <c r="AQ129" i="60" s="1"/>
  <c r="AR129" i="60" s="1"/>
  <c r="Q129" i="60"/>
  <c r="R129" i="60" s="1"/>
  <c r="S129" i="60" s="1"/>
  <c r="T129" i="60" s="1"/>
  <c r="U129" i="60" s="1"/>
  <c r="V129" i="60" s="1"/>
  <c r="W129" i="60" s="1"/>
  <c r="X129" i="60" s="1"/>
  <c r="Y129" i="60" s="1"/>
  <c r="Z129" i="60" s="1"/>
  <c r="AA129" i="60" s="1"/>
  <c r="AB129" i="60" s="1"/>
  <c r="AC129" i="60" s="1"/>
  <c r="AD129" i="60" s="1"/>
  <c r="C129" i="60"/>
  <c r="D129" i="60" s="1"/>
  <c r="E129" i="60" s="1"/>
  <c r="F129" i="60" s="1"/>
  <c r="G129" i="60" s="1"/>
  <c r="H129" i="60" s="1"/>
  <c r="I129" i="60" s="1"/>
  <c r="J129" i="60" s="1"/>
  <c r="K129" i="60" s="1"/>
  <c r="L129" i="60" s="1"/>
  <c r="M129" i="60" s="1"/>
  <c r="N129" i="60" s="1"/>
  <c r="O129" i="60" s="1"/>
  <c r="P129" i="60" s="1"/>
  <c r="B55" i="60"/>
  <c r="D62" i="60" s="1"/>
  <c r="C61" i="60"/>
  <c r="B53" i="60"/>
  <c r="D60" i="60" s="1"/>
  <c r="A90" i="60"/>
  <c r="A115" i="60" s="1"/>
  <c r="O90" i="60"/>
  <c r="P90" i="60" s="1"/>
  <c r="A91" i="60"/>
  <c r="A116" i="60" s="1"/>
  <c r="A92" i="60"/>
  <c r="A93" i="60"/>
  <c r="A118" i="60" s="1"/>
  <c r="A94" i="60"/>
  <c r="A119" i="60" s="1"/>
  <c r="A95" i="60"/>
  <c r="A120" i="60" s="1"/>
  <c r="A96" i="60"/>
  <c r="A121" i="60" s="1"/>
  <c r="A97" i="60"/>
  <c r="A122" i="60" s="1"/>
  <c r="A98" i="60"/>
  <c r="A99" i="60"/>
  <c r="A124" i="60" s="1"/>
  <c r="A100" i="60"/>
  <c r="A101" i="60"/>
  <c r="A102" i="60"/>
  <c r="O91" i="60"/>
  <c r="P91" i="60" s="1"/>
  <c r="O92" i="60"/>
  <c r="P92" i="60" s="1"/>
  <c r="O93" i="60"/>
  <c r="P93" i="60" s="1"/>
  <c r="O94" i="60"/>
  <c r="P94" i="60" s="1"/>
  <c r="O95" i="60"/>
  <c r="P95" i="60" s="1"/>
  <c r="O96" i="60"/>
  <c r="P96" i="60" s="1"/>
  <c r="O97" i="60"/>
  <c r="P97" i="60" s="1"/>
  <c r="O98" i="60"/>
  <c r="P98" i="60" s="1"/>
  <c r="O99" i="60"/>
  <c r="P99" i="60" s="1"/>
  <c r="O100" i="60"/>
  <c r="P100" i="60" s="1"/>
  <c r="O101" i="60"/>
  <c r="P101" i="60" s="1"/>
  <c r="O102" i="60"/>
  <c r="P102" i="60" s="1"/>
  <c r="O103" i="60"/>
  <c r="P103" i="60" s="1"/>
  <c r="Q90" i="60"/>
  <c r="Q93" i="60"/>
  <c r="Q94" i="60"/>
  <c r="Q95" i="60"/>
  <c r="E92" i="33"/>
  <c r="E55" i="33"/>
  <c r="O15" i="33" s="1"/>
  <c r="O16" i="33" s="1"/>
  <c r="O17" i="33" s="1"/>
  <c r="O18" i="33" s="1"/>
  <c r="E64" i="33"/>
  <c r="E72" i="33"/>
  <c r="E75" i="33"/>
  <c r="E76" i="33"/>
  <c r="E77" i="33"/>
  <c r="E78" i="33"/>
  <c r="E79" i="33"/>
  <c r="E80" i="33"/>
  <c r="E81" i="33"/>
  <c r="E84" i="33"/>
  <c r="E86" i="33"/>
  <c r="E87" i="33"/>
  <c r="E88" i="33"/>
  <c r="E89" i="33"/>
  <c r="E104" i="33"/>
  <c r="E105" i="33"/>
  <c r="E106" i="33"/>
  <c r="E107" i="33"/>
  <c r="E108" i="33"/>
  <c r="E109" i="33"/>
  <c r="E112" i="33"/>
  <c r="E113" i="33"/>
  <c r="E114" i="33"/>
  <c r="E115" i="33"/>
  <c r="E116" i="33"/>
  <c r="E117" i="33"/>
  <c r="E118" i="33"/>
  <c r="E121" i="33"/>
  <c r="E124" i="33"/>
  <c r="O21" i="33" s="1"/>
  <c r="O22" i="33" s="1"/>
  <c r="O23" i="33" s="1"/>
  <c r="O24" i="33" s="1"/>
  <c r="E125" i="33"/>
  <c r="E128" i="33"/>
  <c r="E135" i="33"/>
  <c r="F135" i="33"/>
  <c r="E147" i="33"/>
  <c r="E148" i="33"/>
  <c r="E149" i="33"/>
  <c r="E150" i="33"/>
  <c r="O27" i="33" s="1"/>
  <c r="O28" i="33" s="1"/>
  <c r="O29" i="33" s="1"/>
  <c r="O30" i="33" s="1"/>
  <c r="E151" i="33"/>
  <c r="E152" i="33"/>
  <c r="E155" i="33"/>
  <c r="E158" i="33"/>
  <c r="E159" i="33"/>
  <c r="F64" i="33"/>
  <c r="F72" i="33"/>
  <c r="E238" i="41"/>
  <c r="I236" i="41" s="1"/>
  <c r="B64" i="60"/>
  <c r="B62" i="60" s="1"/>
  <c r="F62" i="60" s="1"/>
  <c r="G62" i="60" s="1"/>
  <c r="H62" i="60" s="1"/>
  <c r="Q91" i="60"/>
  <c r="D64" i="60"/>
  <c r="C64" i="60"/>
  <c r="B60" i="60"/>
  <c r="F60" i="60" s="1"/>
  <c r="Q97" i="60"/>
  <c r="Q98" i="60"/>
  <c r="Q100" i="60"/>
  <c r="Q92" i="60"/>
  <c r="Q96" i="60"/>
  <c r="Q99" i="60"/>
  <c r="D63" i="60"/>
  <c r="D61" i="60"/>
  <c r="C63" i="60"/>
  <c r="K43" i="60"/>
  <c r="K59" i="60" s="1"/>
  <c r="K66" i="60" s="1"/>
  <c r="L43" i="60"/>
  <c r="L59" i="60" s="1"/>
  <c r="L66" i="60" s="1"/>
  <c r="J43" i="60"/>
  <c r="J59" i="60" s="1"/>
  <c r="J66" i="60" s="1"/>
  <c r="G43" i="60"/>
  <c r="G59" i="60" s="1"/>
  <c r="G66" i="60" s="1"/>
  <c r="H43" i="60"/>
  <c r="H59" i="60" s="1"/>
  <c r="H66" i="60" s="1"/>
  <c r="F43" i="60"/>
  <c r="F59" i="60" s="1"/>
  <c r="F66" i="60" s="1"/>
  <c r="C43" i="60"/>
  <c r="C59" i="60" s="1"/>
  <c r="C66" i="60" s="1"/>
  <c r="D43" i="60"/>
  <c r="D59" i="60" s="1"/>
  <c r="D66" i="60" s="1"/>
  <c r="B43" i="60"/>
  <c r="B59" i="60" s="1"/>
  <c r="B66" i="60" s="1"/>
  <c r="Q101" i="60"/>
  <c r="Q102" i="60"/>
  <c r="Q103" i="60"/>
  <c r="C116" i="60"/>
  <c r="D116" i="60"/>
  <c r="E116" i="60"/>
  <c r="F116" i="60"/>
  <c r="G116" i="60"/>
  <c r="H116" i="60"/>
  <c r="I116" i="60"/>
  <c r="J116" i="60"/>
  <c r="K116" i="60"/>
  <c r="L116" i="60"/>
  <c r="C117" i="60"/>
  <c r="D117" i="60"/>
  <c r="E117" i="60"/>
  <c r="F117" i="60"/>
  <c r="G117" i="60"/>
  <c r="H117" i="60"/>
  <c r="I117" i="60"/>
  <c r="J117" i="60"/>
  <c r="K117" i="60"/>
  <c r="L117" i="60"/>
  <c r="C118" i="60"/>
  <c r="D118" i="60"/>
  <c r="E118" i="60"/>
  <c r="F118" i="60"/>
  <c r="G118" i="60"/>
  <c r="H118" i="60"/>
  <c r="I118" i="60"/>
  <c r="J118" i="60"/>
  <c r="K118" i="60"/>
  <c r="L118" i="60"/>
  <c r="C119" i="60"/>
  <c r="D119" i="60"/>
  <c r="E119" i="60"/>
  <c r="F119" i="60"/>
  <c r="G119" i="60"/>
  <c r="H119" i="60"/>
  <c r="I119" i="60"/>
  <c r="J119" i="60"/>
  <c r="K119" i="60"/>
  <c r="L119" i="60"/>
  <c r="C120" i="60"/>
  <c r="D120" i="60"/>
  <c r="E120" i="60"/>
  <c r="F120" i="60"/>
  <c r="G120" i="60"/>
  <c r="H120" i="60"/>
  <c r="I120" i="60"/>
  <c r="J120" i="60"/>
  <c r="K120" i="60"/>
  <c r="L120" i="60"/>
  <c r="C121" i="60"/>
  <c r="D121" i="60"/>
  <c r="E121" i="60"/>
  <c r="F121" i="60"/>
  <c r="G121" i="60"/>
  <c r="H121" i="60"/>
  <c r="I121" i="60"/>
  <c r="J121" i="60"/>
  <c r="K121" i="60"/>
  <c r="L121" i="60"/>
  <c r="C122" i="60"/>
  <c r="D122" i="60"/>
  <c r="E122" i="60"/>
  <c r="F122" i="60"/>
  <c r="G122" i="60"/>
  <c r="H122" i="60"/>
  <c r="I122" i="60"/>
  <c r="J122" i="60"/>
  <c r="K122" i="60"/>
  <c r="L122" i="60"/>
  <c r="C123" i="60"/>
  <c r="D123" i="60"/>
  <c r="E123" i="60"/>
  <c r="F123" i="60"/>
  <c r="G123" i="60"/>
  <c r="H123" i="60"/>
  <c r="I123" i="60"/>
  <c r="J123" i="60"/>
  <c r="K123" i="60"/>
  <c r="L123" i="60"/>
  <c r="C124" i="60"/>
  <c r="D124" i="60"/>
  <c r="E124" i="60"/>
  <c r="F124" i="60"/>
  <c r="G124" i="60"/>
  <c r="H124" i="60"/>
  <c r="I124" i="60"/>
  <c r="J124" i="60"/>
  <c r="K124" i="60"/>
  <c r="L124" i="60"/>
  <c r="C125" i="60"/>
  <c r="D125" i="60"/>
  <c r="E125" i="60"/>
  <c r="F125" i="60"/>
  <c r="G125" i="60"/>
  <c r="H125" i="60"/>
  <c r="I125" i="60"/>
  <c r="J125" i="60"/>
  <c r="K125" i="60"/>
  <c r="L125" i="60"/>
  <c r="D115" i="60"/>
  <c r="E115" i="60"/>
  <c r="F115" i="60"/>
  <c r="G115" i="60"/>
  <c r="H115" i="60"/>
  <c r="I115" i="60"/>
  <c r="J115" i="60"/>
  <c r="K115" i="60"/>
  <c r="L115" i="60"/>
  <c r="C115" i="60"/>
  <c r="Q42" i="60"/>
  <c r="R42" i="60"/>
  <c r="P42" i="60"/>
  <c r="AD29" i="60"/>
  <c r="P29" i="60"/>
  <c r="AR29" i="60"/>
  <c r="CV13" i="60"/>
  <c r="CU13" i="60"/>
  <c r="CT13" i="60"/>
  <c r="CS13" i="60"/>
  <c r="CR13" i="60"/>
  <c r="CQ13" i="60"/>
  <c r="CP13" i="60"/>
  <c r="CO13" i="60"/>
  <c r="CN13" i="60"/>
  <c r="CM13" i="60"/>
  <c r="CL13" i="60"/>
  <c r="CK13" i="60"/>
  <c r="CJ13" i="60"/>
  <c r="CI13" i="60"/>
  <c r="CH13" i="60"/>
  <c r="CG13" i="60"/>
  <c r="CF13" i="60"/>
  <c r="CE13" i="60"/>
  <c r="CD13" i="60"/>
  <c r="CC13" i="60"/>
  <c r="CB13" i="60"/>
  <c r="CA13" i="60"/>
  <c r="BZ13" i="60"/>
  <c r="BY13" i="60"/>
  <c r="BX13" i="60"/>
  <c r="BW13" i="60"/>
  <c r="BV13" i="60"/>
  <c r="BU13" i="60"/>
  <c r="BT13" i="60"/>
  <c r="BS13" i="60"/>
  <c r="BR13" i="60"/>
  <c r="BQ13" i="60"/>
  <c r="BP13" i="60"/>
  <c r="BO13" i="60"/>
  <c r="BN13" i="60"/>
  <c r="BM13" i="60"/>
  <c r="BL13" i="60"/>
  <c r="BK13" i="60"/>
  <c r="BJ13" i="60"/>
  <c r="BI13" i="60"/>
  <c r="BH13" i="60"/>
  <c r="BG13" i="60"/>
  <c r="BF13" i="60"/>
  <c r="BE13" i="60"/>
  <c r="BD13" i="60"/>
  <c r="BC13" i="60"/>
  <c r="BB13" i="60"/>
  <c r="BA13" i="60"/>
  <c r="AZ13" i="60"/>
  <c r="AY13" i="60"/>
  <c r="AX13" i="60"/>
  <c r="AW13" i="60"/>
  <c r="AV13" i="60"/>
  <c r="AU13" i="60"/>
  <c r="AT13" i="60"/>
  <c r="AS13" i="60"/>
  <c r="AR13" i="60"/>
  <c r="AQ13" i="60"/>
  <c r="AP13" i="60"/>
  <c r="AO13" i="60"/>
  <c r="AN13" i="60"/>
  <c r="AM13" i="60"/>
  <c r="AL13" i="60"/>
  <c r="AK13" i="60"/>
  <c r="AJ13" i="60"/>
  <c r="AI13" i="60"/>
  <c r="AH13" i="60"/>
  <c r="AG13" i="60"/>
  <c r="AF13" i="60"/>
  <c r="AE13" i="60"/>
  <c r="AD13" i="60"/>
  <c r="AC13" i="60"/>
  <c r="AB13" i="60"/>
  <c r="AA13" i="60"/>
  <c r="Z13" i="60"/>
  <c r="Y13" i="60"/>
  <c r="X13" i="60"/>
  <c r="W13" i="60"/>
  <c r="V13" i="60"/>
  <c r="U13" i="60"/>
  <c r="T13" i="60"/>
  <c r="S13" i="60"/>
  <c r="R13" i="60"/>
  <c r="Q13" i="60"/>
  <c r="P13" i="60"/>
  <c r="O13" i="60"/>
  <c r="N13" i="60"/>
  <c r="M13" i="60"/>
  <c r="L13" i="60"/>
  <c r="K13" i="60"/>
  <c r="J13" i="60"/>
  <c r="I13" i="60"/>
  <c r="H13" i="60"/>
  <c r="G13" i="60"/>
  <c r="F13" i="60"/>
  <c r="E13" i="60"/>
  <c r="D13" i="60"/>
  <c r="C13" i="60"/>
  <c r="E172" i="41"/>
  <c r="E210" i="41" s="1"/>
  <c r="E209" i="41"/>
  <c r="L215" i="41"/>
  <c r="H223" i="41"/>
  <c r="I223" i="41"/>
  <c r="H224" i="41"/>
  <c r="I224" i="41"/>
  <c r="H225" i="41"/>
  <c r="I225" i="41"/>
  <c r="H226" i="41"/>
  <c r="I226" i="41"/>
  <c r="H227" i="41"/>
  <c r="I227" i="41"/>
  <c r="H228" i="41"/>
  <c r="I228" i="41"/>
  <c r="H229" i="41"/>
  <c r="I229" i="41"/>
  <c r="I222" i="41"/>
  <c r="H222" i="41"/>
  <c r="D172" i="41"/>
  <c r="D210" i="41" s="1"/>
  <c r="D209" i="41"/>
  <c r="I41" i="20"/>
  <c r="J41" i="20"/>
  <c r="I42" i="20"/>
  <c r="J42" i="20"/>
  <c r="I213" i="41"/>
  <c r="I214" i="41"/>
  <c r="I215" i="41"/>
  <c r="I216" i="41"/>
  <c r="I217" i="41"/>
  <c r="I218" i="41"/>
  <c r="I219" i="41"/>
  <c r="H213" i="41"/>
  <c r="H214" i="41"/>
  <c r="H215" i="41"/>
  <c r="H216" i="41"/>
  <c r="H217" i="41"/>
  <c r="H218" i="41"/>
  <c r="H219" i="41"/>
  <c r="D17" i="33"/>
  <c r="E17" i="33"/>
  <c r="D18" i="33"/>
  <c r="E18" i="33"/>
  <c r="D19" i="33"/>
  <c r="E19" i="33"/>
  <c r="D23" i="33"/>
  <c r="E23" i="33"/>
  <c r="D25" i="33"/>
  <c r="E25" i="33"/>
  <c r="D26" i="33"/>
  <c r="E26" i="33"/>
  <c r="D27" i="33"/>
  <c r="C18" i="24" s="1"/>
  <c r="B13" i="84" s="1"/>
  <c r="E27" i="33"/>
  <c r="D30" i="33"/>
  <c r="E30" i="33"/>
  <c r="D31" i="33"/>
  <c r="E31" i="33"/>
  <c r="D32" i="33"/>
  <c r="E32" i="33"/>
  <c r="D33" i="33"/>
  <c r="E33" i="33"/>
  <c r="D34" i="33"/>
  <c r="E34" i="33"/>
  <c r="D37" i="33"/>
  <c r="E37" i="33"/>
  <c r="E15" i="33"/>
  <c r="D15" i="33"/>
  <c r="A125" i="33"/>
  <c r="A82" i="33"/>
  <c r="A54" i="33"/>
  <c r="A55" i="33"/>
  <c r="A57" i="33"/>
  <c r="A58" i="33"/>
  <c r="A61" i="33"/>
  <c r="A62" i="33"/>
  <c r="A63" i="33"/>
  <c r="A60" i="33"/>
  <c r="A64" i="33"/>
  <c r="A65" i="33"/>
  <c r="A66" i="33"/>
  <c r="A67" i="33"/>
  <c r="A68" i="33"/>
  <c r="A69" i="33"/>
  <c r="A70" i="33"/>
  <c r="A71" i="33"/>
  <c r="A72" i="33"/>
  <c r="A73" i="33"/>
  <c r="A74" i="33"/>
  <c r="A75" i="33"/>
  <c r="A77" i="33"/>
  <c r="A78" i="33"/>
  <c r="A79" i="33"/>
  <c r="A80" i="33"/>
  <c r="A81" i="33"/>
  <c r="A83" i="33"/>
  <c r="A84" i="33"/>
  <c r="A86" i="33"/>
  <c r="A87" i="33"/>
  <c r="A88" i="33"/>
  <c r="A89" i="33"/>
  <c r="A90" i="33"/>
  <c r="A91" i="33"/>
  <c r="A92" i="33"/>
  <c r="A94" i="33"/>
  <c r="A95" i="33"/>
  <c r="A96" i="33"/>
  <c r="A97" i="33"/>
  <c r="A98" i="33"/>
  <c r="A99" i="33"/>
  <c r="A100" i="33"/>
  <c r="A101" i="33"/>
  <c r="A102" i="33"/>
  <c r="A103" i="33"/>
  <c r="A104" i="33"/>
  <c r="A105" i="33"/>
  <c r="A106" i="33"/>
  <c r="A107" i="33"/>
  <c r="A108" i="33"/>
  <c r="A109" i="33"/>
  <c r="A110" i="33"/>
  <c r="A111" i="33"/>
  <c r="A112" i="33"/>
  <c r="A114" i="33"/>
  <c r="A115" i="33"/>
  <c r="A116" i="33"/>
  <c r="A117" i="33"/>
  <c r="A118" i="33"/>
  <c r="A119" i="33"/>
  <c r="A120" i="33"/>
  <c r="A121" i="33"/>
  <c r="A122" i="33"/>
  <c r="A123" i="33"/>
  <c r="A124" i="33"/>
  <c r="A126" i="33"/>
  <c r="A127" i="33"/>
  <c r="A128" i="33"/>
  <c r="A129" i="33"/>
  <c r="A130" i="33"/>
  <c r="A131" i="33"/>
  <c r="A132" i="33"/>
  <c r="A133" i="33"/>
  <c r="A134" i="33"/>
  <c r="A135" i="33"/>
  <c r="A136" i="33"/>
  <c r="A137" i="33"/>
  <c r="A138" i="33"/>
  <c r="A139" i="33"/>
  <c r="A140" i="33"/>
  <c r="A141" i="33"/>
  <c r="A142" i="33"/>
  <c r="A143" i="33"/>
  <c r="A144" i="33"/>
  <c r="A145" i="33"/>
  <c r="A146" i="33"/>
  <c r="A147" i="33"/>
  <c r="A148" i="33"/>
  <c r="A149" i="33"/>
  <c r="A150" i="33"/>
  <c r="A151" i="33"/>
  <c r="A152" i="33"/>
  <c r="A153" i="33"/>
  <c r="A154" i="33"/>
  <c r="A155" i="33"/>
  <c r="A156" i="33"/>
  <c r="A157" i="33"/>
  <c r="A158" i="33"/>
  <c r="A159" i="33"/>
  <c r="A160" i="33"/>
  <c r="E8" i="1"/>
  <c r="E9" i="1" s="1"/>
  <c r="E10" i="1" s="1"/>
  <c r="E11" i="1" s="1"/>
  <c r="E12" i="1" s="1"/>
  <c r="E13" i="1" s="1"/>
  <c r="E7" i="1"/>
  <c r="I148" i="41"/>
  <c r="I147" i="41"/>
  <c r="I143" i="41"/>
  <c r="I145" i="41"/>
  <c r="I144" i="41"/>
  <c r="I142" i="41"/>
  <c r="I150" i="41"/>
  <c r="I146" i="41"/>
  <c r="H170" i="41"/>
  <c r="H169" i="41"/>
  <c r="H167" i="41"/>
  <c r="H168" i="41"/>
  <c r="H149" i="41"/>
  <c r="H147" i="41"/>
  <c r="I156" i="41"/>
  <c r="I153" i="41"/>
  <c r="I160" i="41"/>
  <c r="I152" i="41"/>
  <c r="I154" i="41"/>
  <c r="I155" i="41"/>
  <c r="I149" i="41"/>
  <c r="I166" i="41"/>
  <c r="I158" i="41"/>
  <c r="I157" i="41"/>
  <c r="I159" i="41"/>
  <c r="H148" i="41"/>
  <c r="H150" i="41"/>
  <c r="H162" i="41"/>
  <c r="H142" i="41"/>
  <c r="H165" i="41"/>
  <c r="H166" i="41"/>
  <c r="H144" i="41"/>
  <c r="H164" i="41"/>
  <c r="I170" i="41"/>
  <c r="I165" i="41"/>
  <c r="I169" i="41"/>
  <c r="I168" i="41"/>
  <c r="I167" i="41"/>
  <c r="I164" i="41"/>
  <c r="I163" i="41"/>
  <c r="I162" i="41"/>
  <c r="H159" i="41"/>
  <c r="H157" i="41"/>
  <c r="H158" i="41"/>
  <c r="H160" i="41"/>
  <c r="H163" i="41"/>
  <c r="H145" i="41"/>
  <c r="H146" i="41"/>
  <c r="H143" i="41"/>
  <c r="H152" i="41"/>
  <c r="H154" i="41"/>
  <c r="H155" i="41"/>
  <c r="H156" i="41"/>
  <c r="H153" i="41"/>
  <c r="H138" i="41"/>
  <c r="H139" i="41"/>
  <c r="H126" i="41"/>
  <c r="H125" i="41"/>
  <c r="H129" i="41"/>
  <c r="H128" i="41"/>
  <c r="I139" i="41"/>
  <c r="I136" i="41"/>
  <c r="I132" i="41"/>
  <c r="I133" i="41"/>
  <c r="I131" i="41"/>
  <c r="I138" i="41"/>
  <c r="I137" i="41"/>
  <c r="I135" i="41"/>
  <c r="I129" i="41"/>
  <c r="H116" i="41"/>
  <c r="H119" i="41"/>
  <c r="H117" i="41"/>
  <c r="H118" i="41"/>
  <c r="H137" i="41"/>
  <c r="H136" i="41"/>
  <c r="H135" i="41"/>
  <c r="H127" i="41"/>
  <c r="I134" i="41"/>
  <c r="I111" i="41"/>
  <c r="I119" i="41"/>
  <c r="H111" i="41"/>
  <c r="H115" i="41"/>
  <c r="H121" i="41"/>
  <c r="H122" i="41"/>
  <c r="H124" i="41"/>
  <c r="H123" i="41"/>
  <c r="H131" i="41"/>
  <c r="H132" i="41"/>
  <c r="H134" i="41"/>
  <c r="H133" i="41"/>
  <c r="H113" i="41"/>
  <c r="H114" i="41"/>
  <c r="H112" i="41"/>
  <c r="I118" i="41"/>
  <c r="I117" i="41"/>
  <c r="I116" i="41"/>
  <c r="I115" i="41"/>
  <c r="I114" i="41"/>
  <c r="I113" i="41"/>
  <c r="I112" i="41"/>
  <c r="I121" i="41"/>
  <c r="I128" i="41"/>
  <c r="I127" i="41"/>
  <c r="I126" i="41"/>
  <c r="I125" i="41"/>
  <c r="I124" i="41"/>
  <c r="I123" i="41"/>
  <c r="I122" i="41"/>
  <c r="J134" i="41"/>
  <c r="J133" i="41"/>
  <c r="J137" i="41"/>
  <c r="J150" i="41"/>
  <c r="J138" i="41"/>
  <c r="J131" i="41"/>
  <c r="J142" i="41"/>
  <c r="J145" i="41"/>
  <c r="J136" i="41"/>
  <c r="J139" i="41"/>
  <c r="J135" i="41"/>
  <c r="J158" i="41"/>
  <c r="J152" i="41"/>
  <c r="J132" i="41"/>
  <c r="J113" i="41"/>
  <c r="J126" i="41"/>
  <c r="J124" i="41"/>
  <c r="J123" i="41"/>
  <c r="J127" i="41"/>
  <c r="J122" i="41"/>
  <c r="J147" i="41"/>
  <c r="J146" i="41"/>
  <c r="J148" i="41"/>
  <c r="J143" i="41"/>
  <c r="J125" i="41"/>
  <c r="J128" i="41"/>
  <c r="J129" i="41"/>
  <c r="J149" i="41"/>
  <c r="J144" i="41"/>
  <c r="J118" i="41"/>
  <c r="J167" i="41"/>
  <c r="J163" i="41"/>
  <c r="J170" i="41"/>
  <c r="J168" i="41"/>
  <c r="J166" i="41"/>
  <c r="J169" i="41"/>
  <c r="J165" i="41"/>
  <c r="J164" i="41"/>
  <c r="J162" i="41"/>
  <c r="J160" i="41"/>
  <c r="J153" i="41"/>
  <c r="J157" i="41"/>
  <c r="J154" i="41"/>
  <c r="J159" i="41"/>
  <c r="J156" i="41"/>
  <c r="J155" i="41"/>
  <c r="J116" i="41"/>
  <c r="J119" i="41"/>
  <c r="J117" i="41"/>
  <c r="J111" i="41"/>
  <c r="J114" i="41"/>
  <c r="J112" i="41"/>
  <c r="J115" i="41"/>
  <c r="O40" i="60"/>
  <c r="AJ4" i="32"/>
  <c r="AC4" i="32"/>
  <c r="C4" i="32"/>
  <c r="G4" i="32"/>
  <c r="I4" i="32"/>
  <c r="X4" i="32"/>
  <c r="M4" i="32"/>
  <c r="AI4" i="32"/>
  <c r="D4" i="32"/>
  <c r="AG4" i="32"/>
  <c r="E4" i="32"/>
  <c r="AB4" i="32"/>
  <c r="AE4" i="32"/>
  <c r="AF4" i="32"/>
  <c r="AH4" i="32"/>
  <c r="B4" i="32"/>
  <c r="Z4" i="32"/>
  <c r="O4" i="32"/>
  <c r="AA4" i="32"/>
  <c r="H4" i="32"/>
  <c r="P4" i="32"/>
  <c r="S4" i="32"/>
  <c r="W4" i="32"/>
  <c r="J4" i="32"/>
  <c r="Y4" i="32"/>
  <c r="F4" i="32"/>
  <c r="AD4" i="32"/>
  <c r="Q4" i="32"/>
  <c r="N4" i="32"/>
  <c r="V4" i="32"/>
  <c r="U4" i="32"/>
  <c r="T4" i="32"/>
  <c r="K4" i="32"/>
  <c r="R4" i="32"/>
  <c r="L4" i="32"/>
  <c r="H42" i="20" l="1"/>
  <c r="AG36" i="20"/>
  <c r="AG33" i="20"/>
  <c r="AI36" i="20"/>
  <c r="AI33" i="20"/>
  <c r="AK36" i="20"/>
  <c r="AK33" i="20"/>
  <c r="O25" i="33"/>
  <c r="O26" i="33"/>
  <c r="O20" i="33"/>
  <c r="O19" i="33"/>
  <c r="O31" i="33"/>
  <c r="O32" i="33"/>
  <c r="K237" i="60"/>
  <c r="S230" i="60"/>
  <c r="I237" i="60"/>
  <c r="Q230" i="60"/>
  <c r="G237" i="60"/>
  <c r="O230" i="60"/>
  <c r="L237" i="60"/>
  <c r="T230" i="60"/>
  <c r="J237" i="60"/>
  <c r="R230" i="60"/>
  <c r="H237" i="60"/>
  <c r="P230" i="60"/>
  <c r="F237" i="60"/>
  <c r="N230" i="60"/>
  <c r="F71" i="41"/>
  <c r="G50" i="71"/>
  <c r="G49" i="71"/>
  <c r="G51" i="71"/>
  <c r="G47" i="71"/>
  <c r="G46" i="71"/>
  <c r="G45" i="71"/>
  <c r="H72" i="33"/>
  <c r="L72" i="33" s="1"/>
  <c r="I72" i="33" s="1"/>
  <c r="H152" i="33"/>
  <c r="H118" i="33"/>
  <c r="L118" i="33" s="1"/>
  <c r="H81" i="33"/>
  <c r="L81" i="33" s="1"/>
  <c r="H144" i="33"/>
  <c r="L144" i="33" s="1"/>
  <c r="I144" i="33" s="1"/>
  <c r="M129" i="20" s="1"/>
  <c r="H136" i="33"/>
  <c r="L136" i="33" s="1"/>
  <c r="I136" i="33" s="1"/>
  <c r="M121" i="20" s="1"/>
  <c r="G55" i="71"/>
  <c r="G54" i="71"/>
  <c r="G53" i="71"/>
  <c r="H109" i="33"/>
  <c r="L109" i="33" s="1"/>
  <c r="I109" i="33" s="1"/>
  <c r="M92" i="20" s="1"/>
  <c r="H101" i="33"/>
  <c r="L101" i="33" s="1"/>
  <c r="B245" i="60"/>
  <c r="M71" i="41"/>
  <c r="M70" i="41"/>
  <c r="M72" i="41"/>
  <c r="H76" i="41"/>
  <c r="J76" i="41"/>
  <c r="L76" i="41"/>
  <c r="N76" i="41"/>
  <c r="P76" i="41"/>
  <c r="H77" i="41"/>
  <c r="J77" i="41"/>
  <c r="L77" i="41"/>
  <c r="N77" i="41"/>
  <c r="P77" i="41"/>
  <c r="H78" i="41"/>
  <c r="J78" i="41"/>
  <c r="L78" i="41"/>
  <c r="N78" i="41"/>
  <c r="P78" i="41"/>
  <c r="F78" i="41"/>
  <c r="G54" i="41"/>
  <c r="I54" i="41"/>
  <c r="K54" i="41"/>
  <c r="M54" i="41"/>
  <c r="O54" i="41"/>
  <c r="G55" i="41"/>
  <c r="I55" i="41"/>
  <c r="K55" i="41"/>
  <c r="M55" i="41"/>
  <c r="O55" i="41"/>
  <c r="F55" i="41"/>
  <c r="G76" i="41"/>
  <c r="I76" i="41"/>
  <c r="K76" i="41"/>
  <c r="M76" i="41"/>
  <c r="O76" i="41"/>
  <c r="G77" i="41"/>
  <c r="I77" i="41"/>
  <c r="K77" i="41"/>
  <c r="M77" i="41"/>
  <c r="O77" i="41"/>
  <c r="G78" i="41"/>
  <c r="I78" i="41"/>
  <c r="K78" i="41"/>
  <c r="M78" i="41"/>
  <c r="O78" i="41"/>
  <c r="F77" i="41"/>
  <c r="F76" i="41"/>
  <c r="H54" i="41"/>
  <c r="J54" i="41"/>
  <c r="L54" i="41"/>
  <c r="N54" i="41"/>
  <c r="P54" i="41"/>
  <c r="H55" i="41"/>
  <c r="J55" i="41"/>
  <c r="L55" i="41"/>
  <c r="N55" i="41"/>
  <c r="P55" i="41"/>
  <c r="F54" i="41"/>
  <c r="M52" i="41"/>
  <c r="M74" i="41"/>
  <c r="M53" i="41"/>
  <c r="M73" i="41"/>
  <c r="M75" i="41"/>
  <c r="G70" i="41"/>
  <c r="F70" i="41"/>
  <c r="K70" i="41"/>
  <c r="G71" i="41"/>
  <c r="H71" i="41"/>
  <c r="K71" i="41"/>
  <c r="H70" i="41"/>
  <c r="J72" i="41"/>
  <c r="K72" i="41"/>
  <c r="F72" i="41"/>
  <c r="H72" i="41"/>
  <c r="J70" i="41"/>
  <c r="I70" i="41"/>
  <c r="L70" i="41"/>
  <c r="J71" i="41"/>
  <c r="L71" i="41"/>
  <c r="I71" i="41"/>
  <c r="G72" i="41"/>
  <c r="L72" i="41"/>
  <c r="I72" i="41"/>
  <c r="I73" i="41"/>
  <c r="K73" i="41"/>
  <c r="J74" i="41"/>
  <c r="I75" i="41"/>
  <c r="K75" i="41"/>
  <c r="O70" i="41"/>
  <c r="O71" i="41"/>
  <c r="O72" i="41"/>
  <c r="P70" i="41"/>
  <c r="P72" i="41"/>
  <c r="J73" i="41"/>
  <c r="K74" i="41"/>
  <c r="N70" i="41"/>
  <c r="P71" i="41"/>
  <c r="N72" i="41"/>
  <c r="I74" i="41"/>
  <c r="J75" i="41"/>
  <c r="N71" i="41"/>
  <c r="G53" i="41"/>
  <c r="I53" i="41"/>
  <c r="K53" i="41"/>
  <c r="O53" i="41"/>
  <c r="F53" i="41"/>
  <c r="H52" i="41"/>
  <c r="J52" i="41"/>
  <c r="L52" i="41"/>
  <c r="N52" i="41"/>
  <c r="P52" i="41"/>
  <c r="H53" i="41"/>
  <c r="J53" i="41"/>
  <c r="L53" i="41"/>
  <c r="N53" i="41"/>
  <c r="P53" i="41"/>
  <c r="G52" i="41"/>
  <c r="I52" i="41"/>
  <c r="K52" i="41"/>
  <c r="O52" i="41"/>
  <c r="F52" i="41"/>
  <c r="G30" i="71"/>
  <c r="G29" i="71"/>
  <c r="G31" i="71"/>
  <c r="G26" i="71"/>
  <c r="G25" i="71"/>
  <c r="G27" i="71"/>
  <c r="G34" i="71"/>
  <c r="G33" i="71"/>
  <c r="G35" i="71"/>
  <c r="A6" i="71"/>
  <c r="AC6" i="71"/>
  <c r="A15" i="24"/>
  <c r="I171" i="60"/>
  <c r="K98" i="33"/>
  <c r="C161" i="60"/>
  <c r="C60" i="60"/>
  <c r="C62" i="60" s="1"/>
  <c r="R133" i="60" a="1"/>
  <c r="R133" i="60" s="1"/>
  <c r="AP131" i="60" a="1"/>
  <c r="AP131" i="60" s="1"/>
  <c r="I237" i="41"/>
  <c r="F8" i="60"/>
  <c r="L132" i="60" a="1"/>
  <c r="L132" i="60" s="1"/>
  <c r="I233" i="41"/>
  <c r="E248" i="60"/>
  <c r="AB132" i="60" a="1"/>
  <c r="AB132" i="60" s="1"/>
  <c r="H244" i="60"/>
  <c r="J244" i="60"/>
  <c r="I244" i="60"/>
  <c r="F244" i="60"/>
  <c r="G161" i="60"/>
  <c r="X132" i="60" a="1"/>
  <c r="X132" i="60" s="1"/>
  <c r="D133" i="60" a="1"/>
  <c r="D133" i="60" s="1"/>
  <c r="X131" i="60" a="1"/>
  <c r="X131" i="60" s="1"/>
  <c r="AE132" i="60" a="1"/>
  <c r="AE132" i="60" s="1"/>
  <c r="H234" i="41"/>
  <c r="H232" i="41"/>
  <c r="H231" i="41"/>
  <c r="H233" i="41"/>
  <c r="AD30" i="60"/>
  <c r="D131" i="60" a="1"/>
  <c r="D131" i="60" s="1"/>
  <c r="R131" i="60" a="1"/>
  <c r="R131" i="60" s="1"/>
  <c r="K131" i="60" a="1"/>
  <c r="K131" i="60" s="1"/>
  <c r="S67" i="20"/>
  <c r="P131" i="60" a="1"/>
  <c r="P131" i="60" s="1"/>
  <c r="P132" i="60" a="1"/>
  <c r="P132" i="60" s="1"/>
  <c r="P133" i="60" a="1"/>
  <c r="P133" i="60" s="1"/>
  <c r="AH131" i="60" a="1"/>
  <c r="AH131" i="60" s="1"/>
  <c r="AH133" i="60" a="1"/>
  <c r="AH133" i="60" s="1"/>
  <c r="F220" i="41"/>
  <c r="AB133" i="60" a="1"/>
  <c r="AB133" i="60" s="1"/>
  <c r="I131" i="60" a="1"/>
  <c r="I131" i="60" s="1"/>
  <c r="I132" i="60" a="1"/>
  <c r="I132" i="60" s="1"/>
  <c r="N133" i="60" a="1"/>
  <c r="N133" i="60" s="1"/>
  <c r="I231" i="41"/>
  <c r="I234" i="41"/>
  <c r="A12" i="24"/>
  <c r="K133" i="60" a="1"/>
  <c r="K133" i="60" s="1"/>
  <c r="A27" i="24"/>
  <c r="AP132" i="60" a="1"/>
  <c r="AP132" i="60" s="1"/>
  <c r="H237" i="41"/>
  <c r="A26" i="24"/>
  <c r="A24" i="24"/>
  <c r="H236" i="41"/>
  <c r="A16" i="24"/>
  <c r="H235" i="41"/>
  <c r="N131" i="60" a="1"/>
  <c r="N131" i="60" s="1"/>
  <c r="AE133" i="60" a="1"/>
  <c r="AE133" i="60" s="1"/>
  <c r="F36" i="60" a="1"/>
  <c r="F36" i="60" s="1"/>
  <c r="AR131" i="60" a="1"/>
  <c r="AR131" i="60" s="1"/>
  <c r="E161" i="60"/>
  <c r="B110" i="60"/>
  <c r="E170" i="60"/>
  <c r="F238" i="41"/>
  <c r="AO133" i="60" a="1"/>
  <c r="AO133" i="60" s="1"/>
  <c r="AO132" i="60" a="1"/>
  <c r="AO132" i="60" s="1"/>
  <c r="S77" i="20"/>
  <c r="E37" i="20"/>
  <c r="F37" i="20" s="1"/>
  <c r="T131" i="60" a="1"/>
  <c r="T131" i="60" s="1"/>
  <c r="J37" i="60" a="1"/>
  <c r="J37" i="60" s="1"/>
  <c r="L36" i="60" a="1"/>
  <c r="L36" i="60" s="1"/>
  <c r="P38" i="60" a="1"/>
  <c r="P38" i="60" s="1"/>
  <c r="T133" i="60" a="1"/>
  <c r="T133" i="60" s="1"/>
  <c r="AL132" i="60" a="1"/>
  <c r="AL132" i="60" s="1"/>
  <c r="AL133" i="60" a="1"/>
  <c r="AL133" i="60" s="1"/>
  <c r="AJ133" i="60" a="1"/>
  <c r="AJ133" i="60" s="1"/>
  <c r="AJ132" i="60" a="1"/>
  <c r="AJ132" i="60" s="1"/>
  <c r="AJ131" i="60" a="1"/>
  <c r="AJ131" i="60" s="1"/>
  <c r="D145" i="60"/>
  <c r="AR132" i="60" a="1"/>
  <c r="AR132" i="60" s="1"/>
  <c r="AR30" i="60"/>
  <c r="H132" i="60" a="1"/>
  <c r="H132" i="60" s="1"/>
  <c r="H133" i="60" a="1"/>
  <c r="H133" i="60" s="1"/>
  <c r="M133" i="60" a="1"/>
  <c r="M133" i="60" s="1"/>
  <c r="M132" i="60" a="1"/>
  <c r="M132" i="60" s="1"/>
  <c r="I232" i="41"/>
  <c r="Z133" i="60" a="1"/>
  <c r="Z133" i="60" s="1"/>
  <c r="Z132" i="60" a="1"/>
  <c r="Z132" i="60" s="1"/>
  <c r="G33" i="60" a="1"/>
  <c r="G33" i="60" s="1"/>
  <c r="S112" i="20"/>
  <c r="V132" i="60" a="1"/>
  <c r="V132" i="60" s="1"/>
  <c r="V131" i="60" a="1"/>
  <c r="V131" i="60" s="1"/>
  <c r="F64" i="60"/>
  <c r="C107" i="60"/>
  <c r="A117" i="60"/>
  <c r="B109" i="60"/>
  <c r="H220" i="41"/>
  <c r="AF131" i="60" a="1"/>
  <c r="AF131" i="60" s="1"/>
  <c r="AF133" i="60" a="1"/>
  <c r="AF133" i="60" s="1"/>
  <c r="AF132" i="60" a="1"/>
  <c r="AF132" i="60" s="1"/>
  <c r="C34" i="60" a="1"/>
  <c r="C34" i="60" s="1"/>
  <c r="L38" i="60" a="1"/>
  <c r="L38" i="60" s="1"/>
  <c r="J34" i="60" a="1"/>
  <c r="J34" i="60" s="1"/>
  <c r="D35" i="60" a="1"/>
  <c r="D35" i="60" s="1"/>
  <c r="F38" i="60" a="1"/>
  <c r="F38" i="60" s="1"/>
  <c r="J39" i="60" a="1"/>
  <c r="J39" i="60" s="1"/>
  <c r="K35" i="60" a="1"/>
  <c r="K35" i="60" s="1"/>
  <c r="F35" i="60" a="1"/>
  <c r="F35" i="60" s="1"/>
  <c r="AK133" i="60" a="1"/>
  <c r="AK133" i="60" s="1"/>
  <c r="AK131" i="60" a="1"/>
  <c r="AK131" i="60" s="1"/>
  <c r="AK132" i="60" a="1"/>
  <c r="AK132" i="60" s="1"/>
  <c r="G214" i="60"/>
  <c r="I214" i="60"/>
  <c r="K214" i="60"/>
  <c r="F214" i="60"/>
  <c r="C110" i="60"/>
  <c r="I220" i="41"/>
  <c r="J214" i="60"/>
  <c r="E240" i="41"/>
  <c r="I235" i="41"/>
  <c r="AM131" i="60" a="1"/>
  <c r="AM131" i="60" s="1"/>
  <c r="AM132" i="60" a="1"/>
  <c r="AM132" i="60" s="1"/>
  <c r="I170" i="60"/>
  <c r="H214" i="60"/>
  <c r="L214" i="60"/>
  <c r="AN132" i="60" a="1"/>
  <c r="AN132" i="60" s="1"/>
  <c r="AN133" i="60" a="1"/>
  <c r="AN133" i="60" s="1"/>
  <c r="Q132" i="60" a="1"/>
  <c r="Q132" i="60" s="1"/>
  <c r="Q133" i="60" a="1"/>
  <c r="Q133" i="60" s="1"/>
  <c r="AD131" i="60" a="1"/>
  <c r="AD131" i="60" s="1"/>
  <c r="AD133" i="60" a="1"/>
  <c r="AD133" i="60" s="1"/>
  <c r="J133" i="60" a="1"/>
  <c r="J133" i="60" s="1"/>
  <c r="J132" i="60" a="1"/>
  <c r="J132" i="60" s="1"/>
  <c r="J131" i="60" a="1"/>
  <c r="J131" i="60" s="1"/>
  <c r="W132" i="60" a="1"/>
  <c r="W132" i="60" s="1"/>
  <c r="W133" i="60" a="1"/>
  <c r="W133" i="60" s="1"/>
  <c r="Y132" i="60" a="1"/>
  <c r="Y132" i="60" s="1"/>
  <c r="G171" i="60"/>
  <c r="J62" i="60"/>
  <c r="J36" i="60" a="1"/>
  <c r="J36" i="60" s="1"/>
  <c r="J38" i="60" a="1"/>
  <c r="J38" i="60" s="1"/>
  <c r="Q37" i="60" a="1"/>
  <c r="Q37" i="60" s="1"/>
  <c r="B39" i="60" a="1"/>
  <c r="B39" i="60" s="1"/>
  <c r="P34" i="60" a="1"/>
  <c r="P34" i="60" s="1"/>
  <c r="R38" i="60" a="1"/>
  <c r="R38" i="60" s="1"/>
  <c r="K36" i="60" a="1"/>
  <c r="K36" i="60" s="1"/>
  <c r="F33" i="60" a="1"/>
  <c r="F33" i="60" s="1"/>
  <c r="F39" i="60" a="1"/>
  <c r="F39" i="60" s="1"/>
  <c r="R39" i="60" a="1"/>
  <c r="R39" i="60" s="1"/>
  <c r="G35" i="60" a="1"/>
  <c r="G35" i="60" s="1"/>
  <c r="D37" i="60" a="1"/>
  <c r="D37" i="60" s="1"/>
  <c r="K38" i="60" a="1"/>
  <c r="K38" i="60" s="1"/>
  <c r="D38" i="60" a="1"/>
  <c r="D38" i="60" s="1"/>
  <c r="G34" i="60" a="1"/>
  <c r="G34" i="60" s="1"/>
  <c r="G37" i="60" a="1"/>
  <c r="G37" i="60" s="1"/>
  <c r="Q36" i="60" a="1"/>
  <c r="Q36" i="60" s="1"/>
  <c r="B33" i="60" a="1"/>
  <c r="B33" i="60" s="1"/>
  <c r="Q40" i="60" a="1"/>
  <c r="Q40" i="60" s="1"/>
  <c r="L37" i="60" a="1"/>
  <c r="L37" i="60" s="1"/>
  <c r="H39" i="60" a="1"/>
  <c r="H39" i="60" s="1"/>
  <c r="Q39" i="60" a="1"/>
  <c r="Q39" i="60" s="1"/>
  <c r="C36" i="60" a="1"/>
  <c r="C36" i="60" s="1"/>
  <c r="K33" i="60" a="1"/>
  <c r="K33" i="60" s="1"/>
  <c r="R34" i="60" a="1"/>
  <c r="R34" i="60" s="1"/>
  <c r="B34" i="60" a="1"/>
  <c r="B34" i="60" s="1"/>
  <c r="P35" i="60" a="1"/>
  <c r="P35" i="60" s="1"/>
  <c r="G38" i="60" a="1"/>
  <c r="G38" i="60" s="1"/>
  <c r="R35" i="60" a="1"/>
  <c r="R35" i="60" s="1"/>
  <c r="D34" i="60" a="1"/>
  <c r="D34" i="60" s="1"/>
  <c r="C35" i="60" a="1"/>
  <c r="C35" i="60" s="1"/>
  <c r="D39" i="60" a="1"/>
  <c r="D39" i="60" s="1"/>
  <c r="R40" i="60" a="1"/>
  <c r="R40" i="60" s="1"/>
  <c r="H34" i="60" a="1"/>
  <c r="H34" i="60" s="1"/>
  <c r="L35" i="60" a="1"/>
  <c r="L35" i="60" s="1"/>
  <c r="B38" i="60" a="1"/>
  <c r="B38" i="60" s="1"/>
  <c r="K37" i="60" a="1"/>
  <c r="K37" i="60" s="1"/>
  <c r="P39" i="60" a="1"/>
  <c r="P39" i="60" s="1"/>
  <c r="H36" i="60" a="1"/>
  <c r="H36" i="60" s="1"/>
  <c r="C33" i="60" a="1"/>
  <c r="C33" i="60" s="1"/>
  <c r="L34" i="60" a="1"/>
  <c r="L34" i="60" s="1"/>
  <c r="D33" i="60" a="1"/>
  <c r="D33" i="60" s="1"/>
  <c r="K39" i="60" a="1"/>
  <c r="K39" i="60" s="1"/>
  <c r="Q34" i="60" a="1"/>
  <c r="Q34" i="60" s="1"/>
  <c r="G36" i="60" a="1"/>
  <c r="G36" i="60" s="1"/>
  <c r="P37" i="60" a="1"/>
  <c r="P37" i="60" s="1"/>
  <c r="B35" i="60" a="1"/>
  <c r="B35" i="60" s="1"/>
  <c r="Q38" i="60" a="1"/>
  <c r="Q38" i="60" s="1"/>
  <c r="C37" i="60" a="1"/>
  <c r="C37" i="60" s="1"/>
  <c r="H37" i="60" a="1"/>
  <c r="H37" i="60" s="1"/>
  <c r="C38" i="60" a="1"/>
  <c r="C38" i="60" s="1"/>
  <c r="F34" i="60" a="1"/>
  <c r="F34" i="60" s="1"/>
  <c r="L33" i="60" a="1"/>
  <c r="L33" i="60" s="1"/>
  <c r="L39" i="60" a="1"/>
  <c r="L39" i="60" s="1"/>
  <c r="R37" i="60" a="1"/>
  <c r="R37" i="60" s="1"/>
  <c r="Q35" i="60" a="1"/>
  <c r="Q35" i="60" s="1"/>
  <c r="J35" i="60" a="1"/>
  <c r="J35" i="60" s="1"/>
  <c r="J33" i="60" a="1"/>
  <c r="J33" i="60" s="1"/>
  <c r="B37" i="60" a="1"/>
  <c r="B37" i="60" s="1"/>
  <c r="D36" i="60" a="1"/>
  <c r="D36" i="60" s="1"/>
  <c r="AI131" i="60" a="1"/>
  <c r="AI131" i="60" s="1"/>
  <c r="AI132" i="60" a="1"/>
  <c r="AI132" i="60" s="1"/>
  <c r="AI133" i="60" a="1"/>
  <c r="AI133" i="60" s="1"/>
  <c r="F133" i="60" a="1"/>
  <c r="F133" i="60" s="1"/>
  <c r="F131" i="60" a="1"/>
  <c r="F131" i="60" s="1"/>
  <c r="F132" i="60" a="1"/>
  <c r="F132" i="60" s="1"/>
  <c r="A123" i="60"/>
  <c r="B111" i="60"/>
  <c r="B108" i="60"/>
  <c r="B107" i="60"/>
  <c r="C111" i="60"/>
  <c r="C108" i="60"/>
  <c r="C109" i="60"/>
  <c r="S108" i="20"/>
  <c r="U131" i="60" a="1"/>
  <c r="U131" i="60" s="1"/>
  <c r="U133" i="60" a="1"/>
  <c r="U133" i="60" s="1"/>
  <c r="U132" i="60" a="1"/>
  <c r="U132" i="60" s="1"/>
  <c r="F37" i="60" a="1"/>
  <c r="F37" i="60" s="1"/>
  <c r="G39" i="60" a="1"/>
  <c r="G39" i="60" s="1"/>
  <c r="H35" i="60" a="1"/>
  <c r="H35" i="60" s="1"/>
  <c r="H38" i="60" a="1"/>
  <c r="H38" i="60" s="1"/>
  <c r="P36" i="60" a="1"/>
  <c r="P36" i="60" s="1"/>
  <c r="C39" i="60" a="1"/>
  <c r="C39" i="60" s="1"/>
  <c r="H33" i="60" a="1"/>
  <c r="H33" i="60" s="1"/>
  <c r="P40" i="60" a="1"/>
  <c r="P40" i="60" s="1"/>
  <c r="B61" i="60"/>
  <c r="G60" i="60"/>
  <c r="J60" i="60"/>
  <c r="AG132" i="60" a="1"/>
  <c r="AG132" i="60" s="1"/>
  <c r="AG133" i="60" a="1"/>
  <c r="AG133" i="60" s="1"/>
  <c r="AG131" i="60" a="1"/>
  <c r="AG131" i="60" s="1"/>
  <c r="AC132" i="60" a="1"/>
  <c r="AC132" i="60" s="1"/>
  <c r="AC131" i="60" a="1"/>
  <c r="AC131" i="60" s="1"/>
  <c r="Y131" i="60" a="1"/>
  <c r="Y131" i="60" s="1"/>
  <c r="S132" i="60" a="1"/>
  <c r="S132" i="60" s="1"/>
  <c r="S133" i="60" a="1"/>
  <c r="S133" i="60" s="1"/>
  <c r="C133" i="60" a="1"/>
  <c r="C133" i="60" s="1"/>
  <c r="C131" i="60" a="1"/>
  <c r="C131" i="60" s="1"/>
  <c r="C132" i="60" a="1"/>
  <c r="C132" i="60" s="1"/>
  <c r="O131" i="60" a="1"/>
  <c r="O131" i="60" s="1"/>
  <c r="O132" i="60" a="1"/>
  <c r="O132" i="60" s="1"/>
  <c r="AA133" i="60" a="1"/>
  <c r="AA133" i="60" s="1"/>
  <c r="AA132" i="60" a="1"/>
  <c r="AA132" i="60" s="1"/>
  <c r="B36" i="60" a="1"/>
  <c r="B36" i="60" s="1"/>
  <c r="R36" i="60" a="1"/>
  <c r="R36" i="60" s="1"/>
  <c r="K34" i="60" a="1"/>
  <c r="K34" i="60" s="1"/>
  <c r="AQ131" i="60" a="1"/>
  <c r="AQ131" i="60" s="1"/>
  <c r="AQ133" i="60" a="1"/>
  <c r="AQ133" i="60" s="1"/>
  <c r="E132" i="60" a="1"/>
  <c r="E132" i="60" s="1"/>
  <c r="E131" i="60" a="1"/>
  <c r="E131" i="60" s="1"/>
  <c r="E133" i="60" a="1"/>
  <c r="E133" i="60" s="1"/>
  <c r="V133" i="60" a="1"/>
  <c r="V133" i="60" s="1"/>
  <c r="Z131" i="60" a="1"/>
  <c r="Z131" i="60" s="1"/>
  <c r="I161" i="60"/>
  <c r="G133" i="60" a="1"/>
  <c r="G133" i="60" s="1"/>
  <c r="G132" i="60" a="1"/>
  <c r="G132" i="60" s="1"/>
  <c r="G170" i="60"/>
  <c r="E171" i="60"/>
  <c r="L131" i="60" a="1"/>
  <c r="L131" i="60" s="1"/>
  <c r="F229" i="41"/>
  <c r="F10" i="84" l="1"/>
  <c r="E10" i="84"/>
  <c r="G10" i="84"/>
  <c r="C27" i="24"/>
  <c r="B22" i="84" s="1"/>
  <c r="C16" i="24"/>
  <c r="B11" i="84" s="1"/>
  <c r="C12" i="24"/>
  <c r="B7" i="84" s="1"/>
  <c r="C24" i="24"/>
  <c r="B19" i="84" s="1"/>
  <c r="C26" i="24"/>
  <c r="B21" i="84" s="1"/>
  <c r="C15" i="24"/>
  <c r="B10" i="84" s="1"/>
  <c r="K32" i="33"/>
  <c r="K33" i="33"/>
  <c r="D15" i="24"/>
  <c r="C10" i="84" s="1"/>
  <c r="K18" i="33"/>
  <c r="K173" i="33" s="1"/>
  <c r="D16" i="24"/>
  <c r="C11" i="84" s="1"/>
  <c r="A35" i="24"/>
  <c r="C35" i="24" s="1"/>
  <c r="D27" i="24"/>
  <c r="C22" i="84" s="1"/>
  <c r="A13" i="24"/>
  <c r="K26" i="33"/>
  <c r="L152" i="33"/>
  <c r="I152" i="33" s="1"/>
  <c r="M66" i="41"/>
  <c r="M63" i="41"/>
  <c r="M64" i="41"/>
  <c r="M65" i="41"/>
  <c r="Q78" i="41"/>
  <c r="Q77" i="41"/>
  <c r="Q76" i="41"/>
  <c r="Q72" i="41"/>
  <c r="Q71" i="41"/>
  <c r="Q70" i="41"/>
  <c r="O63" i="41"/>
  <c r="P66" i="41"/>
  <c r="N65" i="41"/>
  <c r="P64" i="41"/>
  <c r="K63" i="41"/>
  <c r="G63" i="41"/>
  <c r="L66" i="41"/>
  <c r="H66" i="41"/>
  <c r="J65" i="41"/>
  <c r="L64" i="41"/>
  <c r="H64" i="41"/>
  <c r="N63" i="41"/>
  <c r="J63" i="41"/>
  <c r="F64" i="41"/>
  <c r="O66" i="41"/>
  <c r="K66" i="41"/>
  <c r="G66" i="41"/>
  <c r="I65" i="41"/>
  <c r="O64" i="41"/>
  <c r="K64" i="41"/>
  <c r="G64" i="41"/>
  <c r="F63" i="41"/>
  <c r="I63" i="41"/>
  <c r="F66" i="41"/>
  <c r="N66" i="41"/>
  <c r="J66" i="41"/>
  <c r="P65" i="41"/>
  <c r="L65" i="41"/>
  <c r="H65" i="41"/>
  <c r="N64" i="41"/>
  <c r="J64" i="41"/>
  <c r="P63" i="41"/>
  <c r="L63" i="41"/>
  <c r="H63" i="41"/>
  <c r="F65" i="41"/>
  <c r="I66" i="41"/>
  <c r="O65" i="41"/>
  <c r="K65" i="41"/>
  <c r="G65" i="41"/>
  <c r="I64" i="41"/>
  <c r="J233" i="41"/>
  <c r="H75" i="41" s="1"/>
  <c r="C47" i="41"/>
  <c r="J226" i="41"/>
  <c r="L74" i="41" s="1"/>
  <c r="Y25" i="71"/>
  <c r="S39" i="20" s="1"/>
  <c r="V25" i="71"/>
  <c r="P39" i="20" s="1"/>
  <c r="W25" i="71"/>
  <c r="Q39" i="20" s="1"/>
  <c r="X25" i="71"/>
  <c r="R39" i="20" s="1"/>
  <c r="R134" i="60"/>
  <c r="X134" i="60"/>
  <c r="A33" i="24"/>
  <c r="AP134" i="60"/>
  <c r="P134" i="60"/>
  <c r="AB134" i="60"/>
  <c r="D109" i="60"/>
  <c r="D69" i="60" s="1"/>
  <c r="AE134" i="60"/>
  <c r="A23" i="24"/>
  <c r="AO134" i="60"/>
  <c r="D134" i="60"/>
  <c r="AH134" i="60"/>
  <c r="H238" i="41"/>
  <c r="K134" i="60"/>
  <c r="AR134" i="60"/>
  <c r="J231" i="41"/>
  <c r="F75" i="41" s="1"/>
  <c r="AJ134" i="60"/>
  <c r="H134" i="60"/>
  <c r="D147" i="60"/>
  <c r="J218" i="41"/>
  <c r="O73" i="41" s="1"/>
  <c r="A21" i="24"/>
  <c r="T134" i="60"/>
  <c r="D24" i="24"/>
  <c r="C19" i="84" s="1"/>
  <c r="AG134" i="60"/>
  <c r="G37" i="20"/>
  <c r="Q44" i="60"/>
  <c r="I134" i="60"/>
  <c r="A34" i="24"/>
  <c r="J215" i="41"/>
  <c r="H73" i="41" s="1"/>
  <c r="J214" i="41"/>
  <c r="G73" i="41" s="1"/>
  <c r="A28" i="24"/>
  <c r="A19" i="24"/>
  <c r="AL134" i="60"/>
  <c r="J216" i="41"/>
  <c r="N73" i="41" s="1"/>
  <c r="A30" i="24"/>
  <c r="A20" i="24"/>
  <c r="A10" i="24"/>
  <c r="C10" i="24" s="1"/>
  <c r="M170" i="60"/>
  <c r="B170" i="60" s="1"/>
  <c r="C170" i="60" s="1"/>
  <c r="A6" i="24"/>
  <c r="C6" i="24" s="1"/>
  <c r="A9" i="24"/>
  <c r="C9" i="24" s="1"/>
  <c r="H44" i="60"/>
  <c r="A11" i="24"/>
  <c r="C11" i="24" s="1"/>
  <c r="A25" i="24"/>
  <c r="D26" i="24"/>
  <c r="C21" i="84" s="1"/>
  <c r="D107" i="60"/>
  <c r="B67" i="60" s="1"/>
  <c r="A8" i="24"/>
  <c r="C8" i="24" s="1"/>
  <c r="J237" i="41"/>
  <c r="P75" i="41" s="1"/>
  <c r="D12" i="24"/>
  <c r="C7" i="84" s="1"/>
  <c r="J219" i="41"/>
  <c r="P73" i="41" s="1"/>
  <c r="A14" i="24"/>
  <c r="J232" i="41"/>
  <c r="G75" i="41" s="1"/>
  <c r="A17" i="24"/>
  <c r="J235" i="41"/>
  <c r="L75" i="41" s="1"/>
  <c r="N134" i="60"/>
  <c r="J217" i="41"/>
  <c r="L73" i="41" s="1"/>
  <c r="D110" i="60"/>
  <c r="C70" i="60" s="1"/>
  <c r="A31" i="24"/>
  <c r="A29" i="24"/>
  <c r="A22" i="24"/>
  <c r="E146" i="60"/>
  <c r="Q134" i="60"/>
  <c r="J234" i="41"/>
  <c r="N75" i="41" s="1"/>
  <c r="J236" i="41"/>
  <c r="O75" i="41" s="1"/>
  <c r="P47" i="60"/>
  <c r="J213" i="41"/>
  <c r="F73" i="41" s="1"/>
  <c r="Z134" i="60"/>
  <c r="V134" i="60"/>
  <c r="E147" i="60"/>
  <c r="AN134" i="60"/>
  <c r="M134" i="60"/>
  <c r="W134" i="60"/>
  <c r="I238" i="41"/>
  <c r="R44" i="60"/>
  <c r="Q45" i="60"/>
  <c r="AD134" i="60"/>
  <c r="L44" i="60"/>
  <c r="G44" i="60"/>
  <c r="R45" i="60"/>
  <c r="D108" i="60"/>
  <c r="C68" i="60" s="1"/>
  <c r="R48" i="60"/>
  <c r="AM134" i="60"/>
  <c r="J64" i="60"/>
  <c r="K64" i="60" s="1"/>
  <c r="L64" i="60" s="1"/>
  <c r="G64" i="60"/>
  <c r="H64" i="60" s="1"/>
  <c r="R47" i="60"/>
  <c r="AK134" i="60"/>
  <c r="AF134" i="60"/>
  <c r="H48" i="60"/>
  <c r="Y134" i="60"/>
  <c r="K46" i="60"/>
  <c r="AI134" i="60"/>
  <c r="C49" i="60"/>
  <c r="J134" i="60"/>
  <c r="C255" i="60"/>
  <c r="F255" i="60" s="1"/>
  <c r="C254" i="60"/>
  <c r="F254" i="60" s="1"/>
  <c r="Q47" i="60"/>
  <c r="Q48" i="60"/>
  <c r="AQ134" i="60"/>
  <c r="D50" i="60"/>
  <c r="C146" i="60"/>
  <c r="J47" i="60"/>
  <c r="B44" i="60"/>
  <c r="J50" i="60"/>
  <c r="L48" i="60"/>
  <c r="G48" i="60"/>
  <c r="F50" i="60"/>
  <c r="J46" i="60"/>
  <c r="H47" i="60"/>
  <c r="G49" i="60"/>
  <c r="F48" i="60"/>
  <c r="L134" i="60"/>
  <c r="E145" i="60"/>
  <c r="C253" i="60"/>
  <c r="F253" i="60" s="1"/>
  <c r="B49" i="60"/>
  <c r="AC134" i="60"/>
  <c r="Q43" i="60"/>
  <c r="Q41" i="60"/>
  <c r="L50" i="60"/>
  <c r="F46" i="60"/>
  <c r="K47" i="60"/>
  <c r="O134" i="60"/>
  <c r="P46" i="60"/>
  <c r="J48" i="60"/>
  <c r="R46" i="60"/>
  <c r="C48" i="60"/>
  <c r="K49" i="60"/>
  <c r="B50" i="60"/>
  <c r="D47" i="60"/>
  <c r="G50" i="60"/>
  <c r="D111" i="60"/>
  <c r="F134" i="60"/>
  <c r="C44" i="60"/>
  <c r="H49" i="60"/>
  <c r="P44" i="60"/>
  <c r="G47" i="60"/>
  <c r="Q46" i="60"/>
  <c r="L49" i="60"/>
  <c r="D49" i="60"/>
  <c r="B63" i="60"/>
  <c r="F61" i="60"/>
  <c r="U134" i="60"/>
  <c r="B46" i="60"/>
  <c r="O39" i="60"/>
  <c r="L46" i="60"/>
  <c r="H46" i="60"/>
  <c r="F47" i="60"/>
  <c r="M171" i="60"/>
  <c r="B171" i="60" s="1"/>
  <c r="J223" i="41"/>
  <c r="G74" i="41" s="1"/>
  <c r="J225" i="41"/>
  <c r="N74" i="41" s="1"/>
  <c r="J222" i="41"/>
  <c r="F74" i="41" s="1"/>
  <c r="J229" i="41"/>
  <c r="J224" i="41"/>
  <c r="H74" i="41" s="1"/>
  <c r="J228" i="41"/>
  <c r="P74" i="41" s="1"/>
  <c r="B159" i="60"/>
  <c r="J227" i="41"/>
  <c r="O74" i="41" s="1"/>
  <c r="G8" i="41"/>
  <c r="B158" i="60"/>
  <c r="B160" i="60"/>
  <c r="L238" i="41"/>
  <c r="L230" i="41"/>
  <c r="B162" i="60"/>
  <c r="L220" i="41"/>
  <c r="G134" i="60"/>
  <c r="D146" i="60"/>
  <c r="E134" i="60"/>
  <c r="P45" i="60"/>
  <c r="H50" i="60"/>
  <c r="P48" i="60"/>
  <c r="B47" i="60"/>
  <c r="D44" i="60"/>
  <c r="J44" i="60"/>
  <c r="F49" i="60"/>
  <c r="F44" i="60"/>
  <c r="H60" i="60"/>
  <c r="B48" i="60"/>
  <c r="D46" i="60"/>
  <c r="D48" i="60"/>
  <c r="L47" i="60"/>
  <c r="P43" i="60"/>
  <c r="P41" i="60"/>
  <c r="C134" i="60"/>
  <c r="C145" i="60"/>
  <c r="C46" i="60"/>
  <c r="C47" i="60"/>
  <c r="K48" i="60"/>
  <c r="G46" i="60"/>
  <c r="C147" i="60"/>
  <c r="AA134" i="60"/>
  <c r="S134" i="60"/>
  <c r="K60" i="60"/>
  <c r="C50" i="60"/>
  <c r="K50" i="60"/>
  <c r="R43" i="60"/>
  <c r="R41" i="60"/>
  <c r="K44" i="60"/>
  <c r="J49" i="60"/>
  <c r="K62" i="60"/>
  <c r="C21" i="24" l="1"/>
  <c r="B16" i="84" s="1"/>
  <c r="E11" i="84"/>
  <c r="F11" i="84"/>
  <c r="G11" i="84"/>
  <c r="F8" i="84"/>
  <c r="G8" i="84"/>
  <c r="E8" i="84"/>
  <c r="C25" i="24"/>
  <c r="B20" i="84" s="1"/>
  <c r="C30" i="24"/>
  <c r="A25" i="84"/>
  <c r="G21" i="84"/>
  <c r="F21" i="84"/>
  <c r="E21" i="84"/>
  <c r="G22" i="84"/>
  <c r="E22" i="84"/>
  <c r="F22" i="84"/>
  <c r="C29" i="24"/>
  <c r="A24" i="84"/>
  <c r="C14" i="24"/>
  <c r="B9" i="84" s="1"/>
  <c r="C22" i="24"/>
  <c r="B17" i="84" s="1"/>
  <c r="C31" i="24"/>
  <c r="A26" i="84"/>
  <c r="C23" i="24"/>
  <c r="B18" i="84" s="1"/>
  <c r="E19" i="84"/>
  <c r="F19" i="84"/>
  <c r="G19" i="84"/>
  <c r="C17" i="24"/>
  <c r="B12" i="84" s="1"/>
  <c r="C20" i="24"/>
  <c r="B15" i="84" s="1"/>
  <c r="C19" i="24"/>
  <c r="B14" i="84" s="1"/>
  <c r="C28" i="24"/>
  <c r="B23" i="84" s="1"/>
  <c r="E7" i="84"/>
  <c r="F7" i="84"/>
  <c r="G7" i="84"/>
  <c r="C13" i="24"/>
  <c r="B8" i="84" s="1"/>
  <c r="Q63" i="41"/>
  <c r="Q66" i="41"/>
  <c r="Q64" i="41"/>
  <c r="Q65" i="41"/>
  <c r="K50" i="33"/>
  <c r="J13" i="20"/>
  <c r="E39" i="20"/>
  <c r="AP39" i="20" s="1"/>
  <c r="K43" i="33"/>
  <c r="E35" i="24"/>
  <c r="D35" i="24"/>
  <c r="D13" i="24"/>
  <c r="C8" i="84" s="1"/>
  <c r="D9" i="24"/>
  <c r="C34" i="24"/>
  <c r="K44" i="33"/>
  <c r="K174" i="33"/>
  <c r="D3" i="41"/>
  <c r="E3" i="41" s="1"/>
  <c r="F3" i="41" s="1"/>
  <c r="H3" i="41" s="1"/>
  <c r="O37" i="74" s="1"/>
  <c r="D4" i="41"/>
  <c r="E4" i="41" s="1"/>
  <c r="F4" i="41" s="1"/>
  <c r="H4" i="41" s="1"/>
  <c r="D5" i="41"/>
  <c r="E5" i="41" s="1"/>
  <c r="F5" i="41" s="1"/>
  <c r="H5" i="41" s="1"/>
  <c r="N39" i="74" s="1"/>
  <c r="K34" i="33"/>
  <c r="B168" i="60"/>
  <c r="L159" i="33"/>
  <c r="K42" i="33"/>
  <c r="H34" i="62"/>
  <c r="H33" i="62"/>
  <c r="H31" i="62"/>
  <c r="H32" i="62"/>
  <c r="Q73" i="41"/>
  <c r="Q74" i="41"/>
  <c r="Q75" i="41"/>
  <c r="G5" i="41"/>
  <c r="G4" i="41"/>
  <c r="E33" i="24"/>
  <c r="D33" i="24"/>
  <c r="G69" i="60"/>
  <c r="B69" i="60"/>
  <c r="C33" i="24"/>
  <c r="B68" i="60"/>
  <c r="D23" i="24"/>
  <c r="C18" i="84" s="1"/>
  <c r="F69" i="60"/>
  <c r="D148" i="60"/>
  <c r="D149" i="60" s="1"/>
  <c r="E31" i="24"/>
  <c r="J67" i="60"/>
  <c r="D22" i="24"/>
  <c r="C17" i="84" s="1"/>
  <c r="J69" i="60"/>
  <c r="C69" i="60"/>
  <c r="F67" i="60"/>
  <c r="H69" i="60"/>
  <c r="D28" i="24"/>
  <c r="C23" i="84" s="1"/>
  <c r="D31" i="24"/>
  <c r="J238" i="41"/>
  <c r="H37" i="20"/>
  <c r="D20" i="24"/>
  <c r="C15" i="84" s="1"/>
  <c r="D19" i="24"/>
  <c r="C14" i="84" s="1"/>
  <c r="D8" i="24"/>
  <c r="D68" i="60"/>
  <c r="D6" i="24"/>
  <c r="D21" i="24"/>
  <c r="C16" i="84" s="1"/>
  <c r="E29" i="24"/>
  <c r="D10" i="24"/>
  <c r="J220" i="41"/>
  <c r="D70" i="60"/>
  <c r="D17" i="24"/>
  <c r="C12" i="84" s="1"/>
  <c r="D14" i="24"/>
  <c r="C9" i="84" s="1"/>
  <c r="D25" i="24"/>
  <c r="C20" i="84" s="1"/>
  <c r="D29" i="24"/>
  <c r="D30" i="24"/>
  <c r="E30" i="24"/>
  <c r="C67" i="60"/>
  <c r="D34" i="24"/>
  <c r="E34" i="24"/>
  <c r="E148" i="60"/>
  <c r="E149" i="60" s="1"/>
  <c r="D67" i="60"/>
  <c r="G67" i="60"/>
  <c r="D11" i="24"/>
  <c r="H67" i="60"/>
  <c r="C148" i="60"/>
  <c r="C149" i="60" s="1"/>
  <c r="B167" i="60"/>
  <c r="B174" i="60" s="1"/>
  <c r="F63" i="60"/>
  <c r="B70" i="60"/>
  <c r="C71" i="60"/>
  <c r="B71" i="60"/>
  <c r="D71" i="60"/>
  <c r="H71" i="60"/>
  <c r="G71" i="60"/>
  <c r="K71" i="60"/>
  <c r="F71" i="60"/>
  <c r="J71" i="60"/>
  <c r="L71" i="60"/>
  <c r="C171" i="60"/>
  <c r="J61" i="60"/>
  <c r="G61" i="60"/>
  <c r="F68" i="60"/>
  <c r="K69" i="60"/>
  <c r="L62" i="60"/>
  <c r="L69" i="60" s="1"/>
  <c r="L60" i="60"/>
  <c r="L67" i="60" s="1"/>
  <c r="K67" i="60"/>
  <c r="B166" i="60"/>
  <c r="B173" i="60" s="1"/>
  <c r="C162" i="60"/>
  <c r="C168" i="60" s="1"/>
  <c r="N46" i="60"/>
  <c r="O41" i="74" l="1"/>
  <c r="E90" i="41"/>
  <c r="E105" i="41"/>
  <c r="H7" i="41"/>
  <c r="E99" i="41"/>
  <c r="E102" i="41"/>
  <c r="E96" i="41"/>
  <c r="G21" i="74"/>
  <c r="M21" i="74"/>
  <c r="L53" i="74"/>
  <c r="H53" i="74"/>
  <c r="M53" i="74"/>
  <c r="L21" i="74"/>
  <c r="J21" i="74"/>
  <c r="K21" i="74"/>
  <c r="F21" i="74"/>
  <c r="H21" i="74"/>
  <c r="G53" i="74"/>
  <c r="K53" i="74"/>
  <c r="N53" i="74"/>
  <c r="I21" i="74"/>
  <c r="P53" i="74"/>
  <c r="J53" i="74"/>
  <c r="O53" i="74"/>
  <c r="I53" i="74"/>
  <c r="O38" i="74"/>
  <c r="N38" i="74"/>
  <c r="L39" i="74"/>
  <c r="E89" i="41"/>
  <c r="E98" i="41"/>
  <c r="E101" i="41"/>
  <c r="E95" i="41"/>
  <c r="H6" i="41"/>
  <c r="E104" i="41"/>
  <c r="H20" i="74"/>
  <c r="L20" i="74"/>
  <c r="F68" i="74"/>
  <c r="I20" i="74"/>
  <c r="P68" i="74"/>
  <c r="I52" i="74"/>
  <c r="M52" i="74"/>
  <c r="J68" i="74"/>
  <c r="J67" i="74"/>
  <c r="N52" i="74"/>
  <c r="H67" i="74"/>
  <c r="F69" i="74"/>
  <c r="M20" i="74"/>
  <c r="P52" i="74"/>
  <c r="O67" i="74"/>
  <c r="L52" i="74"/>
  <c r="G69" i="74"/>
  <c r="G68" i="74"/>
  <c r="K69" i="74"/>
  <c r="K68" i="74"/>
  <c r="N69" i="74"/>
  <c r="N67" i="74"/>
  <c r="L68" i="74"/>
  <c r="L69" i="74"/>
  <c r="H68" i="74"/>
  <c r="G67" i="74"/>
  <c r="H52" i="74"/>
  <c r="J20" i="74"/>
  <c r="P69" i="74"/>
  <c r="P67" i="74"/>
  <c r="O52" i="74"/>
  <c r="L67" i="74"/>
  <c r="F67" i="74"/>
  <c r="O68" i="74"/>
  <c r="K67" i="74"/>
  <c r="I68" i="74"/>
  <c r="G52" i="74"/>
  <c r="J69" i="74"/>
  <c r="F20" i="74"/>
  <c r="G20" i="74"/>
  <c r="O69" i="74"/>
  <c r="I67" i="74"/>
  <c r="M67" i="74"/>
  <c r="M69" i="74"/>
  <c r="J52" i="74"/>
  <c r="I69" i="74"/>
  <c r="K20" i="74"/>
  <c r="N68" i="74"/>
  <c r="K52" i="74"/>
  <c r="H69" i="74"/>
  <c r="M68" i="74"/>
  <c r="G39" i="74"/>
  <c r="H38" i="74"/>
  <c r="G38" i="74"/>
  <c r="G37" i="74"/>
  <c r="H39" i="74"/>
  <c r="L37" i="74"/>
  <c r="L38" i="74"/>
  <c r="G3" i="41"/>
  <c r="G6" i="41" s="1"/>
  <c r="N37" i="74"/>
  <c r="H155" i="33"/>
  <c r="H158" i="33" s="1"/>
  <c r="E103" i="41"/>
  <c r="H128" i="33"/>
  <c r="H131" i="33" s="1"/>
  <c r="H139" i="33" s="1"/>
  <c r="E91" i="41"/>
  <c r="E97" i="41"/>
  <c r="E100" i="41"/>
  <c r="E106" i="41"/>
  <c r="T6" i="33"/>
  <c r="U6" i="33" s="1"/>
  <c r="H11" i="41"/>
  <c r="H12" i="41" s="1"/>
  <c r="K5" i="41"/>
  <c r="I22" i="74"/>
  <c r="O54" i="74"/>
  <c r="M54" i="74"/>
  <c r="I54" i="74"/>
  <c r="N54" i="74"/>
  <c r="L54" i="74"/>
  <c r="L22" i="74"/>
  <c r="F22" i="74"/>
  <c r="K22" i="74"/>
  <c r="P54" i="74"/>
  <c r="J54" i="74"/>
  <c r="M22" i="74"/>
  <c r="G54" i="74"/>
  <c r="K54" i="74"/>
  <c r="H54" i="74"/>
  <c r="J22" i="74"/>
  <c r="H22" i="74"/>
  <c r="G22" i="74"/>
  <c r="O39" i="74"/>
  <c r="F39" i="74"/>
  <c r="F37" i="74"/>
  <c r="H37" i="74"/>
  <c r="F38" i="74"/>
  <c r="G17" i="84"/>
  <c r="F17" i="84"/>
  <c r="E17" i="84"/>
  <c r="E23" i="84"/>
  <c r="F23" i="84"/>
  <c r="G23" i="84"/>
  <c r="E9" i="84"/>
  <c r="F9" i="84"/>
  <c r="G9" i="84"/>
  <c r="E14" i="84"/>
  <c r="F14" i="84"/>
  <c r="G14" i="84"/>
  <c r="G18" i="84"/>
  <c r="F18" i="84"/>
  <c r="E18" i="84"/>
  <c r="E15" i="84"/>
  <c r="G15" i="84"/>
  <c r="F15" i="84"/>
  <c r="F20" i="84"/>
  <c r="G20" i="84"/>
  <c r="E20" i="84"/>
  <c r="F16" i="84"/>
  <c r="G16" i="84"/>
  <c r="E16" i="84"/>
  <c r="F12" i="84"/>
  <c r="G12" i="84"/>
  <c r="E12" i="84"/>
  <c r="K38" i="33"/>
  <c r="C13" i="20" s="1"/>
  <c r="K175" i="33"/>
  <c r="K176" i="33" s="1"/>
  <c r="G7" i="41"/>
  <c r="K45" i="33"/>
  <c r="M82" i="41"/>
  <c r="J82" i="41"/>
  <c r="H82" i="41"/>
  <c r="O82" i="41"/>
  <c r="F82" i="41"/>
  <c r="K82" i="41"/>
  <c r="N82" i="41"/>
  <c r="G82" i="41"/>
  <c r="L82" i="41"/>
  <c r="I82" i="41"/>
  <c r="I37" i="20"/>
  <c r="K61" i="60"/>
  <c r="J68" i="60"/>
  <c r="G63" i="60"/>
  <c r="F70" i="60"/>
  <c r="J63" i="60"/>
  <c r="H61" i="60"/>
  <c r="H68" i="60" s="1"/>
  <c r="G68" i="60"/>
  <c r="D162" i="60"/>
  <c r="D168" i="60" s="1"/>
  <c r="C167" i="60"/>
  <c r="C174" i="60" s="1"/>
  <c r="C166" i="60"/>
  <c r="C173" i="60" s="1"/>
  <c r="E212" i="60" s="1"/>
  <c r="O40" i="74" l="1"/>
  <c r="S38" i="74"/>
  <c r="F85" i="41"/>
  <c r="F86" i="41"/>
  <c r="F84" i="41"/>
  <c r="F87" i="41"/>
  <c r="M131" i="41"/>
  <c r="M133" i="41"/>
  <c r="M138" i="41"/>
  <c r="M136" i="41"/>
  <c r="M137" i="41"/>
  <c r="M135" i="41"/>
  <c r="M134" i="41"/>
  <c r="M132" i="41"/>
  <c r="L41" i="74"/>
  <c r="L40" i="74"/>
  <c r="K55" i="74"/>
  <c r="J55" i="74"/>
  <c r="G55" i="74"/>
  <c r="F70" i="74"/>
  <c r="F71" i="74" s="1"/>
  <c r="S67" i="74"/>
  <c r="M23" i="74"/>
  <c r="J70" i="74"/>
  <c r="M175" i="41"/>
  <c r="M180" i="41"/>
  <c r="M176" i="41"/>
  <c r="M179" i="41"/>
  <c r="M178" i="41"/>
  <c r="M181" i="41"/>
  <c r="M182" i="41"/>
  <c r="M177" i="41"/>
  <c r="M125" i="41"/>
  <c r="M127" i="41"/>
  <c r="M128" i="41"/>
  <c r="M123" i="41"/>
  <c r="M124" i="41"/>
  <c r="M122" i="41"/>
  <c r="M126" i="41"/>
  <c r="M121" i="41"/>
  <c r="M157" i="41"/>
  <c r="M154" i="41"/>
  <c r="M153" i="41"/>
  <c r="M159" i="41"/>
  <c r="M155" i="41"/>
  <c r="M158" i="41"/>
  <c r="M152" i="41"/>
  <c r="M156" i="41"/>
  <c r="H41" i="74"/>
  <c r="H40" i="74"/>
  <c r="S31" i="33"/>
  <c r="S32" i="33"/>
  <c r="S30" i="33"/>
  <c r="S28" i="33"/>
  <c r="S29" i="33"/>
  <c r="S27" i="33"/>
  <c r="N41" i="74"/>
  <c r="N40" i="74"/>
  <c r="G23" i="74"/>
  <c r="L70" i="74"/>
  <c r="J23" i="74"/>
  <c r="L55" i="74"/>
  <c r="S69" i="74"/>
  <c r="I23" i="74"/>
  <c r="M146" i="41"/>
  <c r="M147" i="41"/>
  <c r="M142" i="41"/>
  <c r="M144" i="41"/>
  <c r="M143" i="41"/>
  <c r="M145" i="41"/>
  <c r="M148" i="41"/>
  <c r="M149" i="41"/>
  <c r="M216" i="41"/>
  <c r="M217" i="41"/>
  <c r="M219" i="41"/>
  <c r="M214" i="41"/>
  <c r="M218" i="41"/>
  <c r="M215" i="41"/>
  <c r="M220" i="41"/>
  <c r="M213" i="41"/>
  <c r="M187" i="41"/>
  <c r="M191" i="41"/>
  <c r="M185" i="41"/>
  <c r="M192" i="41"/>
  <c r="M186" i="41"/>
  <c r="M190" i="41"/>
  <c r="M189" i="41"/>
  <c r="M188" i="41"/>
  <c r="F41" i="74"/>
  <c r="F40" i="74"/>
  <c r="S37" i="74"/>
  <c r="M164" i="41"/>
  <c r="M168" i="41"/>
  <c r="M169" i="41"/>
  <c r="M163" i="41"/>
  <c r="M167" i="41"/>
  <c r="M162" i="41"/>
  <c r="M166" i="41"/>
  <c r="M165" i="41"/>
  <c r="G40" i="74"/>
  <c r="G41" i="74"/>
  <c r="H23" i="74"/>
  <c r="K23" i="74"/>
  <c r="M70" i="74"/>
  <c r="J40" i="74"/>
  <c r="F23" i="74"/>
  <c r="S20" i="74"/>
  <c r="P40" i="74"/>
  <c r="I40" i="74"/>
  <c r="M40" i="74"/>
  <c r="K40" i="74"/>
  <c r="K70" i="74"/>
  <c r="H55" i="74"/>
  <c r="O70" i="74"/>
  <c r="H70" i="74"/>
  <c r="M55" i="74"/>
  <c r="S68" i="74"/>
  <c r="H55" i="33"/>
  <c r="H59" i="33" s="1"/>
  <c r="H76" i="33" s="1"/>
  <c r="H84" i="33"/>
  <c r="K6" i="41"/>
  <c r="T4" i="33"/>
  <c r="U4" i="33" s="1"/>
  <c r="H88" i="33"/>
  <c r="M223" i="41"/>
  <c r="M227" i="41"/>
  <c r="M229" i="41"/>
  <c r="M222" i="41"/>
  <c r="M225" i="41"/>
  <c r="M224" i="41"/>
  <c r="M226" i="41"/>
  <c r="M228" i="41"/>
  <c r="S39" i="74"/>
  <c r="S22" i="74"/>
  <c r="M236" i="41"/>
  <c r="M235" i="41"/>
  <c r="M238" i="41"/>
  <c r="M237" i="41"/>
  <c r="M233" i="41"/>
  <c r="M231" i="41"/>
  <c r="M234" i="41"/>
  <c r="M232" i="41"/>
  <c r="M201" i="41"/>
  <c r="M196" i="41"/>
  <c r="M200" i="41"/>
  <c r="M195" i="41"/>
  <c r="M198" i="41"/>
  <c r="M202" i="41"/>
  <c r="M197" i="41"/>
  <c r="M199" i="41"/>
  <c r="I70" i="74"/>
  <c r="P70" i="74"/>
  <c r="G70" i="74"/>
  <c r="N70" i="74"/>
  <c r="I55" i="74"/>
  <c r="L23" i="74"/>
  <c r="M115" i="41"/>
  <c r="M113" i="41"/>
  <c r="M112" i="41"/>
  <c r="M117" i="41"/>
  <c r="M116" i="41"/>
  <c r="M118" i="41"/>
  <c r="M114" i="41"/>
  <c r="M111" i="41"/>
  <c r="S21" i="74"/>
  <c r="K7" i="41"/>
  <c r="H121" i="33"/>
  <c r="T5" i="33"/>
  <c r="U5" i="33" s="1"/>
  <c r="H124" i="33"/>
  <c r="H92" i="33"/>
  <c r="H96" i="33" s="1"/>
  <c r="H104" i="33" s="1"/>
  <c r="G10" i="41"/>
  <c r="H63" i="60"/>
  <c r="H70" i="60" s="1"/>
  <c r="G70" i="60"/>
  <c r="E162" i="60"/>
  <c r="E168" i="60" s="1"/>
  <c r="D167" i="60"/>
  <c r="D174" i="60" s="1"/>
  <c r="D166" i="60"/>
  <c r="D173" i="60" s="1"/>
  <c r="K63" i="60"/>
  <c r="J70" i="60"/>
  <c r="B77" i="60" s="1"/>
  <c r="L61" i="60"/>
  <c r="L68" i="60" s="1"/>
  <c r="D76" i="60" s="1"/>
  <c r="K68" i="60"/>
  <c r="C76" i="60" s="1"/>
  <c r="F42" i="74" l="1"/>
  <c r="U30" i="33"/>
  <c r="F43" i="74"/>
  <c r="S17" i="33"/>
  <c r="T17" i="33" s="1"/>
  <c r="S16" i="33"/>
  <c r="S18" i="33"/>
  <c r="T18" i="33" s="1"/>
  <c r="S20" i="33"/>
  <c r="T20" i="33" s="1"/>
  <c r="S19" i="33"/>
  <c r="T19" i="33" s="1"/>
  <c r="S15" i="33"/>
  <c r="S41" i="74"/>
  <c r="I84" i="41"/>
  <c r="G84" i="41"/>
  <c r="G56" i="74" s="1"/>
  <c r="G87" i="41"/>
  <c r="K87" i="41"/>
  <c r="G86" i="41"/>
  <c r="L84" i="41"/>
  <c r="L56" i="74" s="1"/>
  <c r="N87" i="41"/>
  <c r="H84" i="41"/>
  <c r="H87" i="41"/>
  <c r="K86" i="41"/>
  <c r="K71" i="74" s="1"/>
  <c r="O87" i="41"/>
  <c r="J85" i="41"/>
  <c r="J43" i="74" s="1"/>
  <c r="I86" i="41"/>
  <c r="N86" i="41"/>
  <c r="J84" i="41"/>
  <c r="O85" i="41"/>
  <c r="J86" i="41"/>
  <c r="L87" i="41"/>
  <c r="L85" i="41"/>
  <c r="L42" i="74" s="1"/>
  <c r="M86" i="41"/>
  <c r="M73" i="74" s="1"/>
  <c r="N84" i="41"/>
  <c r="M87" i="41"/>
  <c r="M84" i="41"/>
  <c r="J87" i="41"/>
  <c r="I85" i="41"/>
  <c r="I42" i="74" s="1"/>
  <c r="M85" i="41"/>
  <c r="M43" i="74" s="1"/>
  <c r="K85" i="41"/>
  <c r="K42" i="74" s="1"/>
  <c r="L86" i="41"/>
  <c r="L73" i="74" s="1"/>
  <c r="O86" i="41"/>
  <c r="G85" i="41"/>
  <c r="G43" i="74" s="1"/>
  <c r="N85" i="41"/>
  <c r="N43" i="74" s="1"/>
  <c r="H85" i="41"/>
  <c r="H43" i="74" s="1"/>
  <c r="O84" i="41"/>
  <c r="K84" i="41"/>
  <c r="K57" i="74" s="1"/>
  <c r="I87" i="41"/>
  <c r="H86" i="41"/>
  <c r="H71" i="74" s="1"/>
  <c r="F25" i="74"/>
  <c r="F24" i="74"/>
  <c r="F26" i="74"/>
  <c r="S22" i="33"/>
  <c r="S25" i="33"/>
  <c r="S23" i="33"/>
  <c r="S24" i="33"/>
  <c r="S26" i="33"/>
  <c r="S21" i="33"/>
  <c r="K43" i="74"/>
  <c r="I26" i="74"/>
  <c r="F73" i="74"/>
  <c r="F72" i="74"/>
  <c r="N22" i="83"/>
  <c r="Q140" i="20" s="1"/>
  <c r="O22" i="83"/>
  <c r="M22" i="83"/>
  <c r="P140" i="20" s="1"/>
  <c r="O9" i="83"/>
  <c r="M9" i="83"/>
  <c r="P71" i="20" s="1"/>
  <c r="N9" i="83"/>
  <c r="Q71" i="20" s="1"/>
  <c r="O21" i="83"/>
  <c r="N21" i="83"/>
  <c r="Q143" i="20" s="1"/>
  <c r="M21" i="83"/>
  <c r="P143" i="20" s="1"/>
  <c r="N16" i="83"/>
  <c r="Q107" i="20" s="1"/>
  <c r="O16" i="83"/>
  <c r="M16" i="83"/>
  <c r="P107" i="20" s="1"/>
  <c r="M17" i="83"/>
  <c r="P87" i="20" s="1"/>
  <c r="N17" i="83"/>
  <c r="Q87" i="20" s="1"/>
  <c r="O17" i="83"/>
  <c r="O15" i="83"/>
  <c r="M15" i="83"/>
  <c r="P110" i="20" s="1"/>
  <c r="N15" i="83"/>
  <c r="Q110" i="20" s="1"/>
  <c r="O10" i="83"/>
  <c r="N10" i="83"/>
  <c r="Q68" i="20" s="1"/>
  <c r="M10" i="83"/>
  <c r="P68" i="20" s="1"/>
  <c r="K70" i="60"/>
  <c r="C77" i="60" s="1"/>
  <c r="L63" i="60"/>
  <c r="L70" i="60" s="1"/>
  <c r="D77" i="60" s="1"/>
  <c r="F162" i="60"/>
  <c r="F168" i="60" s="1"/>
  <c r="E167" i="60"/>
  <c r="E174" i="60" s="1"/>
  <c r="E166" i="60"/>
  <c r="E173" i="60" s="1"/>
  <c r="L43" i="74" l="1"/>
  <c r="P86" i="41"/>
  <c r="P84" i="41"/>
  <c r="P87" i="41"/>
  <c r="K24" i="74"/>
  <c r="J71" i="74"/>
  <c r="J72" i="74"/>
  <c r="I72" i="74"/>
  <c r="I73" i="74"/>
  <c r="G71" i="74"/>
  <c r="G73" i="74"/>
  <c r="I25" i="74"/>
  <c r="I56" i="74"/>
  <c r="I24" i="74"/>
  <c r="I58" i="74"/>
  <c r="G72" i="74"/>
  <c r="H42" i="74"/>
  <c r="I43" i="74"/>
  <c r="G26" i="74"/>
  <c r="H72" i="74"/>
  <c r="H73" i="74"/>
  <c r="L72" i="74"/>
  <c r="L71" i="74"/>
  <c r="M72" i="74"/>
  <c r="M71" i="74"/>
  <c r="O42" i="74"/>
  <c r="O43" i="74"/>
  <c r="H58" i="74"/>
  <c r="H57" i="74"/>
  <c r="H24" i="74"/>
  <c r="H26" i="74"/>
  <c r="H25" i="74"/>
  <c r="N42" i="74"/>
  <c r="H56" i="74"/>
  <c r="P85" i="41"/>
  <c r="M42" i="74"/>
  <c r="M56" i="74"/>
  <c r="M24" i="74"/>
  <c r="M26" i="74"/>
  <c r="M58" i="74"/>
  <c r="J24" i="74"/>
  <c r="J57" i="74"/>
  <c r="J26" i="74"/>
  <c r="J25" i="74"/>
  <c r="J58" i="74"/>
  <c r="H44" i="74"/>
  <c r="N44" i="74"/>
  <c r="K44" i="74"/>
  <c r="G44" i="74"/>
  <c r="M44" i="74"/>
  <c r="I44" i="74"/>
  <c r="F44" i="74"/>
  <c r="P44" i="74"/>
  <c r="J44" i="74"/>
  <c r="L44" i="74"/>
  <c r="O44" i="74"/>
  <c r="J56" i="74"/>
  <c r="S33" i="33"/>
  <c r="T15" i="33"/>
  <c r="Q16" i="33" s="1"/>
  <c r="I71" i="74"/>
  <c r="K56" i="74"/>
  <c r="K26" i="74"/>
  <c r="K58" i="74"/>
  <c r="K25" i="74"/>
  <c r="K72" i="74"/>
  <c r="K73" i="74"/>
  <c r="L26" i="74"/>
  <c r="L25" i="74"/>
  <c r="L57" i="74"/>
  <c r="L24" i="74"/>
  <c r="L58" i="74"/>
  <c r="G24" i="74"/>
  <c r="G58" i="74"/>
  <c r="G25" i="74"/>
  <c r="G57" i="74"/>
  <c r="G42" i="74"/>
  <c r="M57" i="74"/>
  <c r="M25" i="74"/>
  <c r="J42" i="74"/>
  <c r="J73" i="74"/>
  <c r="I57" i="74"/>
  <c r="P21" i="83"/>
  <c r="S143" i="20" s="1"/>
  <c r="R143" i="20"/>
  <c r="P9" i="83"/>
  <c r="S71" i="20" s="1"/>
  <c r="R71" i="20"/>
  <c r="P16" i="83"/>
  <c r="S107" i="20" s="1"/>
  <c r="R107" i="20"/>
  <c r="P22" i="83"/>
  <c r="S140" i="20" s="1"/>
  <c r="R140" i="20"/>
  <c r="P17" i="83"/>
  <c r="S87" i="20" s="1"/>
  <c r="R87" i="20"/>
  <c r="P10" i="83"/>
  <c r="S68" i="20" s="1"/>
  <c r="R68" i="20"/>
  <c r="P15" i="83"/>
  <c r="S110" i="20" s="1"/>
  <c r="R110" i="20"/>
  <c r="O23" i="83"/>
  <c r="M23" i="83"/>
  <c r="P124" i="20" s="1"/>
  <c r="N23" i="83"/>
  <c r="Q124" i="20" s="1"/>
  <c r="G162" i="60"/>
  <c r="G168" i="60" s="1"/>
  <c r="F167" i="60"/>
  <c r="F174" i="60" s="1"/>
  <c r="F166" i="60"/>
  <c r="F173" i="60" s="1"/>
  <c r="N176" i="60"/>
  <c r="B177" i="60"/>
  <c r="S24" i="74" l="1"/>
  <c r="F27" i="74" s="1"/>
  <c r="L48" i="74"/>
  <c r="K27" i="74"/>
  <c r="O48" i="74"/>
  <c r="F48" i="74"/>
  <c r="S44" i="74"/>
  <c r="K48" i="74"/>
  <c r="T16" i="33"/>
  <c r="Q33" i="33"/>
  <c r="I48" i="74"/>
  <c r="N48" i="74"/>
  <c r="S72" i="74"/>
  <c r="G75" i="74" s="1"/>
  <c r="G27" i="74"/>
  <c r="S25" i="74"/>
  <c r="I28" i="74" s="1"/>
  <c r="J48" i="74"/>
  <c r="M48" i="74"/>
  <c r="H48" i="74"/>
  <c r="S71" i="74"/>
  <c r="I74" i="74" s="1"/>
  <c r="S73" i="74"/>
  <c r="G76" i="74" s="1"/>
  <c r="G48" i="74"/>
  <c r="J27" i="74"/>
  <c r="P43" i="74"/>
  <c r="S43" i="74" s="1"/>
  <c r="P42" i="74"/>
  <c r="S42" i="74" s="1"/>
  <c r="S26" i="74"/>
  <c r="K29" i="74" s="1"/>
  <c r="P23" i="83"/>
  <c r="S124" i="20" s="1"/>
  <c r="R124" i="20"/>
  <c r="I176" i="60"/>
  <c r="H176" i="60"/>
  <c r="J176" i="60"/>
  <c r="D176" i="60"/>
  <c r="D177" i="60" s="1"/>
  <c r="F176" i="60"/>
  <c r="F177" i="60" s="1"/>
  <c r="E176" i="60"/>
  <c r="E177" i="60" s="1"/>
  <c r="C176" i="60"/>
  <c r="C177" i="60" s="1"/>
  <c r="G176" i="60"/>
  <c r="G166" i="60"/>
  <c r="G173" i="60" s="1"/>
  <c r="G167" i="60"/>
  <c r="G174" i="60" s="1"/>
  <c r="H162" i="60"/>
  <c r="H168" i="60" s="1"/>
  <c r="M75" i="74" l="1"/>
  <c r="L28" i="74"/>
  <c r="M27" i="74"/>
  <c r="L27" i="74"/>
  <c r="I46" i="74"/>
  <c r="O46" i="74"/>
  <c r="G45" i="74"/>
  <c r="H45" i="74"/>
  <c r="H29" i="74"/>
  <c r="I27" i="74"/>
  <c r="H31" i="74" s="1"/>
  <c r="K28" i="74"/>
  <c r="H76" i="74"/>
  <c r="H27" i="74"/>
  <c r="G74" i="74"/>
  <c r="H28" i="74"/>
  <c r="I76" i="74"/>
  <c r="J74" i="74"/>
  <c r="M28" i="74"/>
  <c r="F28" i="74"/>
  <c r="H75" i="74"/>
  <c r="O75" i="74"/>
  <c r="P75" i="74"/>
  <c r="F75" i="74"/>
  <c r="N75" i="74"/>
  <c r="I75" i="74"/>
  <c r="L75" i="74"/>
  <c r="G28" i="74"/>
  <c r="K45" i="74"/>
  <c r="F45" i="74"/>
  <c r="I45" i="74"/>
  <c r="L45" i="74"/>
  <c r="M29" i="74"/>
  <c r="O45" i="74"/>
  <c r="G46" i="74"/>
  <c r="L46" i="74"/>
  <c r="K46" i="74"/>
  <c r="H46" i="74"/>
  <c r="M46" i="74"/>
  <c r="J46" i="74"/>
  <c r="N46" i="74"/>
  <c r="F46" i="74"/>
  <c r="L29" i="74"/>
  <c r="F29" i="74"/>
  <c r="I29" i="74"/>
  <c r="P45" i="74"/>
  <c r="F76" i="74"/>
  <c r="P76" i="74"/>
  <c r="N76" i="74"/>
  <c r="L76" i="74"/>
  <c r="O76" i="74"/>
  <c r="M76" i="74"/>
  <c r="H74" i="74"/>
  <c r="N74" i="74"/>
  <c r="K74" i="74"/>
  <c r="O74" i="74"/>
  <c r="F74" i="74"/>
  <c r="P74" i="74"/>
  <c r="J76" i="74"/>
  <c r="M74" i="74"/>
  <c r="J29" i="74"/>
  <c r="S48" i="74"/>
  <c r="S49" i="74"/>
  <c r="K76" i="74"/>
  <c r="L74" i="74"/>
  <c r="P46" i="74"/>
  <c r="J45" i="74"/>
  <c r="M45" i="74"/>
  <c r="J75" i="74"/>
  <c r="N45" i="74"/>
  <c r="K75" i="74"/>
  <c r="G29" i="74"/>
  <c r="J28" i="74"/>
  <c r="F52" i="74"/>
  <c r="H129" i="33"/>
  <c r="G177" i="60"/>
  <c r="H167" i="60"/>
  <c r="H174" i="60" s="1"/>
  <c r="H177" i="60" s="1"/>
  <c r="H166" i="60"/>
  <c r="H173" i="60" s="1"/>
  <c r="I162" i="60"/>
  <c r="I168" i="60" s="1"/>
  <c r="S27" i="74" l="1"/>
  <c r="M31" i="74"/>
  <c r="I31" i="74"/>
  <c r="M79" i="74"/>
  <c r="K31" i="74"/>
  <c r="J32" i="74"/>
  <c r="L31" i="74"/>
  <c r="F31" i="74"/>
  <c r="J31" i="74"/>
  <c r="K80" i="74"/>
  <c r="I78" i="74"/>
  <c r="G31" i="74"/>
  <c r="L30" i="74"/>
  <c r="K79" i="74"/>
  <c r="N49" i="74"/>
  <c r="G49" i="74"/>
  <c r="I77" i="74"/>
  <c r="G33" i="74"/>
  <c r="K33" i="74"/>
  <c r="S52" i="74"/>
  <c r="G30" i="74"/>
  <c r="I30" i="74"/>
  <c r="K30" i="74"/>
  <c r="J33" i="74"/>
  <c r="H32" i="74"/>
  <c r="K78" i="74"/>
  <c r="K77" i="74"/>
  <c r="F80" i="74"/>
  <c r="S76" i="74"/>
  <c r="L33" i="74"/>
  <c r="M50" i="74"/>
  <c r="G50" i="74"/>
  <c r="H80" i="74"/>
  <c r="K49" i="74"/>
  <c r="K47" i="74"/>
  <c r="G77" i="74"/>
  <c r="G32" i="74"/>
  <c r="F79" i="74"/>
  <c r="S75" i="74"/>
  <c r="F53" i="74"/>
  <c r="F32" i="74"/>
  <c r="S28" i="74"/>
  <c r="J77" i="74"/>
  <c r="J78" i="74"/>
  <c r="I80" i="74"/>
  <c r="J47" i="74"/>
  <c r="J49" i="74"/>
  <c r="H30" i="74"/>
  <c r="M78" i="74"/>
  <c r="M77" i="74"/>
  <c r="L80" i="74"/>
  <c r="S46" i="74"/>
  <c r="F50" i="74"/>
  <c r="H50" i="74"/>
  <c r="O49" i="74"/>
  <c r="L49" i="74"/>
  <c r="L47" i="74"/>
  <c r="K32" i="74"/>
  <c r="H33" i="74"/>
  <c r="L79" i="74"/>
  <c r="M32" i="74"/>
  <c r="J30" i="74"/>
  <c r="M47" i="74"/>
  <c r="M49" i="74"/>
  <c r="J80" i="74"/>
  <c r="F77" i="74"/>
  <c r="S74" i="74"/>
  <c r="F78" i="74"/>
  <c r="H77" i="74"/>
  <c r="H78" i="74"/>
  <c r="I33" i="74"/>
  <c r="N50" i="74"/>
  <c r="K50" i="74"/>
  <c r="I32" i="74"/>
  <c r="I49" i="74"/>
  <c r="I47" i="74"/>
  <c r="H49" i="74"/>
  <c r="I79" i="74"/>
  <c r="M30" i="74"/>
  <c r="G47" i="74"/>
  <c r="F30" i="74"/>
  <c r="J79" i="74"/>
  <c r="L78" i="74"/>
  <c r="L77" i="74"/>
  <c r="G79" i="74"/>
  <c r="L32" i="74"/>
  <c r="M80" i="74"/>
  <c r="F54" i="74"/>
  <c r="S54" i="74" s="1"/>
  <c r="F33" i="74"/>
  <c r="S29" i="74"/>
  <c r="J50" i="74"/>
  <c r="L50" i="74"/>
  <c r="M33" i="74"/>
  <c r="S45" i="74"/>
  <c r="F47" i="74"/>
  <c r="F49" i="74"/>
  <c r="G78" i="74"/>
  <c r="H47" i="74"/>
  <c r="H79" i="74"/>
  <c r="O50" i="74"/>
  <c r="I50" i="74"/>
  <c r="G80" i="74"/>
  <c r="K149" i="33"/>
  <c r="H94" i="33"/>
  <c r="H160" i="33"/>
  <c r="J162" i="60"/>
  <c r="J168" i="60" s="1"/>
  <c r="I167" i="60"/>
  <c r="I174" i="60" s="1"/>
  <c r="I177" i="60" s="1"/>
  <c r="I166" i="60"/>
  <c r="I173" i="60" s="1"/>
  <c r="S32" i="74" l="1"/>
  <c r="S31" i="74"/>
  <c r="N112" i="41"/>
  <c r="O112" i="41" s="1"/>
  <c r="H61" i="33" s="1"/>
  <c r="L61" i="33" s="1"/>
  <c r="N117" i="41"/>
  <c r="O117" i="41" s="1"/>
  <c r="N213" i="41"/>
  <c r="N231" i="41"/>
  <c r="O231" i="41" s="1"/>
  <c r="N223" i="41"/>
  <c r="N219" i="41"/>
  <c r="N233" i="41"/>
  <c r="O233" i="41" s="1"/>
  <c r="N225" i="41"/>
  <c r="N217" i="41"/>
  <c r="N235" i="41"/>
  <c r="O235" i="41" s="1"/>
  <c r="N227" i="41"/>
  <c r="N215" i="41"/>
  <c r="N237" i="41"/>
  <c r="O237" i="41" s="1"/>
  <c r="N229" i="41"/>
  <c r="N222" i="41"/>
  <c r="N220" i="41"/>
  <c r="N232" i="41"/>
  <c r="O232" i="41" s="1"/>
  <c r="N224" i="41"/>
  <c r="N218" i="41"/>
  <c r="N234" i="41"/>
  <c r="O234" i="41" s="1"/>
  <c r="S50" i="74"/>
  <c r="N238" i="41"/>
  <c r="O238" i="41" s="1"/>
  <c r="N226" i="41"/>
  <c r="N216" i="41"/>
  <c r="N236" i="41"/>
  <c r="O236" i="41" s="1"/>
  <c r="N228" i="41"/>
  <c r="N214" i="41"/>
  <c r="N166" i="41"/>
  <c r="O166" i="41" s="1"/>
  <c r="H143" i="33" s="1"/>
  <c r="L143" i="33" s="1"/>
  <c r="N156" i="41"/>
  <c r="N146" i="41"/>
  <c r="N167" i="41"/>
  <c r="O167" i="41" s="1"/>
  <c r="N157" i="41"/>
  <c r="N145" i="41"/>
  <c r="S79" i="74"/>
  <c r="N164" i="41"/>
  <c r="O164" i="41" s="1"/>
  <c r="H140" i="33" s="1"/>
  <c r="N154" i="41"/>
  <c r="N148" i="41"/>
  <c r="N165" i="41"/>
  <c r="O165" i="41" s="1"/>
  <c r="N155" i="41"/>
  <c r="N147" i="41"/>
  <c r="S78" i="74"/>
  <c r="N162" i="41"/>
  <c r="O162" i="41" s="1"/>
  <c r="N152" i="41"/>
  <c r="N142" i="41"/>
  <c r="N163" i="41"/>
  <c r="O163" i="41" s="1"/>
  <c r="H141" i="33" s="1"/>
  <c r="L141" i="33" s="1"/>
  <c r="N153" i="41"/>
  <c r="N149" i="41"/>
  <c r="N168" i="41"/>
  <c r="O168" i="41" s="1"/>
  <c r="N158" i="41"/>
  <c r="N144" i="41"/>
  <c r="N169" i="41"/>
  <c r="O169" i="41" s="1"/>
  <c r="N159" i="41"/>
  <c r="N143" i="41"/>
  <c r="N115" i="41"/>
  <c r="N138" i="41"/>
  <c r="O138" i="41" s="1"/>
  <c r="N132" i="41"/>
  <c r="O132" i="41" s="1"/>
  <c r="H133" i="33" s="1"/>
  <c r="L133" i="33" s="1"/>
  <c r="N135" i="41"/>
  <c r="O135" i="41" s="1"/>
  <c r="H135" i="33" s="1"/>
  <c r="L135" i="33" s="1"/>
  <c r="N123" i="41"/>
  <c r="N113" i="41"/>
  <c r="S80" i="74"/>
  <c r="N136" i="41"/>
  <c r="O136" i="41" s="1"/>
  <c r="N134" i="41"/>
  <c r="O134" i="41" s="1"/>
  <c r="H134" i="33" s="1"/>
  <c r="L134" i="33" s="1"/>
  <c r="N118" i="41"/>
  <c r="N127" i="41"/>
  <c r="N122" i="41"/>
  <c r="S33" i="74"/>
  <c r="O81" i="41" s="1"/>
  <c r="N114" i="41"/>
  <c r="N116" i="41"/>
  <c r="N133" i="41"/>
  <c r="O133" i="41" s="1"/>
  <c r="H132" i="33" s="1"/>
  <c r="N126" i="41"/>
  <c r="N124" i="41"/>
  <c r="N121" i="41"/>
  <c r="S53" i="74"/>
  <c r="F55" i="74"/>
  <c r="F57" i="74" s="1"/>
  <c r="S57" i="74" s="1"/>
  <c r="N111" i="41"/>
  <c r="S112" i="41" s="1"/>
  <c r="N137" i="41"/>
  <c r="O137" i="41" s="1"/>
  <c r="N128" i="41"/>
  <c r="N131" i="41"/>
  <c r="O131" i="41" s="1"/>
  <c r="N125" i="41"/>
  <c r="J167" i="60"/>
  <c r="J174" i="60" s="1"/>
  <c r="J177" i="60" s="1"/>
  <c r="J166" i="60"/>
  <c r="J173" i="60" s="1"/>
  <c r="O183" i="60"/>
  <c r="O181" i="60"/>
  <c r="O182" i="60"/>
  <c r="O196" i="60"/>
  <c r="O194" i="60"/>
  <c r="O195" i="60"/>
  <c r="J81" i="41" l="1"/>
  <c r="H81" i="41"/>
  <c r="F60" i="74"/>
  <c r="M60" i="74"/>
  <c r="G60" i="74"/>
  <c r="H60" i="74"/>
  <c r="L60" i="74"/>
  <c r="K60" i="74"/>
  <c r="I60" i="74"/>
  <c r="J60" i="74"/>
  <c r="R128" i="41"/>
  <c r="P128" i="41"/>
  <c r="S128" i="41"/>
  <c r="O128" i="41"/>
  <c r="Q128" i="41"/>
  <c r="S126" i="41"/>
  <c r="O126" i="41"/>
  <c r="Q126" i="41"/>
  <c r="R126" i="41"/>
  <c r="P126" i="41"/>
  <c r="G81" i="41"/>
  <c r="K81" i="41"/>
  <c r="O127" i="41"/>
  <c r="Q127" i="41"/>
  <c r="R127" i="41"/>
  <c r="P127" i="41"/>
  <c r="S127" i="41"/>
  <c r="S159" i="41"/>
  <c r="Q159" i="41"/>
  <c r="R159" i="41"/>
  <c r="O159" i="41"/>
  <c r="P159" i="41"/>
  <c r="O142" i="41"/>
  <c r="Q142" i="41"/>
  <c r="R142" i="41"/>
  <c r="P142" i="41"/>
  <c r="S142" i="41"/>
  <c r="O147" i="41"/>
  <c r="Q147" i="41"/>
  <c r="S147" i="41"/>
  <c r="R147" i="41"/>
  <c r="P147" i="41"/>
  <c r="Q154" i="41"/>
  <c r="R154" i="41"/>
  <c r="O154" i="41"/>
  <c r="H105" i="33" s="1"/>
  <c r="P154" i="41"/>
  <c r="S154" i="41"/>
  <c r="S157" i="41"/>
  <c r="Q157" i="41"/>
  <c r="R157" i="41"/>
  <c r="O157" i="41"/>
  <c r="P157" i="41"/>
  <c r="R216" i="41"/>
  <c r="O216" i="41"/>
  <c r="P216" i="41"/>
  <c r="S216" i="41"/>
  <c r="Q216" i="41"/>
  <c r="R220" i="41"/>
  <c r="O220" i="41"/>
  <c r="P220" i="41"/>
  <c r="S220" i="41"/>
  <c r="Q220" i="41"/>
  <c r="S215" i="41"/>
  <c r="Q215" i="41"/>
  <c r="R215" i="41"/>
  <c r="O215" i="41"/>
  <c r="H56" i="33" s="1"/>
  <c r="P215" i="41"/>
  <c r="P225" i="41"/>
  <c r="O225" i="41"/>
  <c r="Q225" i="41"/>
  <c r="R225" i="41"/>
  <c r="R112" i="41"/>
  <c r="S117" i="41"/>
  <c r="L132" i="33"/>
  <c r="H137" i="33"/>
  <c r="P122" i="41"/>
  <c r="S122" i="41"/>
  <c r="O122" i="41"/>
  <c r="H98" i="33" s="1"/>
  <c r="L98" i="33" s="1"/>
  <c r="Q122" i="41"/>
  <c r="R122" i="41"/>
  <c r="L81" i="41"/>
  <c r="F81" i="41"/>
  <c r="S118" i="41"/>
  <c r="O118" i="41"/>
  <c r="R118" i="41"/>
  <c r="P118" i="41"/>
  <c r="Q118" i="41"/>
  <c r="Q113" i="41"/>
  <c r="S113" i="41"/>
  <c r="R113" i="41"/>
  <c r="P113" i="41"/>
  <c r="O113" i="41"/>
  <c r="H60" i="33" s="1"/>
  <c r="O149" i="41"/>
  <c r="P149" i="41"/>
  <c r="S149" i="41"/>
  <c r="Q149" i="41"/>
  <c r="R149" i="41"/>
  <c r="Q152" i="41"/>
  <c r="R152" i="41"/>
  <c r="O152" i="41"/>
  <c r="P152" i="41"/>
  <c r="S152" i="41"/>
  <c r="Q155" i="41"/>
  <c r="R155" i="41"/>
  <c r="O155" i="41"/>
  <c r="P155" i="41"/>
  <c r="S155" i="41"/>
  <c r="L140" i="33"/>
  <c r="R214" i="41"/>
  <c r="O214" i="41"/>
  <c r="P214" i="41"/>
  <c r="S214" i="41"/>
  <c r="Q214" i="41"/>
  <c r="P226" i="41"/>
  <c r="Q226" i="41"/>
  <c r="O226" i="41"/>
  <c r="R226" i="41"/>
  <c r="R218" i="41"/>
  <c r="O218" i="41"/>
  <c r="P218" i="41"/>
  <c r="S218" i="41"/>
  <c r="Q218" i="41"/>
  <c r="R222" i="41"/>
  <c r="P222" i="41"/>
  <c r="Q222" i="41"/>
  <c r="O222" i="41"/>
  <c r="Q227" i="41"/>
  <c r="O227" i="41"/>
  <c r="R227" i="41"/>
  <c r="P227" i="41"/>
  <c r="Q213" i="41"/>
  <c r="R213" i="41"/>
  <c r="O213" i="41"/>
  <c r="P213" i="41"/>
  <c r="S213" i="41"/>
  <c r="S125" i="41"/>
  <c r="O125" i="41"/>
  <c r="H100" i="33" s="1"/>
  <c r="L100" i="33" s="1"/>
  <c r="Q125" i="41"/>
  <c r="R125" i="41"/>
  <c r="P125" i="41"/>
  <c r="B17" i="41"/>
  <c r="S111" i="41"/>
  <c r="R111" i="41"/>
  <c r="Q111" i="41"/>
  <c r="O111" i="41"/>
  <c r="P111" i="41"/>
  <c r="R121" i="41"/>
  <c r="P121" i="41"/>
  <c r="S121" i="41"/>
  <c r="O121" i="41"/>
  <c r="Q121" i="41"/>
  <c r="P116" i="41"/>
  <c r="Q116" i="41"/>
  <c r="S116" i="41"/>
  <c r="O116" i="41"/>
  <c r="R116" i="41"/>
  <c r="I81" i="41"/>
  <c r="N81" i="41"/>
  <c r="R123" i="41"/>
  <c r="P123" i="41"/>
  <c r="S123" i="41"/>
  <c r="O123" i="41"/>
  <c r="H97" i="33" s="1"/>
  <c r="Q123" i="41"/>
  <c r="R115" i="41"/>
  <c r="O115" i="41"/>
  <c r="H63" i="33" s="1"/>
  <c r="L63" i="33" s="1"/>
  <c r="P115" i="41"/>
  <c r="Q115" i="41"/>
  <c r="S115" i="41"/>
  <c r="S144" i="41"/>
  <c r="O144" i="41"/>
  <c r="H68" i="33" s="1"/>
  <c r="L68" i="33" s="1"/>
  <c r="Q144" i="41"/>
  <c r="R144" i="41"/>
  <c r="P144" i="41"/>
  <c r="Q153" i="41"/>
  <c r="R153" i="41"/>
  <c r="O153" i="41"/>
  <c r="H106" i="33" s="1"/>
  <c r="L106" i="33" s="1"/>
  <c r="P153" i="41"/>
  <c r="S153" i="41"/>
  <c r="L165" i="41"/>
  <c r="H142" i="33"/>
  <c r="L142" i="33" s="1"/>
  <c r="S146" i="41"/>
  <c r="O146" i="41"/>
  <c r="H71" i="33" s="1"/>
  <c r="L71" i="33" s="1"/>
  <c r="Q146" i="41"/>
  <c r="R146" i="41"/>
  <c r="P146" i="41"/>
  <c r="R228" i="41"/>
  <c r="P228" i="41"/>
  <c r="O228" i="41"/>
  <c r="Q228" i="41"/>
  <c r="R224" i="41"/>
  <c r="P224" i="41"/>
  <c r="O224" i="41"/>
  <c r="H93" i="33" s="1"/>
  <c r="L93" i="33" s="1"/>
  <c r="Q224" i="41"/>
  <c r="P229" i="41"/>
  <c r="O229" i="41"/>
  <c r="Q229" i="41"/>
  <c r="R229" i="41"/>
  <c r="S219" i="41"/>
  <c r="Q219" i="41"/>
  <c r="R219" i="41"/>
  <c r="O219" i="41"/>
  <c r="P219" i="41"/>
  <c r="Q112" i="41"/>
  <c r="P117" i="41"/>
  <c r="F58" i="74"/>
  <c r="S58" i="74" s="1"/>
  <c r="F56" i="74"/>
  <c r="S56" i="74" s="1"/>
  <c r="O124" i="41"/>
  <c r="H99" i="33" s="1"/>
  <c r="L99" i="33" s="1"/>
  <c r="Q124" i="41"/>
  <c r="R124" i="41"/>
  <c r="P124" i="41"/>
  <c r="S124" i="41"/>
  <c r="R114" i="41"/>
  <c r="P114" i="41"/>
  <c r="O114" i="41"/>
  <c r="H62" i="33" s="1"/>
  <c r="L62" i="33" s="1"/>
  <c r="Q114" i="41"/>
  <c r="S114" i="41"/>
  <c r="M81" i="41"/>
  <c r="S143" i="41"/>
  <c r="O143" i="41"/>
  <c r="H69" i="33" s="1"/>
  <c r="L69" i="33" s="1"/>
  <c r="Q143" i="41"/>
  <c r="R143" i="41"/>
  <c r="P143" i="41"/>
  <c r="S158" i="41"/>
  <c r="Q158" i="41"/>
  <c r="R158" i="41"/>
  <c r="O158" i="41"/>
  <c r="P158" i="41"/>
  <c r="O148" i="41"/>
  <c r="P148" i="41"/>
  <c r="S148" i="41"/>
  <c r="Q148" i="41"/>
  <c r="R148" i="41"/>
  <c r="S145" i="41"/>
  <c r="O145" i="41"/>
  <c r="Q145" i="41"/>
  <c r="R145" i="41"/>
  <c r="P145" i="41"/>
  <c r="S156" i="41"/>
  <c r="Q156" i="41"/>
  <c r="R156" i="41"/>
  <c r="O156" i="41"/>
  <c r="H108" i="33" s="1"/>
  <c r="L108" i="33" s="1"/>
  <c r="P156" i="41"/>
  <c r="S217" i="41"/>
  <c r="Q217" i="41"/>
  <c r="R217" i="41"/>
  <c r="O217" i="41"/>
  <c r="P217" i="41"/>
  <c r="Q223" i="41"/>
  <c r="O223" i="41"/>
  <c r="R223" i="41"/>
  <c r="P223" i="41"/>
  <c r="P112" i="41"/>
  <c r="Q117" i="41"/>
  <c r="R117" i="41"/>
  <c r="G64" i="74"/>
  <c r="H195" i="60"/>
  <c r="J195" i="60"/>
  <c r="K195" i="60"/>
  <c r="I195" i="60"/>
  <c r="F195" i="60"/>
  <c r="L195" i="60"/>
  <c r="G195" i="60"/>
  <c r="H194" i="60"/>
  <c r="G194" i="60"/>
  <c r="L194" i="60"/>
  <c r="K194" i="60"/>
  <c r="I194" i="60"/>
  <c r="J194" i="60"/>
  <c r="F194" i="60"/>
  <c r="H196" i="60"/>
  <c r="J196" i="60"/>
  <c r="G196" i="60"/>
  <c r="I196" i="60"/>
  <c r="L196" i="60"/>
  <c r="K196" i="60"/>
  <c r="F196" i="60"/>
  <c r="J182" i="60"/>
  <c r="J204" i="60" s="1"/>
  <c r="L182" i="60"/>
  <c r="L204" i="60" s="1"/>
  <c r="E182" i="60"/>
  <c r="E204" i="60" s="1"/>
  <c r="F182" i="60"/>
  <c r="F204" i="60" s="1"/>
  <c r="K182" i="60"/>
  <c r="K204" i="60" s="1"/>
  <c r="D182" i="60"/>
  <c r="D204" i="60" s="1"/>
  <c r="G182" i="60"/>
  <c r="G204" i="60" s="1"/>
  <c r="H182" i="60"/>
  <c r="H204" i="60" s="1"/>
  <c r="I182" i="60"/>
  <c r="I204" i="60" s="1"/>
  <c r="F216" i="60"/>
  <c r="K216" i="60" s="1"/>
  <c r="J181" i="60"/>
  <c r="J203" i="60" s="1"/>
  <c r="K181" i="60"/>
  <c r="K203" i="60" s="1"/>
  <c r="E181" i="60"/>
  <c r="E203" i="60" s="1"/>
  <c r="G181" i="60"/>
  <c r="G203" i="60" s="1"/>
  <c r="I181" i="60"/>
  <c r="I203" i="60" s="1"/>
  <c r="D181" i="60"/>
  <c r="L181" i="60"/>
  <c r="L203" i="60" s="1"/>
  <c r="F181" i="60"/>
  <c r="F203" i="60" s="1"/>
  <c r="F231" i="60" s="1"/>
  <c r="H181" i="60"/>
  <c r="H203" i="60" s="1"/>
  <c r="O185" i="60"/>
  <c r="O184" i="60"/>
  <c r="O186" i="60"/>
  <c r="H183" i="60"/>
  <c r="D183" i="60"/>
  <c r="J183" i="60"/>
  <c r="E183" i="60"/>
  <c r="K183" i="60"/>
  <c r="G183" i="60"/>
  <c r="I183" i="60"/>
  <c r="L183" i="60"/>
  <c r="F183" i="60"/>
  <c r="I64" i="74" l="1"/>
  <c r="F64" i="74"/>
  <c r="L64" i="74"/>
  <c r="J64" i="74"/>
  <c r="H64" i="74"/>
  <c r="M64" i="74"/>
  <c r="K64" i="74"/>
  <c r="S60" i="74"/>
  <c r="F61" i="74"/>
  <c r="G61" i="74"/>
  <c r="L61" i="74"/>
  <c r="H61" i="74"/>
  <c r="M61" i="74"/>
  <c r="J61" i="74"/>
  <c r="I61" i="74"/>
  <c r="K61" i="74"/>
  <c r="S129" i="41"/>
  <c r="O119" i="41"/>
  <c r="Q230" i="41"/>
  <c r="S160" i="41"/>
  <c r="Q160" i="41"/>
  <c r="L56" i="33"/>
  <c r="H57" i="33"/>
  <c r="Q150" i="41"/>
  <c r="P129" i="41"/>
  <c r="Q119" i="41"/>
  <c r="R221" i="41"/>
  <c r="P230" i="41"/>
  <c r="H145" i="33"/>
  <c r="H107" i="33"/>
  <c r="L107" i="33" s="1"/>
  <c r="L155" i="41"/>
  <c r="P160" i="41"/>
  <c r="L105" i="33"/>
  <c r="S150" i="41"/>
  <c r="H67" i="33"/>
  <c r="O150" i="41"/>
  <c r="Q129" i="41"/>
  <c r="R129" i="41"/>
  <c r="R119" i="41"/>
  <c r="S221" i="41"/>
  <c r="Q221" i="41"/>
  <c r="R230" i="41"/>
  <c r="L60" i="33"/>
  <c r="H65" i="33"/>
  <c r="P150" i="41"/>
  <c r="L145" i="41"/>
  <c r="H70" i="33"/>
  <c r="L70" i="33" s="1"/>
  <c r="F59" i="74"/>
  <c r="K59" i="74"/>
  <c r="I59" i="74"/>
  <c r="L59" i="74"/>
  <c r="M59" i="74"/>
  <c r="H59" i="74"/>
  <c r="G59" i="74"/>
  <c r="J59" i="74"/>
  <c r="L97" i="33"/>
  <c r="H102" i="33"/>
  <c r="P119" i="41"/>
  <c r="S119" i="41"/>
  <c r="P221" i="41"/>
  <c r="R160" i="41"/>
  <c r="R150" i="41"/>
  <c r="F205" i="60"/>
  <c r="F232" i="60" s="1"/>
  <c r="N231" i="60" s="1"/>
  <c r="J205" i="60"/>
  <c r="L205" i="60"/>
  <c r="G205" i="60"/>
  <c r="E205" i="60"/>
  <c r="E232" i="60" s="1"/>
  <c r="D205" i="60"/>
  <c r="D232" i="60" s="1"/>
  <c r="I205" i="60"/>
  <c r="K205" i="60"/>
  <c r="H205" i="60"/>
  <c r="T168" i="60"/>
  <c r="D203" i="60"/>
  <c r="D231" i="60" s="1"/>
  <c r="G216" i="60"/>
  <c r="G222" i="60" s="1"/>
  <c r="G233" i="60" s="1"/>
  <c r="G234" i="60" s="1"/>
  <c r="K222" i="60"/>
  <c r="K233" i="60" s="1"/>
  <c r="K234" i="60" s="1"/>
  <c r="H197" i="60"/>
  <c r="J198" i="60"/>
  <c r="J197" i="60"/>
  <c r="J216" i="60"/>
  <c r="J212" i="60"/>
  <c r="J220" i="60"/>
  <c r="F197" i="60"/>
  <c r="L216" i="60"/>
  <c r="I212" i="60"/>
  <c r="I220" i="60"/>
  <c r="L197" i="60"/>
  <c r="I198" i="60"/>
  <c r="K212" i="60"/>
  <c r="K220" i="60"/>
  <c r="D216" i="60"/>
  <c r="H198" i="60"/>
  <c r="L220" i="60"/>
  <c r="L212" i="60"/>
  <c r="I197" i="60"/>
  <c r="G198" i="60"/>
  <c r="G212" i="60"/>
  <c r="G220" i="60"/>
  <c r="G197" i="60"/>
  <c r="H212" i="60"/>
  <c r="H220" i="60"/>
  <c r="L184" i="60"/>
  <c r="F217" i="60"/>
  <c r="I217" i="60" s="1"/>
  <c r="D184" i="60"/>
  <c r="I184" i="60"/>
  <c r="K184" i="60"/>
  <c r="E184" i="60"/>
  <c r="F184" i="60"/>
  <c r="F200" i="60" s="1"/>
  <c r="H184" i="60"/>
  <c r="J184" i="60"/>
  <c r="G184" i="60"/>
  <c r="K197" i="60"/>
  <c r="E185" i="60"/>
  <c r="L185" i="60"/>
  <c r="H185" i="60"/>
  <c r="K185" i="60"/>
  <c r="I185" i="60"/>
  <c r="J185" i="60"/>
  <c r="F185" i="60"/>
  <c r="G185" i="60"/>
  <c r="D185" i="60"/>
  <c r="F212" i="60"/>
  <c r="F220" i="60"/>
  <c r="E197" i="60"/>
  <c r="E216" i="60"/>
  <c r="E231" i="60"/>
  <c r="K198" i="60"/>
  <c r="I216" i="60"/>
  <c r="F198" i="60"/>
  <c r="E198" i="60"/>
  <c r="F222" i="60"/>
  <c r="F233" i="60" s="1"/>
  <c r="F234" i="60" s="1"/>
  <c r="H186" i="60"/>
  <c r="K186" i="60"/>
  <c r="F186" i="60"/>
  <c r="G186" i="60"/>
  <c r="D186" i="60"/>
  <c r="L186" i="60"/>
  <c r="I186" i="60"/>
  <c r="E186" i="60"/>
  <c r="J186" i="60"/>
  <c r="H216" i="60"/>
  <c r="L198" i="60"/>
  <c r="S65" i="74" l="1"/>
  <c r="H110" i="33"/>
  <c r="I65" i="74"/>
  <c r="J63" i="74"/>
  <c r="J62" i="74"/>
  <c r="L62" i="74"/>
  <c r="L63" i="74"/>
  <c r="K65" i="74"/>
  <c r="H65" i="74"/>
  <c r="G62" i="74"/>
  <c r="G63" i="74"/>
  <c r="I63" i="74"/>
  <c r="I62" i="74"/>
  <c r="L65" i="74"/>
  <c r="H62" i="74"/>
  <c r="H63" i="74"/>
  <c r="K62" i="74"/>
  <c r="K63" i="74"/>
  <c r="J65" i="74"/>
  <c r="G65" i="74"/>
  <c r="M62" i="74"/>
  <c r="M63" i="74"/>
  <c r="F62" i="74"/>
  <c r="S59" i="74"/>
  <c r="F63" i="74"/>
  <c r="M65" i="74"/>
  <c r="S61" i="74"/>
  <c r="F65" i="74"/>
  <c r="H232" i="60"/>
  <c r="H231" i="60"/>
  <c r="I232" i="60"/>
  <c r="I231" i="60"/>
  <c r="L232" i="60"/>
  <c r="L231" i="60"/>
  <c r="F236" i="60"/>
  <c r="F239" i="60" s="1"/>
  <c r="F235" i="60"/>
  <c r="F238" i="60" s="1"/>
  <c r="K232" i="60"/>
  <c r="K231" i="60"/>
  <c r="G232" i="60"/>
  <c r="G231" i="60"/>
  <c r="J232" i="60"/>
  <c r="J231" i="60"/>
  <c r="J191" i="60"/>
  <c r="J206" i="60"/>
  <c r="J188" i="60"/>
  <c r="J209" i="60"/>
  <c r="I241" i="60" s="1"/>
  <c r="F218" i="60"/>
  <c r="F224" i="60" s="1"/>
  <c r="G245" i="60" s="1"/>
  <c r="F219" i="60"/>
  <c r="F223" i="60" s="1"/>
  <c r="G247" i="60" s="1"/>
  <c r="I192" i="60"/>
  <c r="I210" i="60"/>
  <c r="I207" i="60"/>
  <c r="I189" i="60"/>
  <c r="H188" i="60"/>
  <c r="H209" i="60"/>
  <c r="H241" i="60" s="1"/>
  <c r="H206" i="60"/>
  <c r="H191" i="60"/>
  <c r="L206" i="60"/>
  <c r="L188" i="60"/>
  <c r="L209" i="60"/>
  <c r="J241" i="60" s="1"/>
  <c r="L191" i="60"/>
  <c r="K210" i="60"/>
  <c r="K192" i="60"/>
  <c r="K207" i="60"/>
  <c r="K189" i="60"/>
  <c r="F191" i="60"/>
  <c r="F209" i="60"/>
  <c r="G241" i="60" s="1"/>
  <c r="F206" i="60"/>
  <c r="F188" i="60"/>
  <c r="E190" i="60"/>
  <c r="E211" i="60"/>
  <c r="E208" i="60"/>
  <c r="E193" i="60"/>
  <c r="H192" i="60"/>
  <c r="H189" i="60"/>
  <c r="H210" i="60"/>
  <c r="H207" i="60"/>
  <c r="G217" i="60"/>
  <c r="J210" i="60"/>
  <c r="J189" i="60"/>
  <c r="J207" i="60"/>
  <c r="J192" i="60"/>
  <c r="H222" i="60"/>
  <c r="H233" i="60" s="1"/>
  <c r="H234" i="60" s="1"/>
  <c r="J222" i="60"/>
  <c r="J233" i="60" s="1"/>
  <c r="J234" i="60" s="1"/>
  <c r="J208" i="60"/>
  <c r="J190" i="60"/>
  <c r="J193" i="60"/>
  <c r="J211" i="60"/>
  <c r="I242" i="60" s="1"/>
  <c r="I190" i="60"/>
  <c r="I193" i="60"/>
  <c r="I208" i="60"/>
  <c r="I211" i="60"/>
  <c r="E222" i="60"/>
  <c r="E233" i="60" s="1"/>
  <c r="L207" i="60"/>
  <c r="L192" i="60"/>
  <c r="L189" i="60"/>
  <c r="L210" i="60"/>
  <c r="E209" i="60"/>
  <c r="E188" i="60"/>
  <c r="E191" i="60"/>
  <c r="E217" i="60" s="1"/>
  <c r="E206" i="60"/>
  <c r="F210" i="60"/>
  <c r="F192" i="60"/>
  <c r="F189" i="60"/>
  <c r="F207" i="60"/>
  <c r="I219" i="60"/>
  <c r="I223" i="60" s="1"/>
  <c r="I218" i="60"/>
  <c r="I224" i="60" s="1"/>
  <c r="I222" i="60"/>
  <c r="I233" i="60" s="1"/>
  <c r="I234" i="60" s="1"/>
  <c r="E207" i="60"/>
  <c r="E189" i="60"/>
  <c r="E192" i="60"/>
  <c r="E210" i="60"/>
  <c r="K188" i="60"/>
  <c r="K206" i="60"/>
  <c r="K209" i="60"/>
  <c r="K191" i="60"/>
  <c r="D190" i="60"/>
  <c r="D211" i="60"/>
  <c r="F242" i="60" s="1"/>
  <c r="D208" i="60"/>
  <c r="D193" i="60"/>
  <c r="D206" i="60"/>
  <c r="D188" i="60"/>
  <c r="D209" i="60"/>
  <c r="F241" i="60" s="1"/>
  <c r="D191" i="60"/>
  <c r="D222" i="60"/>
  <c r="D233" i="60" s="1"/>
  <c r="L222" i="60"/>
  <c r="L233" i="60" s="1"/>
  <c r="L234" i="60" s="1"/>
  <c r="G206" i="60"/>
  <c r="G209" i="60"/>
  <c r="G188" i="60"/>
  <c r="G191" i="60"/>
  <c r="L211" i="60"/>
  <c r="J242" i="60" s="1"/>
  <c r="L190" i="60"/>
  <c r="L208" i="60"/>
  <c r="L193" i="60"/>
  <c r="G190" i="60"/>
  <c r="G208" i="60"/>
  <c r="G211" i="60"/>
  <c r="G193" i="60"/>
  <c r="K217" i="60"/>
  <c r="F208" i="60"/>
  <c r="F190" i="60"/>
  <c r="F211" i="60"/>
  <c r="G242" i="60" s="1"/>
  <c r="F193" i="60"/>
  <c r="K211" i="60"/>
  <c r="K193" i="60"/>
  <c r="K190" i="60"/>
  <c r="K208" i="60"/>
  <c r="D210" i="60"/>
  <c r="D207" i="60"/>
  <c r="D189" i="60"/>
  <c r="D192" i="60"/>
  <c r="J217" i="60"/>
  <c r="I206" i="60"/>
  <c r="I209" i="60"/>
  <c r="I188" i="60"/>
  <c r="I191" i="60"/>
  <c r="H208" i="60"/>
  <c r="H193" i="60"/>
  <c r="H211" i="60"/>
  <c r="H242" i="60" s="1"/>
  <c r="H190" i="60"/>
  <c r="G192" i="60"/>
  <c r="G207" i="60"/>
  <c r="G189" i="60"/>
  <c r="G210" i="60"/>
  <c r="L217" i="60"/>
  <c r="H217" i="60"/>
  <c r="N197" i="41" l="1"/>
  <c r="O197" i="41" s="1"/>
  <c r="H148" i="33" s="1"/>
  <c r="N187" i="41"/>
  <c r="N181" i="41"/>
  <c r="N198" i="41"/>
  <c r="O198" i="41" s="1"/>
  <c r="N188" i="41"/>
  <c r="N180" i="41"/>
  <c r="N195" i="41"/>
  <c r="O195" i="41" s="1"/>
  <c r="N185" i="41"/>
  <c r="N175" i="41"/>
  <c r="N196" i="41"/>
  <c r="O196" i="41" s="1"/>
  <c r="H149" i="33" s="1"/>
  <c r="L149" i="33" s="1"/>
  <c r="N186" i="41"/>
  <c r="N182" i="41"/>
  <c r="N201" i="41"/>
  <c r="O201" i="41" s="1"/>
  <c r="N191" i="41"/>
  <c r="N177" i="41"/>
  <c r="N202" i="41"/>
  <c r="O202" i="41" s="1"/>
  <c r="N192" i="41"/>
  <c r="N176" i="41"/>
  <c r="S63" i="74"/>
  <c r="N199" i="41"/>
  <c r="O199" i="41" s="1"/>
  <c r="H151" i="33" s="1"/>
  <c r="L151" i="33" s="1"/>
  <c r="N189" i="41"/>
  <c r="N179" i="41"/>
  <c r="N200" i="41"/>
  <c r="O200" i="41" s="1"/>
  <c r="N190" i="41"/>
  <c r="N178" i="41"/>
  <c r="S64" i="74"/>
  <c r="T231" i="60"/>
  <c r="S231" i="60"/>
  <c r="Q231" i="60"/>
  <c r="R231" i="60"/>
  <c r="P231" i="60"/>
  <c r="O231" i="60"/>
  <c r="J235" i="60"/>
  <c r="J238" i="60" s="1"/>
  <c r="G235" i="60"/>
  <c r="G238" i="60" s="1"/>
  <c r="K235" i="60"/>
  <c r="K238" i="60" s="1"/>
  <c r="L238" i="60"/>
  <c r="L235" i="60"/>
  <c r="I235" i="60"/>
  <c r="I238" i="60" s="1"/>
  <c r="H235" i="60"/>
  <c r="H238" i="60" s="1"/>
  <c r="D234" i="60"/>
  <c r="D236" i="60" s="1"/>
  <c r="D239" i="60" s="1"/>
  <c r="D235" i="60"/>
  <c r="D238" i="60" s="1"/>
  <c r="E234" i="60"/>
  <c r="E236" i="60" s="1"/>
  <c r="E239" i="60" s="1"/>
  <c r="E235" i="60"/>
  <c r="E238" i="60" s="1"/>
  <c r="J236" i="60"/>
  <c r="J239" i="60" s="1"/>
  <c r="G236" i="60"/>
  <c r="G239" i="60" s="1"/>
  <c r="K236" i="60"/>
  <c r="K239" i="60" s="1"/>
  <c r="L236" i="60"/>
  <c r="L239" i="60" s="1"/>
  <c r="I236" i="60"/>
  <c r="I239" i="60" s="1"/>
  <c r="H236" i="60"/>
  <c r="H239" i="60" s="1"/>
  <c r="I221" i="60"/>
  <c r="G246" i="60"/>
  <c r="H219" i="60"/>
  <c r="H223" i="60" s="1"/>
  <c r="H247" i="60" s="1"/>
  <c r="H218" i="60"/>
  <c r="H224" i="60" s="1"/>
  <c r="H245" i="60" s="1"/>
  <c r="L219" i="60"/>
  <c r="L223" i="60" s="1"/>
  <c r="J247" i="60" s="1"/>
  <c r="L218" i="60"/>
  <c r="L224" i="60" s="1"/>
  <c r="J245" i="60" s="1"/>
  <c r="J218" i="60"/>
  <c r="J224" i="60" s="1"/>
  <c r="I245" i="60" s="1"/>
  <c r="J219" i="60"/>
  <c r="J223" i="60" s="1"/>
  <c r="I247" i="60" s="1"/>
  <c r="E218" i="60"/>
  <c r="E224" i="60" s="1"/>
  <c r="E219" i="60"/>
  <c r="E223" i="60" s="1"/>
  <c r="D217" i="60"/>
  <c r="F221" i="60"/>
  <c r="K218" i="60"/>
  <c r="K224" i="60" s="1"/>
  <c r="K219" i="60"/>
  <c r="K223" i="60" s="1"/>
  <c r="G219" i="60"/>
  <c r="G223" i="60" s="1"/>
  <c r="G218" i="60"/>
  <c r="G224" i="60" s="1"/>
  <c r="G248" i="60"/>
  <c r="O190" i="41" l="1"/>
  <c r="P190" i="41"/>
  <c r="S190" i="41"/>
  <c r="Q190" i="41"/>
  <c r="R190" i="41"/>
  <c r="R182" i="41"/>
  <c r="O182" i="41"/>
  <c r="P182" i="41"/>
  <c r="S182" i="41"/>
  <c r="Q182" i="41"/>
  <c r="S185" i="41"/>
  <c r="Q185" i="41"/>
  <c r="R185" i="41"/>
  <c r="O185" i="41"/>
  <c r="P185" i="41"/>
  <c r="H150" i="33"/>
  <c r="L198" i="41"/>
  <c r="Q177" i="41"/>
  <c r="R177" i="41"/>
  <c r="O177" i="41"/>
  <c r="H77" i="33" s="1"/>
  <c r="P177" i="41"/>
  <c r="S177" i="41"/>
  <c r="S186" i="41"/>
  <c r="Q186" i="41"/>
  <c r="R186" i="41"/>
  <c r="O186" i="41"/>
  <c r="H115" i="33" s="1"/>
  <c r="P186" i="41"/>
  <c r="R181" i="41"/>
  <c r="O181" i="41"/>
  <c r="P181" i="41"/>
  <c r="S181" i="41"/>
  <c r="Q181" i="41"/>
  <c r="Q179" i="41"/>
  <c r="R179" i="41"/>
  <c r="O179" i="41"/>
  <c r="H80" i="33" s="1"/>
  <c r="L80" i="33" s="1"/>
  <c r="P179" i="41"/>
  <c r="S179" i="41"/>
  <c r="Q176" i="41"/>
  <c r="R176" i="41"/>
  <c r="O176" i="41"/>
  <c r="H78" i="33" s="1"/>
  <c r="L78" i="33" s="1"/>
  <c r="P176" i="41"/>
  <c r="S176" i="41"/>
  <c r="O191" i="41"/>
  <c r="P191" i="41"/>
  <c r="S191" i="41"/>
  <c r="Q191" i="41"/>
  <c r="R191" i="41"/>
  <c r="R180" i="41"/>
  <c r="O180" i="41"/>
  <c r="P180" i="41"/>
  <c r="S180" i="41"/>
  <c r="Q180" i="41"/>
  <c r="S187" i="41"/>
  <c r="Q187" i="41"/>
  <c r="R187" i="41"/>
  <c r="O187" i="41"/>
  <c r="H114" i="33" s="1"/>
  <c r="P187" i="41"/>
  <c r="Q178" i="41"/>
  <c r="R178" i="41"/>
  <c r="O178" i="41"/>
  <c r="P178" i="41"/>
  <c r="S178" i="41"/>
  <c r="O189" i="41"/>
  <c r="H117" i="33" s="1"/>
  <c r="L117" i="33" s="1"/>
  <c r="P189" i="41"/>
  <c r="S189" i="41"/>
  <c r="Q189" i="41"/>
  <c r="R189" i="41"/>
  <c r="O192" i="41"/>
  <c r="P192" i="41"/>
  <c r="S192" i="41"/>
  <c r="Q192" i="41"/>
  <c r="R192" i="41"/>
  <c r="R175" i="41"/>
  <c r="O175" i="41"/>
  <c r="P175" i="41"/>
  <c r="S175" i="41"/>
  <c r="Q175" i="41"/>
  <c r="S188" i="41"/>
  <c r="Q188" i="41"/>
  <c r="R188" i="41"/>
  <c r="O188" i="41"/>
  <c r="P188" i="41"/>
  <c r="K221" i="60"/>
  <c r="L221" i="60"/>
  <c r="H221" i="60"/>
  <c r="D218" i="60"/>
  <c r="D224" i="60" s="1"/>
  <c r="F245" i="60" s="1"/>
  <c r="D219" i="60"/>
  <c r="D223" i="60" s="1"/>
  <c r="F247" i="60" s="1"/>
  <c r="J246" i="60"/>
  <c r="J248" i="60"/>
  <c r="H248" i="60"/>
  <c r="I246" i="60"/>
  <c r="I248" i="60"/>
  <c r="J221" i="60"/>
  <c r="H246" i="60"/>
  <c r="G221" i="60"/>
  <c r="E221" i="60"/>
  <c r="P183" i="41" l="1"/>
  <c r="S183" i="41"/>
  <c r="H79" i="33"/>
  <c r="L178" i="41"/>
  <c r="L150" i="33"/>
  <c r="H153" i="33"/>
  <c r="Q193" i="41"/>
  <c r="J42" i="33"/>
  <c r="J48" i="33" s="1"/>
  <c r="P193" i="41"/>
  <c r="S193" i="41"/>
  <c r="H116" i="33"/>
  <c r="L116" i="33" s="1"/>
  <c r="L188" i="41"/>
  <c r="Q183" i="41"/>
  <c r="R183" i="41"/>
  <c r="R193" i="41"/>
  <c r="N84" i="20"/>
  <c r="D221" i="60"/>
  <c r="K115" i="33"/>
  <c r="L115" i="33" s="1"/>
  <c r="F248" i="60"/>
  <c r="F246" i="60"/>
  <c r="H84" i="20" l="1"/>
  <c r="I143" i="33"/>
  <c r="I135" i="33"/>
  <c r="J32" i="33" s="1"/>
  <c r="I80" i="33"/>
  <c r="I100" i="33"/>
  <c r="I151" i="33"/>
  <c r="J34" i="33" s="1"/>
  <c r="I117" i="33"/>
  <c r="I108" i="33"/>
  <c r="I71" i="33"/>
  <c r="I63" i="33"/>
  <c r="L79" i="33"/>
  <c r="H82" i="33"/>
  <c r="O11" i="83"/>
  <c r="N104" i="20"/>
  <c r="N92" i="20"/>
  <c r="N129" i="20"/>
  <c r="N121" i="20"/>
  <c r="H42" i="33"/>
  <c r="H48" i="33" s="1"/>
  <c r="I115" i="33" s="1"/>
  <c r="M103" i="20" s="1"/>
  <c r="N111" i="20"/>
  <c r="N137" i="20"/>
  <c r="N72" i="20"/>
  <c r="H72" i="20" s="1"/>
  <c r="H129" i="20" l="1"/>
  <c r="H121" i="20"/>
  <c r="H92" i="20"/>
  <c r="H104" i="20"/>
  <c r="H137" i="20"/>
  <c r="M90" i="20"/>
  <c r="N90" i="20" s="1"/>
  <c r="J26" i="33"/>
  <c r="M64" i="20"/>
  <c r="N64" i="20" s="1"/>
  <c r="J19" i="33"/>
  <c r="I42" i="33"/>
  <c r="I48" i="33" s="1"/>
  <c r="I79" i="33" s="1"/>
  <c r="M102" i="20"/>
  <c r="N102" i="20" s="1"/>
  <c r="J27" i="33"/>
  <c r="M46" i="20"/>
  <c r="J50" i="33"/>
  <c r="K10" i="20" s="1"/>
  <c r="J17" i="33"/>
  <c r="M127" i="20"/>
  <c r="N127" i="20" s="1"/>
  <c r="J33" i="33"/>
  <c r="M53" i="20"/>
  <c r="N53" i="20" s="1"/>
  <c r="J18" i="33"/>
  <c r="M82" i="20"/>
  <c r="N82" i="20" s="1"/>
  <c r="J25" i="33"/>
  <c r="H111" i="20"/>
  <c r="P11" i="83"/>
  <c r="S50" i="20" s="1"/>
  <c r="R50" i="20"/>
  <c r="N11" i="83"/>
  <c r="Q50" i="20" s="1"/>
  <c r="M11" i="83"/>
  <c r="P50" i="20" s="1"/>
  <c r="O14" i="83"/>
  <c r="N14" i="83"/>
  <c r="Q79" i="20" s="1"/>
  <c r="M14" i="83"/>
  <c r="P79" i="20" s="1"/>
  <c r="M13" i="83"/>
  <c r="N13" i="83"/>
  <c r="O13" i="83"/>
  <c r="O20" i="83"/>
  <c r="M20" i="83"/>
  <c r="P117" i="20" s="1"/>
  <c r="N20" i="83"/>
  <c r="Q117" i="20" s="1"/>
  <c r="O19" i="83"/>
  <c r="P19" i="83" s="1"/>
  <c r="N19" i="83"/>
  <c r="M19" i="83"/>
  <c r="I141" i="33"/>
  <c r="M128" i="20" s="1"/>
  <c r="I78" i="33"/>
  <c r="M65" i="20" s="1"/>
  <c r="I98" i="33"/>
  <c r="M80" i="20" s="1"/>
  <c r="I61" i="33"/>
  <c r="M44" i="20" s="1"/>
  <c r="I149" i="33"/>
  <c r="I106" i="33"/>
  <c r="M91" i="20" s="1"/>
  <c r="I69" i="33"/>
  <c r="M54" i="20" s="1"/>
  <c r="I133" i="33"/>
  <c r="M118" i="20" s="1"/>
  <c r="H27" i="33"/>
  <c r="N103" i="20"/>
  <c r="H53" i="20" l="1"/>
  <c r="H82" i="20"/>
  <c r="H127" i="20"/>
  <c r="H90" i="20"/>
  <c r="H103" i="20"/>
  <c r="H102" i="20"/>
  <c r="H64" i="20"/>
  <c r="J173" i="33"/>
  <c r="J38" i="33"/>
  <c r="C12" i="20" s="1"/>
  <c r="J43" i="33"/>
  <c r="I19" i="33"/>
  <c r="M63" i="20"/>
  <c r="J174" i="33"/>
  <c r="J44" i="33"/>
  <c r="J45" i="33"/>
  <c r="J175" i="33"/>
  <c r="N46" i="20"/>
  <c r="J10" i="20"/>
  <c r="I134" i="33"/>
  <c r="I99" i="33"/>
  <c r="I107" i="33"/>
  <c r="I150" i="33"/>
  <c r="I34" i="33" s="1"/>
  <c r="I142" i="33"/>
  <c r="I62" i="33"/>
  <c r="I70" i="33"/>
  <c r="I116" i="33"/>
  <c r="P14" i="83"/>
  <c r="S79" i="20" s="1"/>
  <c r="R79" i="20"/>
  <c r="E95" i="20"/>
  <c r="AP95" i="20" s="1"/>
  <c r="P13" i="83"/>
  <c r="P20" i="83"/>
  <c r="S117" i="20" s="1"/>
  <c r="R117" i="20"/>
  <c r="H32" i="33"/>
  <c r="N118" i="20"/>
  <c r="H50" i="33"/>
  <c r="K12" i="20" s="1"/>
  <c r="H17" i="33"/>
  <c r="H18" i="33"/>
  <c r="N54" i="20"/>
  <c r="H25" i="33"/>
  <c r="N80" i="20"/>
  <c r="H26" i="33"/>
  <c r="N91" i="20"/>
  <c r="H19" i="33"/>
  <c r="N65" i="20"/>
  <c r="N136" i="20"/>
  <c r="H34" i="33"/>
  <c r="H33" i="33"/>
  <c r="N128" i="20"/>
  <c r="L75" i="33"/>
  <c r="H128" i="20" l="1"/>
  <c r="H80" i="20"/>
  <c r="H54" i="20"/>
  <c r="H118" i="20"/>
  <c r="S95" i="20"/>
  <c r="P95" i="20"/>
  <c r="H91" i="20"/>
  <c r="H65" i="20"/>
  <c r="H136" i="20"/>
  <c r="H46" i="20"/>
  <c r="I33" i="33"/>
  <c r="M126" i="20"/>
  <c r="I32" i="33"/>
  <c r="M119" i="20"/>
  <c r="M101" i="20"/>
  <c r="N101" i="20" s="1"/>
  <c r="I27" i="33"/>
  <c r="M52" i="20"/>
  <c r="I18" i="33"/>
  <c r="I26" i="33"/>
  <c r="M89" i="20"/>
  <c r="N89" i="20" s="1"/>
  <c r="I17" i="33"/>
  <c r="M45" i="20"/>
  <c r="I25" i="33"/>
  <c r="M81" i="20"/>
  <c r="J176" i="33"/>
  <c r="H45" i="33"/>
  <c r="H174" i="33"/>
  <c r="H44" i="33"/>
  <c r="H38" i="33"/>
  <c r="C10" i="20" s="1"/>
  <c r="H173" i="33"/>
  <c r="H43" i="33"/>
  <c r="H175" i="33"/>
  <c r="I175" i="33" l="1"/>
  <c r="R95" i="20"/>
  <c r="Q95" i="20"/>
  <c r="H101" i="20"/>
  <c r="H89" i="20"/>
  <c r="I45" i="33"/>
  <c r="I44" i="33"/>
  <c r="I174" i="33"/>
  <c r="I43" i="33"/>
  <c r="I173" i="33"/>
  <c r="I38" i="33"/>
  <c r="C11" i="20" s="1"/>
  <c r="N44" i="20"/>
  <c r="J12" i="20"/>
  <c r="H176" i="33"/>
  <c r="L77" i="33"/>
  <c r="H44" i="20" l="1"/>
  <c r="I176" i="33"/>
  <c r="L114" i="33" l="1"/>
  <c r="L148" i="33" l="1"/>
  <c r="G42" i="33" s="1"/>
  <c r="G48" i="33" s="1"/>
  <c r="I75" i="33"/>
  <c r="I56" i="33" l="1"/>
  <c r="M40" i="20" s="1"/>
  <c r="N40" i="20" s="1"/>
  <c r="AE40" i="20" s="1"/>
  <c r="I93" i="33"/>
  <c r="M76" i="20" s="1"/>
  <c r="I140" i="33"/>
  <c r="M125" i="20" s="1"/>
  <c r="I105" i="33"/>
  <c r="M88" i="20" s="1"/>
  <c r="I132" i="33"/>
  <c r="M120" i="20" s="1"/>
  <c r="I68" i="33"/>
  <c r="M51" i="20" s="1"/>
  <c r="I97" i="33"/>
  <c r="M83" i="20" s="1"/>
  <c r="I60" i="33"/>
  <c r="M47" i="20" s="1"/>
  <c r="I77" i="33"/>
  <c r="M61" i="20" s="1"/>
  <c r="I148" i="33"/>
  <c r="I114" i="33"/>
  <c r="M100" i="20" s="1"/>
  <c r="AF40" i="20" l="1"/>
  <c r="AG40" i="20" s="1"/>
  <c r="AH40" i="20" s="1"/>
  <c r="AI40" i="20" s="1"/>
  <c r="AJ40" i="20" s="1"/>
  <c r="AK40" i="20" s="1"/>
  <c r="AL40" i="20" s="1"/>
  <c r="V40" i="20"/>
  <c r="W40" i="20" s="1"/>
  <c r="X40" i="20" s="1"/>
  <c r="Y40" i="20" s="1"/>
  <c r="Z40" i="20" s="1"/>
  <c r="AA40" i="20" s="1"/>
  <c r="AB40" i="20" s="1"/>
  <c r="AC40" i="20" s="1"/>
  <c r="E9" i="85"/>
  <c r="H40" i="20"/>
  <c r="G24" i="33"/>
  <c r="G33" i="33"/>
  <c r="G16" i="33"/>
  <c r="G18" i="33"/>
  <c r="N51" i="20"/>
  <c r="G19" i="33"/>
  <c r="G25" i="33"/>
  <c r="G32" i="33"/>
  <c r="G17" i="33"/>
  <c r="G27" i="33"/>
  <c r="G34" i="33"/>
  <c r="N88" i="20"/>
  <c r="G26" i="33"/>
  <c r="N81" i="20"/>
  <c r="N119" i="20"/>
  <c r="N63" i="20"/>
  <c r="N126" i="20"/>
  <c r="I50" i="33"/>
  <c r="K11" i="20" s="1"/>
  <c r="H81" i="20" l="1"/>
  <c r="H126" i="20"/>
  <c r="H119" i="20"/>
  <c r="H51" i="20"/>
  <c r="H88" i="20"/>
  <c r="H63" i="20"/>
  <c r="G45" i="33"/>
  <c r="G43" i="33"/>
  <c r="G174" i="33"/>
  <c r="G175" i="33"/>
  <c r="G173" i="33"/>
  <c r="G44" i="33"/>
  <c r="N100" i="20"/>
  <c r="G38" i="33"/>
  <c r="C9" i="20" s="1"/>
  <c r="N125" i="20"/>
  <c r="N76" i="20"/>
  <c r="AE76" i="20" s="1"/>
  <c r="AF76" i="20" s="1"/>
  <c r="AG76" i="20" s="1"/>
  <c r="AH76" i="20" s="1"/>
  <c r="AI76" i="20" s="1"/>
  <c r="AJ76" i="20" s="1"/>
  <c r="AK76" i="20" s="1"/>
  <c r="AL76" i="20" s="1"/>
  <c r="G50" i="33"/>
  <c r="K9" i="20" s="1"/>
  <c r="V76" i="20" l="1"/>
  <c r="W76" i="20" s="1"/>
  <c r="X76" i="20" s="1"/>
  <c r="Y76" i="20" s="1"/>
  <c r="Z76" i="20" s="1"/>
  <c r="AA76" i="20" s="1"/>
  <c r="AB76" i="20" s="1"/>
  <c r="AC76" i="20" s="1"/>
  <c r="H125" i="20"/>
  <c r="H100" i="20"/>
  <c r="H76" i="20"/>
  <c r="E20" i="85"/>
  <c r="N45" i="20"/>
  <c r="J11" i="20"/>
  <c r="G176" i="33"/>
  <c r="N52" i="20"/>
  <c r="H52" i="20" l="1"/>
  <c r="H45" i="20"/>
  <c r="N61" i="20"/>
  <c r="N83" i="20"/>
  <c r="N120" i="20"/>
  <c r="M48" i="20"/>
  <c r="N47" i="20"/>
  <c r="H120" i="20" l="1"/>
  <c r="H83" i="20"/>
  <c r="H47" i="20"/>
  <c r="H61" i="20"/>
  <c r="N135" i="20" l="1"/>
  <c r="J9" i="20"/>
  <c r="H135" i="20" l="1"/>
  <c r="N138" i="20"/>
  <c r="L76" i="33" l="1"/>
  <c r="I76" i="33" s="1"/>
  <c r="M62" i="20" s="1"/>
  <c r="L147" i="33" l="1"/>
  <c r="I147" i="33" s="1"/>
  <c r="F19" i="33"/>
  <c r="N62" i="20" l="1"/>
  <c r="M66" i="20"/>
  <c r="N133" i="20"/>
  <c r="N134" i="20"/>
  <c r="F35" i="33"/>
  <c r="M34" i="33" s="1"/>
  <c r="M132" i="20"/>
  <c r="AE62" i="20" l="1"/>
  <c r="AE64" i="20"/>
  <c r="AE65" i="20"/>
  <c r="AE63" i="20"/>
  <c r="V62" i="20"/>
  <c r="AE61" i="20"/>
  <c r="H133" i="20"/>
  <c r="H134" i="20"/>
  <c r="V61" i="20"/>
  <c r="V64" i="20"/>
  <c r="V65" i="20"/>
  <c r="V63" i="20"/>
  <c r="H62" i="20"/>
  <c r="E13" i="85"/>
  <c r="N132" i="20"/>
  <c r="M138" i="20"/>
  <c r="N66" i="20"/>
  <c r="AJ133" i="20" l="1"/>
  <c r="AH133" i="20"/>
  <c r="V133" i="20"/>
  <c r="W133" i="20" s="1"/>
  <c r="X133" i="20" s="1"/>
  <c r="Y133" i="20" s="1"/>
  <c r="Z133" i="20" s="1"/>
  <c r="AA133" i="20" s="1"/>
  <c r="AB133" i="20" s="1"/>
  <c r="AC133" i="20" s="1"/>
  <c r="AE133" i="20"/>
  <c r="V132" i="20"/>
  <c r="AE132" i="20"/>
  <c r="AI133" i="20"/>
  <c r="AK133" i="20"/>
  <c r="AF133" i="20"/>
  <c r="AL61" i="20"/>
  <c r="AJ61" i="20"/>
  <c r="AK61" i="20"/>
  <c r="AH61" i="20"/>
  <c r="AE66" i="20"/>
  <c r="AG61" i="20"/>
  <c r="AI61" i="20"/>
  <c r="AF61" i="20"/>
  <c r="AL133" i="20"/>
  <c r="AG133" i="20"/>
  <c r="AE134" i="20"/>
  <c r="AF134" i="20" s="1"/>
  <c r="AG134" i="20" s="1"/>
  <c r="AH134" i="20" s="1"/>
  <c r="AI134" i="20" s="1"/>
  <c r="AJ134" i="20" s="1"/>
  <c r="AK134" i="20" s="1"/>
  <c r="AL134" i="20" s="1"/>
  <c r="V134" i="20"/>
  <c r="W134" i="20" s="1"/>
  <c r="X134" i="20" s="1"/>
  <c r="Y134" i="20" s="1"/>
  <c r="Z134" i="20" s="1"/>
  <c r="AA134" i="20" s="1"/>
  <c r="AB134" i="20" s="1"/>
  <c r="AC134" i="20" s="1"/>
  <c r="AA61" i="20"/>
  <c r="Z62" i="20"/>
  <c r="AI62" i="20" s="1"/>
  <c r="W62" i="20"/>
  <c r="AF62" i="20" s="1"/>
  <c r="X62" i="20"/>
  <c r="AG62" i="20" s="1"/>
  <c r="AB61" i="20"/>
  <c r="AA62" i="20"/>
  <c r="AJ62" i="20" s="1"/>
  <c r="X61" i="20"/>
  <c r="AC61" i="20"/>
  <c r="AB62" i="20"/>
  <c r="AK62" i="20" s="1"/>
  <c r="Y61" i="20"/>
  <c r="W61" i="20"/>
  <c r="Z61" i="20"/>
  <c r="Y62" i="20"/>
  <c r="AH62" i="20" s="1"/>
  <c r="AC62" i="20"/>
  <c r="AL62" i="20" s="1"/>
  <c r="Z63" i="20"/>
  <c r="AI63" i="20" s="1"/>
  <c r="W63" i="20"/>
  <c r="AF63" i="20" s="1"/>
  <c r="AA63" i="20"/>
  <c r="AJ63" i="20" s="1"/>
  <c r="AC63" i="20"/>
  <c r="AL63" i="20" s="1"/>
  <c r="X63" i="20"/>
  <c r="AG63" i="20" s="1"/>
  <c r="AB63" i="20"/>
  <c r="AK63" i="20" s="1"/>
  <c r="Y63" i="20"/>
  <c r="AH63" i="20" s="1"/>
  <c r="Y65" i="20"/>
  <c r="AH65" i="20" s="1"/>
  <c r="AC65" i="20"/>
  <c r="AL65" i="20" s="1"/>
  <c r="Z65" i="20"/>
  <c r="AI65" i="20" s="1"/>
  <c r="AB65" i="20"/>
  <c r="AK65" i="20" s="1"/>
  <c r="W65" i="20"/>
  <c r="AF65" i="20" s="1"/>
  <c r="X65" i="20"/>
  <c r="AG65" i="20" s="1"/>
  <c r="AA65" i="20"/>
  <c r="AJ65" i="20" s="1"/>
  <c r="W64" i="20"/>
  <c r="AF64" i="20" s="1"/>
  <c r="AA64" i="20"/>
  <c r="AJ64" i="20" s="1"/>
  <c r="X64" i="20"/>
  <c r="AG64" i="20" s="1"/>
  <c r="AB64" i="20"/>
  <c r="AK64" i="20" s="1"/>
  <c r="Y64" i="20"/>
  <c r="AH64" i="20" s="1"/>
  <c r="Z64" i="20"/>
  <c r="AI64" i="20" s="1"/>
  <c r="AC64" i="20"/>
  <c r="AL64" i="20" s="1"/>
  <c r="V66" i="20"/>
  <c r="E33" i="85"/>
  <c r="E34" i="85"/>
  <c r="H132" i="20"/>
  <c r="W132" i="20" l="1"/>
  <c r="V138" i="20"/>
  <c r="AF132" i="20"/>
  <c r="AE138" i="20"/>
  <c r="AH66" i="20"/>
  <c r="AG66" i="20"/>
  <c r="AF66" i="20"/>
  <c r="AL66" i="20"/>
  <c r="AJ66" i="20"/>
  <c r="AI66" i="20"/>
  <c r="AK66" i="20"/>
  <c r="AG132" i="20" l="1"/>
  <c r="AH132" i="20" s="1"/>
  <c r="AF138" i="20"/>
  <c r="X132" i="20"/>
  <c r="W138" i="20"/>
  <c r="AI132" i="20" l="1"/>
  <c r="AH138" i="20"/>
  <c r="Y132" i="20"/>
  <c r="X138" i="20"/>
  <c r="Z132" i="20" l="1"/>
  <c r="Y138" i="20"/>
  <c r="AJ132" i="20"/>
  <c r="AI138" i="20"/>
  <c r="AG138" i="20"/>
  <c r="AK132" i="20" l="1"/>
  <c r="AJ138" i="20"/>
  <c r="AA132" i="20"/>
  <c r="Z138" i="20"/>
  <c r="AB132" i="20" l="1"/>
  <c r="AA138" i="20"/>
  <c r="AL132" i="20"/>
  <c r="AL138" i="20" s="1"/>
  <c r="AK138" i="20"/>
  <c r="H113" i="33"/>
  <c r="H119" i="33" s="1"/>
  <c r="L112" i="33"/>
  <c r="L67" i="33"/>
  <c r="I67" i="33" s="1"/>
  <c r="M50" i="20" s="1"/>
  <c r="L139" i="33"/>
  <c r="I139" i="33" s="1"/>
  <c r="M124" i="20" s="1"/>
  <c r="L104" i="33"/>
  <c r="I104" i="33" s="1"/>
  <c r="M87" i="20" s="1"/>
  <c r="AC132" i="20" l="1"/>
  <c r="AC138" i="20" s="1"/>
  <c r="AB138" i="20"/>
  <c r="L113" i="33"/>
  <c r="I113" i="33" s="1"/>
  <c r="M99" i="20" s="1"/>
  <c r="L84" i="33"/>
  <c r="I84" i="33" s="1"/>
  <c r="M68" i="20" s="1"/>
  <c r="L96" i="33"/>
  <c r="I96" i="33" s="1"/>
  <c r="M79" i="20" s="1"/>
  <c r="F18" i="33"/>
  <c r="L124" i="33"/>
  <c r="I124" i="33" s="1"/>
  <c r="M110" i="20" s="1"/>
  <c r="L59" i="33"/>
  <c r="I59" i="33" s="1"/>
  <c r="M43" i="20" s="1"/>
  <c r="F33" i="33"/>
  <c r="I112" i="33"/>
  <c r="L158" i="33"/>
  <c r="I158" i="33" s="1"/>
  <c r="M143" i="20" s="1"/>
  <c r="L88" i="33"/>
  <c r="I88" i="33" s="1"/>
  <c r="M71" i="20" s="1"/>
  <c r="L131" i="33"/>
  <c r="I131" i="33" s="1"/>
  <c r="M117" i="20" s="1"/>
  <c r="L155" i="33"/>
  <c r="I155" i="33" s="1"/>
  <c r="M140" i="20" s="1"/>
  <c r="F26" i="33"/>
  <c r="L121" i="33"/>
  <c r="I121" i="33" s="1"/>
  <c r="M107" i="20" s="1"/>
  <c r="M95" i="20" l="1"/>
  <c r="M112" i="33"/>
  <c r="F27" i="33"/>
  <c r="F21" i="33"/>
  <c r="F32" i="33"/>
  <c r="F29" i="33"/>
  <c r="F22" i="33"/>
  <c r="F30" i="33"/>
  <c r="F37" i="33"/>
  <c r="F17" i="33"/>
  <c r="F36" i="33"/>
  <c r="F28" i="33"/>
  <c r="N99" i="20"/>
  <c r="M105" i="20"/>
  <c r="F25" i="33"/>
  <c r="AE102" i="20" l="1"/>
  <c r="AE103" i="20"/>
  <c r="AE101" i="20"/>
  <c r="AE100" i="20"/>
  <c r="V99" i="20"/>
  <c r="AE99" i="20"/>
  <c r="V104" i="20"/>
  <c r="V102" i="20"/>
  <c r="V103" i="20"/>
  <c r="V101" i="20"/>
  <c r="V100" i="20"/>
  <c r="H99" i="20"/>
  <c r="N87" i="20"/>
  <c r="M93" i="20"/>
  <c r="N79" i="20"/>
  <c r="M85" i="20"/>
  <c r="N95" i="20"/>
  <c r="M97" i="20"/>
  <c r="N124" i="20"/>
  <c r="M130" i="20"/>
  <c r="N117" i="20"/>
  <c r="M122" i="20"/>
  <c r="N105" i="20"/>
  <c r="N50" i="20"/>
  <c r="M55" i="20"/>
  <c r="AE53" i="20" l="1"/>
  <c r="AE54" i="20"/>
  <c r="AE51" i="20"/>
  <c r="AE52" i="20"/>
  <c r="AE119" i="20"/>
  <c r="AE120" i="20"/>
  <c r="AE90" i="20"/>
  <c r="AE89" i="20"/>
  <c r="AE88" i="20"/>
  <c r="AE127" i="20"/>
  <c r="AE126" i="20"/>
  <c r="AE125" i="20"/>
  <c r="AF125" i="20" s="1"/>
  <c r="AE82" i="20"/>
  <c r="AE80" i="20"/>
  <c r="AE81" i="20"/>
  <c r="AE83" i="20"/>
  <c r="X103" i="20"/>
  <c r="Y103" i="20"/>
  <c r="AC103" i="20"/>
  <c r="Z103" i="20"/>
  <c r="AA103" i="20"/>
  <c r="AB103" i="20"/>
  <c r="W103" i="20"/>
  <c r="AC101" i="20"/>
  <c r="AL101" i="20" s="1"/>
  <c r="AA101" i="20"/>
  <c r="AJ101" i="20" s="1"/>
  <c r="W101" i="20"/>
  <c r="AF101" i="20" s="1"/>
  <c r="Y101" i="20"/>
  <c r="AH101" i="20" s="1"/>
  <c r="Z101" i="20"/>
  <c r="AI101" i="20" s="1"/>
  <c r="X101" i="20"/>
  <c r="AG101" i="20" s="1"/>
  <c r="AB101" i="20"/>
  <c r="AK101" i="20" s="1"/>
  <c r="AK103" i="20"/>
  <c r="AH103" i="20"/>
  <c r="AJ103" i="20"/>
  <c r="AL103" i="20"/>
  <c r="AG103" i="20"/>
  <c r="AI103" i="20"/>
  <c r="AF103" i="20"/>
  <c r="AE87" i="20"/>
  <c r="V87" i="20"/>
  <c r="V90" i="20"/>
  <c r="AE91" i="20"/>
  <c r="V91" i="20"/>
  <c r="V89" i="20"/>
  <c r="V88" i="20"/>
  <c r="AC100" i="20"/>
  <c r="AL100" i="20" s="1"/>
  <c r="Z100" i="20"/>
  <c r="AI100" i="20" s="1"/>
  <c r="X100" i="20"/>
  <c r="AG100" i="20" s="1"/>
  <c r="Y100" i="20"/>
  <c r="AH100" i="20" s="1"/>
  <c r="AA100" i="20"/>
  <c r="AJ100" i="20" s="1"/>
  <c r="W100" i="20"/>
  <c r="AF100" i="20" s="1"/>
  <c r="AA104" i="20"/>
  <c r="Z104" i="20"/>
  <c r="Y104" i="20"/>
  <c r="AB104" i="20"/>
  <c r="AC104" i="20"/>
  <c r="X104" i="20"/>
  <c r="W104" i="20"/>
  <c r="AL99" i="20"/>
  <c r="AK99" i="20"/>
  <c r="AJ99" i="20"/>
  <c r="AG99" i="20"/>
  <c r="AI99" i="20"/>
  <c r="AF99" i="20"/>
  <c r="AH99" i="20"/>
  <c r="AB102" i="20"/>
  <c r="AK102" i="20" s="1"/>
  <c r="AA102" i="20"/>
  <c r="AJ102" i="20" s="1"/>
  <c r="Z102" i="20"/>
  <c r="AI102" i="20" s="1"/>
  <c r="W102" i="20"/>
  <c r="AF102" i="20" s="1"/>
  <c r="Y102" i="20"/>
  <c r="AH102" i="20" s="1"/>
  <c r="X102" i="20"/>
  <c r="AG102" i="20" s="1"/>
  <c r="AC102" i="20"/>
  <c r="AL102" i="20" s="1"/>
  <c r="AB100" i="20"/>
  <c r="AK100" i="20" s="1"/>
  <c r="W99" i="20"/>
  <c r="Y99" i="20"/>
  <c r="X99" i="20"/>
  <c r="AB99" i="20"/>
  <c r="AC99" i="20"/>
  <c r="AA99" i="20"/>
  <c r="Z99" i="20"/>
  <c r="V118" i="20"/>
  <c r="AE118" i="20"/>
  <c r="AF118" i="20" s="1"/>
  <c r="AG118" i="20" s="1"/>
  <c r="AH118" i="20" s="1"/>
  <c r="AI118" i="20" s="1"/>
  <c r="AJ118" i="20" s="1"/>
  <c r="AK118" i="20" s="1"/>
  <c r="AL118" i="20" s="1"/>
  <c r="AE117" i="20"/>
  <c r="V117" i="20"/>
  <c r="V120" i="20"/>
  <c r="W120" i="20" s="1"/>
  <c r="X120" i="20" s="1"/>
  <c r="Y120" i="20" s="1"/>
  <c r="Z120" i="20" s="1"/>
  <c r="AA120" i="20" s="1"/>
  <c r="AB120" i="20" s="1"/>
  <c r="AC120" i="20" s="1"/>
  <c r="V119" i="20"/>
  <c r="W119" i="20" s="1"/>
  <c r="X119" i="20" s="1"/>
  <c r="Y119" i="20" s="1"/>
  <c r="Z119" i="20" s="1"/>
  <c r="AA119" i="20" s="1"/>
  <c r="AB119" i="20" s="1"/>
  <c r="AC119" i="20" s="1"/>
  <c r="AE128" i="20"/>
  <c r="V129" i="20"/>
  <c r="W129" i="20" s="1"/>
  <c r="X129" i="20" s="1"/>
  <c r="Y129" i="20" s="1"/>
  <c r="Z129" i="20" s="1"/>
  <c r="AA129" i="20" s="1"/>
  <c r="AB129" i="20" s="1"/>
  <c r="AC129" i="20" s="1"/>
  <c r="V125" i="20"/>
  <c r="W125" i="20" s="1"/>
  <c r="X125" i="20" s="1"/>
  <c r="Y125" i="20" s="1"/>
  <c r="Z125" i="20" s="1"/>
  <c r="AA125" i="20" s="1"/>
  <c r="AB125" i="20" s="1"/>
  <c r="AC125" i="20" s="1"/>
  <c r="AE124" i="20"/>
  <c r="V126" i="20"/>
  <c r="W126" i="20" s="1"/>
  <c r="V124" i="20"/>
  <c r="V128" i="20"/>
  <c r="V127" i="20"/>
  <c r="W127" i="20" s="1"/>
  <c r="AH84" i="20"/>
  <c r="AL84" i="20"/>
  <c r="AI84" i="20"/>
  <c r="AF84" i="20"/>
  <c r="AE84" i="20"/>
  <c r="V82" i="20"/>
  <c r="AG84" i="20"/>
  <c r="AJ84" i="20"/>
  <c r="AE79" i="20"/>
  <c r="AK84" i="20"/>
  <c r="V84" i="20"/>
  <c r="V83" i="20"/>
  <c r="V80" i="20"/>
  <c r="V81" i="20"/>
  <c r="V79" i="20"/>
  <c r="AE50" i="20"/>
  <c r="V51" i="20"/>
  <c r="V50" i="20"/>
  <c r="V52" i="20"/>
  <c r="V54" i="20"/>
  <c r="V53" i="20"/>
  <c r="H117" i="20"/>
  <c r="E31" i="85"/>
  <c r="H87" i="20"/>
  <c r="E22" i="85"/>
  <c r="H79" i="20"/>
  <c r="E21" i="85"/>
  <c r="H124" i="20"/>
  <c r="E32" i="85"/>
  <c r="H50" i="20"/>
  <c r="E11" i="85"/>
  <c r="H95" i="20"/>
  <c r="M69" i="20"/>
  <c r="N68" i="20"/>
  <c r="AE68" i="20" s="1"/>
  <c r="AF68" i="20" s="1"/>
  <c r="AG68" i="20" s="1"/>
  <c r="AH68" i="20" s="1"/>
  <c r="AI68" i="20" s="1"/>
  <c r="AJ68" i="20" s="1"/>
  <c r="AK68" i="20" s="1"/>
  <c r="AL68" i="20" s="1"/>
  <c r="N93" i="20"/>
  <c r="N71" i="20"/>
  <c r="AE71" i="20" s="1"/>
  <c r="AF71" i="20" s="1"/>
  <c r="AG71" i="20" s="1"/>
  <c r="AH71" i="20" s="1"/>
  <c r="AI71" i="20" s="1"/>
  <c r="AJ71" i="20" s="1"/>
  <c r="AK71" i="20" s="1"/>
  <c r="AL71" i="20" s="1"/>
  <c r="M73" i="20"/>
  <c r="N55" i="20"/>
  <c r="N85" i="20"/>
  <c r="N107" i="20"/>
  <c r="AE107" i="20" s="1"/>
  <c r="AF107" i="20" s="1"/>
  <c r="AG107" i="20" s="1"/>
  <c r="AH107" i="20" s="1"/>
  <c r="AI107" i="20" s="1"/>
  <c r="AJ107" i="20" s="1"/>
  <c r="AK107" i="20" s="1"/>
  <c r="AL107" i="20" s="1"/>
  <c r="M108" i="20"/>
  <c r="M144" i="20"/>
  <c r="N143" i="20"/>
  <c r="AE143" i="20" s="1"/>
  <c r="AF143" i="20" s="1"/>
  <c r="AG143" i="20" s="1"/>
  <c r="AH143" i="20" s="1"/>
  <c r="AI143" i="20" s="1"/>
  <c r="AJ143" i="20" s="1"/>
  <c r="AK143" i="20" s="1"/>
  <c r="AL143" i="20" s="1"/>
  <c r="M141" i="20"/>
  <c r="N140" i="20"/>
  <c r="AE140" i="20" s="1"/>
  <c r="AF140" i="20" s="1"/>
  <c r="AG140" i="20" s="1"/>
  <c r="AH140" i="20" s="1"/>
  <c r="AI140" i="20" s="1"/>
  <c r="AJ140" i="20" s="1"/>
  <c r="AK140" i="20" s="1"/>
  <c r="AL140" i="20" s="1"/>
  <c r="N122" i="20"/>
  <c r="N130" i="20"/>
  <c r="N96" i="20"/>
  <c r="AE96" i="20" s="1"/>
  <c r="AF96" i="20" s="1"/>
  <c r="AG96" i="20" s="1"/>
  <c r="AH96" i="20" s="1"/>
  <c r="AI96" i="20" s="1"/>
  <c r="AJ96" i="20" s="1"/>
  <c r="AK96" i="20" s="1"/>
  <c r="AL96" i="20" s="1"/>
  <c r="M112" i="20"/>
  <c r="N110" i="20"/>
  <c r="AE110" i="20" s="1"/>
  <c r="AF110" i="20" s="1"/>
  <c r="AG110" i="20" s="1"/>
  <c r="AH110" i="20" s="1"/>
  <c r="AI110" i="20" s="1"/>
  <c r="AJ110" i="20" s="1"/>
  <c r="AK110" i="20" s="1"/>
  <c r="AL110" i="20" s="1"/>
  <c r="AE95" i="20" l="1"/>
  <c r="AN124" i="20"/>
  <c r="AN129" i="20"/>
  <c r="AN127" i="20"/>
  <c r="AN128" i="20"/>
  <c r="AN126" i="20"/>
  <c r="AN125" i="20"/>
  <c r="V68" i="20"/>
  <c r="W68" i="20" s="1"/>
  <c r="X68" i="20" s="1"/>
  <c r="Y68" i="20" s="1"/>
  <c r="Z68" i="20" s="1"/>
  <c r="AA68" i="20" s="1"/>
  <c r="AB68" i="20" s="1"/>
  <c r="AC68" i="20" s="1"/>
  <c r="V110" i="20"/>
  <c r="W110" i="20" s="1"/>
  <c r="X110" i="20" s="1"/>
  <c r="Y110" i="20" s="1"/>
  <c r="Z110" i="20" s="1"/>
  <c r="AA110" i="20" s="1"/>
  <c r="AB110" i="20" s="1"/>
  <c r="AC110" i="20" s="1"/>
  <c r="V140" i="20"/>
  <c r="W140" i="20" s="1"/>
  <c r="X140" i="20" s="1"/>
  <c r="Y140" i="20" s="1"/>
  <c r="Z140" i="20" s="1"/>
  <c r="AA140" i="20" s="1"/>
  <c r="AB140" i="20" s="1"/>
  <c r="AC140" i="20" s="1"/>
  <c r="V95" i="20"/>
  <c r="V107" i="20"/>
  <c r="W107" i="20" s="1"/>
  <c r="X107" i="20" s="1"/>
  <c r="Y107" i="20" s="1"/>
  <c r="Z107" i="20" s="1"/>
  <c r="AA107" i="20" s="1"/>
  <c r="AB107" i="20" s="1"/>
  <c r="AC107" i="20" s="1"/>
  <c r="V71" i="20"/>
  <c r="W71" i="20" s="1"/>
  <c r="X71" i="20" s="1"/>
  <c r="Y71" i="20" s="1"/>
  <c r="Z71" i="20" s="1"/>
  <c r="AA71" i="20" s="1"/>
  <c r="AB71" i="20" s="1"/>
  <c r="AC71" i="20" s="1"/>
  <c r="V143" i="20"/>
  <c r="W143" i="20" s="1"/>
  <c r="X143" i="20" s="1"/>
  <c r="Y143" i="20" s="1"/>
  <c r="Z143" i="20" s="1"/>
  <c r="AA143" i="20" s="1"/>
  <c r="AB143" i="20" s="1"/>
  <c r="AC143" i="20" s="1"/>
  <c r="AC105" i="20"/>
  <c r="AA105" i="20"/>
  <c r="Y105" i="20"/>
  <c r="AB105" i="20"/>
  <c r="AC91" i="20"/>
  <c r="Z91" i="20"/>
  <c r="X91" i="20"/>
  <c r="AB91" i="20"/>
  <c r="W91" i="20"/>
  <c r="AA91" i="20"/>
  <c r="Y91" i="20"/>
  <c r="AB87" i="20"/>
  <c r="Y87" i="20"/>
  <c r="V93" i="20"/>
  <c r="AA87" i="20"/>
  <c r="AC87" i="20"/>
  <c r="W87" i="20"/>
  <c r="X87" i="20"/>
  <c r="Z87" i="20"/>
  <c r="Z105" i="20"/>
  <c r="X105" i="20"/>
  <c r="W88" i="20"/>
  <c r="AF88" i="20" s="1"/>
  <c r="X88" i="20"/>
  <c r="AG88" i="20" s="1"/>
  <c r="AB88" i="20"/>
  <c r="AK88" i="20" s="1"/>
  <c r="AC88" i="20"/>
  <c r="AL88" i="20" s="1"/>
  <c r="Y88" i="20"/>
  <c r="AH88" i="20" s="1"/>
  <c r="Z88" i="20"/>
  <c r="AI88" i="20" s="1"/>
  <c r="AA88" i="20"/>
  <c r="AJ88" i="20" s="1"/>
  <c r="AL91" i="20"/>
  <c r="AI91" i="20"/>
  <c r="AG91" i="20"/>
  <c r="AK91" i="20"/>
  <c r="AJ91" i="20"/>
  <c r="AF91" i="20"/>
  <c r="AH91" i="20"/>
  <c r="AL87" i="20"/>
  <c r="AJ87" i="20"/>
  <c r="AH87" i="20"/>
  <c r="AG87" i="20"/>
  <c r="AK87" i="20"/>
  <c r="AF87" i="20"/>
  <c r="AE93" i="20"/>
  <c r="AI87" i="20"/>
  <c r="Y90" i="20"/>
  <c r="AH90" i="20" s="1"/>
  <c r="AB90" i="20"/>
  <c r="AK90" i="20" s="1"/>
  <c r="W90" i="20"/>
  <c r="AF90" i="20" s="1"/>
  <c r="X90" i="20"/>
  <c r="AG90" i="20" s="1"/>
  <c r="AC90" i="20"/>
  <c r="AL90" i="20" s="1"/>
  <c r="Z90" i="20"/>
  <c r="AI90" i="20" s="1"/>
  <c r="AA90" i="20"/>
  <c r="AJ90" i="20" s="1"/>
  <c r="E23" i="85"/>
  <c r="V96" i="20"/>
  <c r="W96" i="20" s="1"/>
  <c r="X96" i="20" s="1"/>
  <c r="Y96" i="20" s="1"/>
  <c r="Z96" i="20" s="1"/>
  <c r="AA96" i="20" s="1"/>
  <c r="AB96" i="20" s="1"/>
  <c r="AC96" i="20" s="1"/>
  <c r="W105" i="20"/>
  <c r="W89" i="20"/>
  <c r="AF89" i="20" s="1"/>
  <c r="AC89" i="20"/>
  <c r="AL89" i="20" s="1"/>
  <c r="AA89" i="20"/>
  <c r="AJ89" i="20" s="1"/>
  <c r="Z89" i="20"/>
  <c r="AI89" i="20" s="1"/>
  <c r="Y89" i="20"/>
  <c r="AH89" i="20" s="1"/>
  <c r="X89" i="20"/>
  <c r="AG89" i="20" s="1"/>
  <c r="AB89" i="20"/>
  <c r="AK89" i="20" s="1"/>
  <c r="AL50" i="20"/>
  <c r="AI50" i="20"/>
  <c r="AF50" i="20"/>
  <c r="AG50" i="20"/>
  <c r="AJ50" i="20"/>
  <c r="AK50" i="20"/>
  <c r="AH50" i="20"/>
  <c r="AE55" i="20"/>
  <c r="AA79" i="20"/>
  <c r="AB79" i="20"/>
  <c r="X79" i="20"/>
  <c r="V85" i="20"/>
  <c r="Y79" i="20"/>
  <c r="W79" i="20"/>
  <c r="Z79" i="20"/>
  <c r="AC79" i="20"/>
  <c r="AA84" i="20"/>
  <c r="W84" i="20"/>
  <c r="Z84" i="20"/>
  <c r="X84" i="20"/>
  <c r="AC84" i="20"/>
  <c r="Y84" i="20"/>
  <c r="AB84" i="20"/>
  <c r="AC128" i="20"/>
  <c r="X128" i="20"/>
  <c r="AA128" i="20"/>
  <c r="Z128" i="20"/>
  <c r="W128" i="20"/>
  <c r="AB128" i="20"/>
  <c r="Y128" i="20"/>
  <c r="AL128" i="20"/>
  <c r="AF128" i="20"/>
  <c r="AJ128" i="20"/>
  <c r="AK128" i="20"/>
  <c r="AH128" i="20"/>
  <c r="AI128" i="20"/>
  <c r="AB117" i="20"/>
  <c r="X117" i="20"/>
  <c r="AA117" i="20"/>
  <c r="V122" i="20"/>
  <c r="Z117" i="20"/>
  <c r="AC117" i="20"/>
  <c r="W117" i="20"/>
  <c r="Y117" i="20"/>
  <c r="Y81" i="20"/>
  <c r="AC81" i="20"/>
  <c r="AL81" i="20" s="1"/>
  <c r="Z81" i="20"/>
  <c r="AI81" i="20" s="1"/>
  <c r="X81" i="20"/>
  <c r="AG81" i="20" s="1"/>
  <c r="AA81" i="20"/>
  <c r="AJ81" i="20" s="1"/>
  <c r="W81" i="20"/>
  <c r="AF81" i="20" s="1"/>
  <c r="AB81" i="20"/>
  <c r="AK81" i="20" s="1"/>
  <c r="AB124" i="20"/>
  <c r="Z124" i="20"/>
  <c r="AA124" i="20"/>
  <c r="V130" i="20"/>
  <c r="Y124" i="20"/>
  <c r="W124" i="20"/>
  <c r="W130" i="20" s="1"/>
  <c r="AC124" i="20"/>
  <c r="X124" i="20"/>
  <c r="AI124" i="20"/>
  <c r="AF124" i="20"/>
  <c r="AJ124" i="20"/>
  <c r="AE130" i="20"/>
  <c r="AG124" i="20"/>
  <c r="AK124" i="20"/>
  <c r="AH124" i="20"/>
  <c r="AL124" i="20"/>
  <c r="AF117" i="20"/>
  <c r="Y80" i="20"/>
  <c r="AH80" i="20" s="1"/>
  <c r="AC80" i="20"/>
  <c r="AL80" i="20" s="1"/>
  <c r="Z80" i="20"/>
  <c r="AI80" i="20" s="1"/>
  <c r="W80" i="20"/>
  <c r="AF80" i="20" s="1"/>
  <c r="AB80" i="20"/>
  <c r="AK80" i="20" s="1"/>
  <c r="X80" i="20"/>
  <c r="AG80" i="20" s="1"/>
  <c r="AA80" i="20"/>
  <c r="AJ80" i="20" s="1"/>
  <c r="AE85" i="20"/>
  <c r="AL79" i="20"/>
  <c r="AG79" i="20"/>
  <c r="AI79" i="20"/>
  <c r="AK79" i="20"/>
  <c r="AF79" i="20"/>
  <c r="AH79" i="20"/>
  <c r="AJ79" i="20"/>
  <c r="X126" i="20"/>
  <c r="AF126" i="20"/>
  <c r="W83" i="20"/>
  <c r="AF83" i="20" s="1"/>
  <c r="AA83" i="20"/>
  <c r="AJ83" i="20" s="1"/>
  <c r="X83" i="20"/>
  <c r="AG83" i="20" s="1"/>
  <c r="AB83" i="20"/>
  <c r="AK83" i="20" s="1"/>
  <c r="Z83" i="20"/>
  <c r="AI83" i="20" s="1"/>
  <c r="AC83" i="20"/>
  <c r="AL83" i="20" s="1"/>
  <c r="Y83" i="20"/>
  <c r="AH83" i="20" s="1"/>
  <c r="Z82" i="20"/>
  <c r="AI82" i="20" s="1"/>
  <c r="W82" i="20"/>
  <c r="AF82" i="20" s="1"/>
  <c r="AA82" i="20"/>
  <c r="AJ82" i="20" s="1"/>
  <c r="Y82" i="20"/>
  <c r="AH82" i="20" s="1"/>
  <c r="AB82" i="20"/>
  <c r="AK82" i="20" s="1"/>
  <c r="AC82" i="20"/>
  <c r="AL82" i="20" s="1"/>
  <c r="X82" i="20"/>
  <c r="AG82" i="20" s="1"/>
  <c r="X127" i="20"/>
  <c r="AF127" i="20"/>
  <c r="Z118" i="20"/>
  <c r="AA118" i="20"/>
  <c r="W118" i="20"/>
  <c r="AB118" i="20"/>
  <c r="X118" i="20"/>
  <c r="AC118" i="20"/>
  <c r="Y118" i="20"/>
  <c r="AB53" i="20"/>
  <c r="AK53" i="20" s="1"/>
  <c r="AC53" i="20"/>
  <c r="AL53" i="20" s="1"/>
  <c r="W53" i="20"/>
  <c r="AF53" i="20" s="1"/>
  <c r="AA53" i="20"/>
  <c r="AJ53" i="20" s="1"/>
  <c r="Y53" i="20"/>
  <c r="AH53" i="20" s="1"/>
  <c r="X53" i="20"/>
  <c r="AG53" i="20" s="1"/>
  <c r="Z53" i="20"/>
  <c r="AI53" i="20" s="1"/>
  <c r="X50" i="20"/>
  <c r="AB50" i="20"/>
  <c r="Y50" i="20"/>
  <c r="AC50" i="20"/>
  <c r="Z50" i="20"/>
  <c r="W50" i="20"/>
  <c r="AA50" i="20"/>
  <c r="AC66" i="20"/>
  <c r="Z54" i="20"/>
  <c r="AI54" i="20" s="1"/>
  <c r="AC54" i="20"/>
  <c r="AL54" i="20" s="1"/>
  <c r="Y54" i="20"/>
  <c r="AH54" i="20" s="1"/>
  <c r="AB54" i="20"/>
  <c r="AK54" i="20" s="1"/>
  <c r="X54" i="20"/>
  <c r="AG54" i="20" s="1"/>
  <c r="AA54" i="20"/>
  <c r="AJ54" i="20" s="1"/>
  <c r="W54" i="20"/>
  <c r="AF54" i="20" s="1"/>
  <c r="Z52" i="20"/>
  <c r="AI52" i="20" s="1"/>
  <c r="AC52" i="20"/>
  <c r="AL52" i="20" s="1"/>
  <c r="Y52" i="20"/>
  <c r="AH52" i="20" s="1"/>
  <c r="AB52" i="20"/>
  <c r="AK52" i="20" s="1"/>
  <c r="X52" i="20"/>
  <c r="AG52" i="20" s="1"/>
  <c r="W52" i="20"/>
  <c r="AF52" i="20" s="1"/>
  <c r="AA52" i="20"/>
  <c r="AJ52" i="20" s="1"/>
  <c r="V55" i="20"/>
  <c r="W51" i="20"/>
  <c r="AF51" i="20" s="1"/>
  <c r="Y51" i="20"/>
  <c r="AH51" i="20" s="1"/>
  <c r="Z51" i="20"/>
  <c r="AC51" i="20"/>
  <c r="AL51" i="20" s="1"/>
  <c r="AB51" i="20"/>
  <c r="AK51" i="20" s="1"/>
  <c r="AA51" i="20"/>
  <c r="AJ51" i="20" s="1"/>
  <c r="X51" i="20"/>
  <c r="AG51" i="20" s="1"/>
  <c r="V105" i="20"/>
  <c r="E24" i="85"/>
  <c r="H71" i="20"/>
  <c r="E15" i="85"/>
  <c r="H110" i="20"/>
  <c r="E26" i="85"/>
  <c r="H107" i="20"/>
  <c r="E25" i="85"/>
  <c r="H68" i="20"/>
  <c r="E14" i="85"/>
  <c r="H143" i="20"/>
  <c r="E36" i="85"/>
  <c r="H140" i="20"/>
  <c r="E35" i="85"/>
  <c r="H96" i="20"/>
  <c r="AF119" i="20"/>
  <c r="AG119" i="20" s="1"/>
  <c r="AH119" i="20" s="1"/>
  <c r="AI119" i="20" s="1"/>
  <c r="AJ119" i="20" s="1"/>
  <c r="AK119" i="20" s="1"/>
  <c r="AL119" i="20" s="1"/>
  <c r="AF120" i="20"/>
  <c r="AG120" i="20" s="1"/>
  <c r="AH120" i="20" s="1"/>
  <c r="AI120" i="20" s="1"/>
  <c r="AJ120" i="20" s="1"/>
  <c r="AK120" i="20" s="1"/>
  <c r="AL120" i="20" s="1"/>
  <c r="N69" i="20"/>
  <c r="N97" i="20"/>
  <c r="N112" i="20"/>
  <c r="N73" i="20"/>
  <c r="N141" i="20"/>
  <c r="N144" i="20"/>
  <c r="N108" i="20"/>
  <c r="W95" i="20" l="1"/>
  <c r="X95" i="20" s="1"/>
  <c r="Y95" i="20" s="1"/>
  <c r="Z95" i="20" s="1"/>
  <c r="AA95" i="20" s="1"/>
  <c r="AB95" i="20" s="1"/>
  <c r="AC95" i="20" s="1"/>
  <c r="V97" i="20"/>
  <c r="AE97" i="20"/>
  <c r="AF97" i="20" s="1"/>
  <c r="AG97" i="20" s="1"/>
  <c r="AH97" i="20" s="1"/>
  <c r="AI97" i="20" s="1"/>
  <c r="AJ97" i="20" s="1"/>
  <c r="AK97" i="20" s="1"/>
  <c r="AL97" i="20" s="1"/>
  <c r="AF95" i="20"/>
  <c r="AG95" i="20" s="1"/>
  <c r="AH95" i="20" s="1"/>
  <c r="AI95" i="20" s="1"/>
  <c r="AJ95" i="20" s="1"/>
  <c r="AK95" i="20" s="1"/>
  <c r="AL95" i="20" s="1"/>
  <c r="X130" i="20"/>
  <c r="V73" i="20"/>
  <c r="AF130" i="20"/>
  <c r="AI93" i="20"/>
  <c r="AA122" i="20"/>
  <c r="AF93" i="20"/>
  <c r="AJ93" i="20"/>
  <c r="W93" i="20"/>
  <c r="Y93" i="20"/>
  <c r="AG85" i="20"/>
  <c r="AK93" i="20"/>
  <c r="AL93" i="20"/>
  <c r="AC93" i="20"/>
  <c r="AB93" i="20"/>
  <c r="AG93" i="20"/>
  <c r="Z93" i="20"/>
  <c r="AK85" i="20"/>
  <c r="AH93" i="20"/>
  <c r="X93" i="20"/>
  <c r="AA93" i="20"/>
  <c r="Z55" i="20"/>
  <c r="AI51" i="20"/>
  <c r="AI55" i="20" s="1"/>
  <c r="AF85" i="20"/>
  <c r="AL85" i="20"/>
  <c r="Y122" i="20"/>
  <c r="AG128" i="20"/>
  <c r="AC85" i="20"/>
  <c r="AG55" i="20"/>
  <c r="Y127" i="20"/>
  <c r="AG127" i="20"/>
  <c r="Y126" i="20"/>
  <c r="Y130" i="20" s="1"/>
  <c r="AG126" i="20"/>
  <c r="W122" i="20"/>
  <c r="Z85" i="20"/>
  <c r="X85" i="20"/>
  <c r="AH55" i="20"/>
  <c r="AF55" i="20"/>
  <c r="AJ85" i="20"/>
  <c r="AI85" i="20"/>
  <c r="AE122" i="20"/>
  <c r="Y85" i="20"/>
  <c r="AH81" i="20"/>
  <c r="AH85" i="20" s="1"/>
  <c r="AC122" i="20"/>
  <c r="W85" i="20"/>
  <c r="AB85" i="20"/>
  <c r="AK55" i="20"/>
  <c r="AG117" i="20"/>
  <c r="AF122" i="20"/>
  <c r="AA85" i="20"/>
  <c r="AJ55" i="20"/>
  <c r="AL55" i="20"/>
  <c r="X55" i="20"/>
  <c r="AA66" i="20"/>
  <c r="AC55" i="20"/>
  <c r="W55" i="20"/>
  <c r="AB66" i="20"/>
  <c r="Y66" i="20"/>
  <c r="W66" i="20"/>
  <c r="AA55" i="20"/>
  <c r="Y55" i="20"/>
  <c r="X66" i="20"/>
  <c r="Z66" i="20"/>
  <c r="AB55" i="20"/>
  <c r="Z127" i="20" l="1"/>
  <c r="AH127" i="20"/>
  <c r="AH117" i="20"/>
  <c r="AG122" i="20"/>
  <c r="Z126" i="20"/>
  <c r="AH126" i="20"/>
  <c r="X122" i="20"/>
  <c r="AG130" i="20"/>
  <c r="W97" i="20"/>
  <c r="AA126" i="20" l="1"/>
  <c r="Z130" i="20"/>
  <c r="AH130" i="20"/>
  <c r="AI117" i="20"/>
  <c r="AH122" i="20"/>
  <c r="AA127" i="20"/>
  <c r="AI127" i="20"/>
  <c r="AI130" i="20" s="1"/>
  <c r="Y97" i="20"/>
  <c r="X97" i="20" s="1"/>
  <c r="AB126" i="20" l="1"/>
  <c r="AA130" i="20"/>
  <c r="AJ117" i="20"/>
  <c r="AI122" i="20"/>
  <c r="AL130" i="20"/>
  <c r="AB127" i="20"/>
  <c r="AJ127" i="20"/>
  <c r="AJ130" i="20" s="1"/>
  <c r="AB122" i="20"/>
  <c r="Z122" i="20"/>
  <c r="AA97" i="20"/>
  <c r="Z97" i="20" s="1"/>
  <c r="AC126" i="20" l="1"/>
  <c r="AB130" i="20"/>
  <c r="AC127" i="20"/>
  <c r="AK127" i="20"/>
  <c r="AK130" i="20" s="1"/>
  <c r="AK117" i="20"/>
  <c r="AJ122" i="20"/>
  <c r="AC97" i="20"/>
  <c r="AB97" i="20" s="1"/>
  <c r="AC130" i="20" l="1"/>
  <c r="AL117" i="20"/>
  <c r="AL122" i="20" s="1"/>
  <c r="AK122" i="20"/>
  <c r="L128" i="33" l="1"/>
  <c r="I128" i="33" s="1"/>
  <c r="M114" i="20" s="1"/>
  <c r="L55" i="33"/>
  <c r="L92" i="33"/>
  <c r="I92" i="33" s="1"/>
  <c r="M75" i="20" s="1"/>
  <c r="L51" i="71" l="1"/>
  <c r="M51" i="71" s="1"/>
  <c r="L30" i="71"/>
  <c r="M30" i="71" s="1"/>
  <c r="F23" i="33"/>
  <c r="F174" i="33" s="1"/>
  <c r="L29" i="71"/>
  <c r="M29" i="71" s="1"/>
  <c r="L50" i="71"/>
  <c r="M50" i="71" s="1"/>
  <c r="L49" i="71"/>
  <c r="M49" i="71" s="1"/>
  <c r="N29" i="71"/>
  <c r="P29" i="71" s="1"/>
  <c r="E19" i="85" s="1"/>
  <c r="N49" i="71"/>
  <c r="P49" i="71" s="1"/>
  <c r="L31" i="71"/>
  <c r="M31" i="71" s="1"/>
  <c r="L55" i="71"/>
  <c r="M55" i="71" s="1"/>
  <c r="L35" i="71"/>
  <c r="M35" i="71" s="1"/>
  <c r="L53" i="71"/>
  <c r="M53" i="71" s="1"/>
  <c r="F31" i="33"/>
  <c r="F175" i="33" s="1"/>
  <c r="N33" i="71"/>
  <c r="P33" i="71" s="1"/>
  <c r="E30" i="85" s="1"/>
  <c r="N53" i="71"/>
  <c r="P53" i="71" s="1"/>
  <c r="L33" i="71"/>
  <c r="L54" i="71"/>
  <c r="M54" i="71" s="1"/>
  <c r="L34" i="71"/>
  <c r="M34" i="71" s="1"/>
  <c r="I55" i="33"/>
  <c r="F42" i="33"/>
  <c r="L47" i="71" l="1"/>
  <c r="M47" i="71" s="1"/>
  <c r="L46" i="71"/>
  <c r="M46" i="71" s="1"/>
  <c r="F15" i="33"/>
  <c r="F173" i="33" s="1"/>
  <c r="F50" i="33"/>
  <c r="K8" i="20" s="1"/>
  <c r="Q33" i="71"/>
  <c r="Q49" i="71"/>
  <c r="N45" i="71"/>
  <c r="L27" i="71"/>
  <c r="M27" i="71" s="1"/>
  <c r="N25" i="71"/>
  <c r="M39" i="20" s="1"/>
  <c r="M31" i="20" s="1"/>
  <c r="L45" i="71"/>
  <c r="M45" i="71" s="1"/>
  <c r="L26" i="71"/>
  <c r="M26" i="71" s="1"/>
  <c r="L25" i="71"/>
  <c r="M25" i="71" s="1"/>
  <c r="N114" i="20"/>
  <c r="AE114" i="20" s="1"/>
  <c r="AF114" i="20" s="1"/>
  <c r="AG114" i="20" s="1"/>
  <c r="AH114" i="20" s="1"/>
  <c r="AI114" i="20" s="1"/>
  <c r="AJ114" i="20" s="1"/>
  <c r="AK114" i="20" s="1"/>
  <c r="AL114" i="20" s="1"/>
  <c r="M115" i="20"/>
  <c r="F45" i="33"/>
  <c r="Q29" i="71"/>
  <c r="F44" i="33"/>
  <c r="M33" i="71"/>
  <c r="L36" i="71"/>
  <c r="M77" i="20"/>
  <c r="N75" i="20"/>
  <c r="AE75" i="20" s="1"/>
  <c r="AF75" i="20" s="1"/>
  <c r="AG75" i="20" s="1"/>
  <c r="AH75" i="20" s="1"/>
  <c r="AI75" i="20" s="1"/>
  <c r="AJ75" i="20" s="1"/>
  <c r="AK75" i="20" s="1"/>
  <c r="AL75" i="20" s="1"/>
  <c r="Q53" i="71"/>
  <c r="H75" i="20" l="1"/>
  <c r="V75" i="20"/>
  <c r="W75" i="20" s="1"/>
  <c r="X75" i="20" s="1"/>
  <c r="Y75" i="20" s="1"/>
  <c r="Z75" i="20" s="1"/>
  <c r="AA75" i="20" s="1"/>
  <c r="AB75" i="20" s="1"/>
  <c r="AC75" i="20" s="1"/>
  <c r="H114" i="20"/>
  <c r="V114" i="20"/>
  <c r="W114" i="20" s="1"/>
  <c r="X114" i="20" s="1"/>
  <c r="Y114" i="20" s="1"/>
  <c r="Z114" i="20" s="1"/>
  <c r="AA114" i="20" s="1"/>
  <c r="AB114" i="20" s="1"/>
  <c r="AC114" i="20" s="1"/>
  <c r="F38" i="33"/>
  <c r="C8" i="20" s="1"/>
  <c r="F43" i="33"/>
  <c r="F176" i="33"/>
  <c r="P25" i="71"/>
  <c r="E8" i="85" s="1"/>
  <c r="J8" i="20"/>
  <c r="N115" i="20"/>
  <c r="N77" i="20"/>
  <c r="P45" i="71"/>
  <c r="Q45" i="71" l="1"/>
  <c r="M41" i="20"/>
  <c r="N39" i="20"/>
  <c r="AE39" i="20" s="1"/>
  <c r="Q25" i="71"/>
  <c r="AF39" i="20" l="1"/>
  <c r="AG39" i="20" s="1"/>
  <c r="AH39" i="20" s="1"/>
  <c r="AI39" i="20" s="1"/>
  <c r="AJ39" i="20" s="1"/>
  <c r="AK39" i="20" s="1"/>
  <c r="AL39" i="20" s="1"/>
  <c r="V39" i="20"/>
  <c r="W39" i="20" s="1"/>
  <c r="X39" i="20" s="1"/>
  <c r="Y39" i="20" s="1"/>
  <c r="Z39" i="20" s="1"/>
  <c r="AA39" i="20" s="1"/>
  <c r="AB39" i="20" s="1"/>
  <c r="AC39" i="20" s="1"/>
  <c r="H39" i="20"/>
  <c r="N41" i="20"/>
  <c r="H41" i="20" s="1"/>
  <c r="O8" i="83" l="1"/>
  <c r="M8" i="83"/>
  <c r="P43" i="20" s="1"/>
  <c r="P8" i="83" l="1"/>
  <c r="S43" i="20" s="1"/>
  <c r="R43" i="20"/>
  <c r="N43" i="20"/>
  <c r="N8" i="83"/>
  <c r="Q43" i="20" s="1"/>
  <c r="AE46" i="20" l="1"/>
  <c r="AE44" i="20"/>
  <c r="AE45" i="20"/>
  <c r="AE47" i="20"/>
  <c r="AE43" i="20"/>
  <c r="V43" i="20"/>
  <c r="X43" i="20" s="1"/>
  <c r="V46" i="20"/>
  <c r="V44" i="20"/>
  <c r="V45" i="20"/>
  <c r="V47" i="20"/>
  <c r="E10" i="85"/>
  <c r="H43" i="20"/>
  <c r="N48" i="20"/>
  <c r="AG43" i="20" l="1"/>
  <c r="AJ43" i="20"/>
  <c r="AK43" i="20"/>
  <c r="AH43" i="20"/>
  <c r="AF43" i="20"/>
  <c r="AI43" i="20"/>
  <c r="AL43" i="20"/>
  <c r="W45" i="20"/>
  <c r="AF45" i="20" s="1"/>
  <c r="AA45" i="20"/>
  <c r="AJ45" i="20" s="1"/>
  <c r="X45" i="20"/>
  <c r="AG45" i="20" s="1"/>
  <c r="AB45" i="20"/>
  <c r="AK45" i="20" s="1"/>
  <c r="AC45" i="20"/>
  <c r="AL45" i="20" s="1"/>
  <c r="Y45" i="20"/>
  <c r="AH45" i="20" s="1"/>
  <c r="Z45" i="20"/>
  <c r="AI45" i="20" s="1"/>
  <c r="AA44" i="20"/>
  <c r="AJ44" i="20" s="1"/>
  <c r="X44" i="20"/>
  <c r="AG44" i="20" s="1"/>
  <c r="AB44" i="20"/>
  <c r="AK44" i="20" s="1"/>
  <c r="Y44" i="20"/>
  <c r="AH44" i="20" s="1"/>
  <c r="AC44" i="20"/>
  <c r="W44" i="20"/>
  <c r="AF44" i="20" s="1"/>
  <c r="Z44" i="20"/>
  <c r="AI44" i="20" s="1"/>
  <c r="X46" i="20"/>
  <c r="AG46" i="20" s="1"/>
  <c r="AB46" i="20"/>
  <c r="AK46" i="20" s="1"/>
  <c r="Y46" i="20"/>
  <c r="AH46" i="20" s="1"/>
  <c r="AC46" i="20"/>
  <c r="AL46" i="20" s="1"/>
  <c r="AA46" i="20"/>
  <c r="AJ46" i="20" s="1"/>
  <c r="Z46" i="20"/>
  <c r="AI46" i="20" s="1"/>
  <c r="W46" i="20"/>
  <c r="AF46" i="20" s="1"/>
  <c r="Y47" i="20"/>
  <c r="AH47" i="20" s="1"/>
  <c r="AC47" i="20"/>
  <c r="AL47" i="20" s="1"/>
  <c r="Z47" i="20"/>
  <c r="AI47" i="20" s="1"/>
  <c r="W47" i="20"/>
  <c r="AF47" i="20" s="1"/>
  <c r="AB47" i="20"/>
  <c r="AK47" i="20" s="1"/>
  <c r="AA47" i="20"/>
  <c r="AJ47" i="20" s="1"/>
  <c r="X47" i="20"/>
  <c r="AG47" i="20" s="1"/>
  <c r="Y43" i="20"/>
  <c r="AC43" i="20"/>
  <c r="Z43" i="20"/>
  <c r="AA43" i="20"/>
  <c r="V48" i="20"/>
  <c r="AB43" i="20"/>
  <c r="W43" i="20"/>
  <c r="AC48" i="20" l="1"/>
  <c r="AL44" i="20"/>
  <c r="Y48" i="20"/>
  <c r="AE48" i="20"/>
  <c r="Z48" i="20"/>
  <c r="AA48" i="20"/>
  <c r="AF48" i="20"/>
  <c r="X48" i="20"/>
  <c r="AB48" i="20"/>
  <c r="W48" i="20"/>
  <c r="AH48" i="20" l="1"/>
  <c r="AG48" i="20"/>
  <c r="AL48" i="20"/>
  <c r="AI48" i="20"/>
  <c r="AK48" i="20"/>
  <c r="AJ48" i="20"/>
  <c r="AJ111" i="20"/>
  <c r="AK111" i="20" s="1"/>
  <c r="AL111" i="20" s="1"/>
  <c r="AF105" i="20"/>
  <c r="AG105" i="20"/>
  <c r="AH105" i="20" l="1"/>
  <c r="AI105" i="20" l="1"/>
  <c r="AJ104" i="20"/>
  <c r="AJ105" i="20" l="1"/>
  <c r="AK104" i="20"/>
  <c r="AK105" i="20" l="1"/>
  <c r="AL104" i="20"/>
  <c r="AL105" i="20" s="1"/>
  <c r="AE105"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Spirits</author>
  </authors>
  <commentList>
    <comment ref="F21" authorId="0" shapeId="0" xr:uid="{C3C6C117-FCC1-4A1F-915B-E09AD6496281}">
      <text>
        <r>
          <rPr>
            <b/>
            <sz val="10"/>
            <color indexed="81"/>
            <rFont val="Tahoma"/>
            <family val="2"/>
          </rPr>
          <t>Good Spirits:</t>
        </r>
        <r>
          <rPr>
            <sz val="10"/>
            <color indexed="81"/>
            <rFont val="Tahoma"/>
            <family val="2"/>
          </rPr>
          <t xml:space="preserve">
all eff from LTMS except where commented</t>
        </r>
      </text>
    </comment>
    <comment ref="O21" authorId="0" shapeId="0" xr:uid="{8D6AD3A3-CE78-446B-8095-4C6968805848}">
      <text>
        <r>
          <rPr>
            <b/>
            <sz val="10"/>
            <color indexed="81"/>
            <rFont val="Tahoma"/>
            <family val="2"/>
          </rPr>
          <t>Good Spirits:</t>
        </r>
        <r>
          <rPr>
            <sz val="10"/>
            <color indexed="81"/>
            <rFont val="Tahoma"/>
            <family val="2"/>
          </rPr>
          <t xml:space="preserve">
all eff from LTMS except where commented</t>
        </r>
      </text>
    </comment>
    <comment ref="F41" authorId="0" shapeId="0" xr:uid="{39AFF25F-9230-44D9-BE78-0127CAAED973}">
      <text>
        <r>
          <rPr>
            <b/>
            <sz val="10"/>
            <color indexed="81"/>
            <rFont val="Tahoma"/>
            <family val="2"/>
          </rPr>
          <t>Good Spirits:</t>
        </r>
        <r>
          <rPr>
            <sz val="10"/>
            <color indexed="81"/>
            <rFont val="Tahoma"/>
            <family val="2"/>
          </rPr>
          <t xml:space="preserve">
all eff from LTMS except where commented</t>
        </r>
      </text>
    </comment>
    <comment ref="O41" authorId="0" shapeId="0" xr:uid="{4165C7B6-1FE2-466D-A826-332BB06EF75A}">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tc={8308AA76-425E-D44B-9894-E5B4FF0C8BE8}</author>
    <author>tc={4DF60E77-CC5A-4D82-BA19-1A831A4807D7}</author>
    <author>tc={D42BB6B0-AB45-9E43-A9E9-B0DA0F955F44}</author>
    <author>Bruno Merven</author>
    <author>tc={DCE847A7-FF76-4CBA-BF42-FAA7EA517A5C}</author>
    <author>Lana</author>
  </authors>
  <commentList>
    <comment ref="I3" authorId="0" shapeId="0" xr:uid="{8308AA76-425E-D44B-9894-E5B4FF0C8BE8}">
      <text>
        <t>[Threaded comment]
Your version of Excel allows you to read this threaded comment; however, any edits to it will get removed if the file is opened in a newer version of Excel. Learn more: https://go.microsoft.com/fwlink/?linkid=870924
Comment:
    These shares match dmd_prj</t>
      </text>
    </comment>
    <comment ref="H9" authorId="1" shapeId="0" xr:uid="{4DF60E77-CC5A-4D82-BA19-1A831A4807D7}">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J9" authorId="2" shapeId="0" xr:uid="{D42BB6B0-AB45-9E43-A9E9-B0DA0F955F44}">
      <text>
        <t>[Threaded comment]
Your version of Excel allows you to read this threaded comment; however, any edits to it will get removed if the file is opened in a newer version of Excel. Learn more: https://go.microsoft.com/fwlink/?linkid=870924
Comment:
    Taken from SANEDI “household data v03” workbook</t>
      </text>
    </comment>
    <comment ref="E25" authorId="3" shapeId="0" xr:uid="{8E2FC6D2-98BE-447B-A7D5-AB3CB6074EF1}">
      <text>
        <r>
          <rPr>
            <b/>
            <sz val="8"/>
            <color rgb="FF000000"/>
            <rFont val="Tahoma"/>
            <family val="2"/>
          </rPr>
          <t>Bruno Merven:</t>
        </r>
        <r>
          <rPr>
            <sz val="8"/>
            <color rgb="FF000000"/>
            <rFont val="Tahoma"/>
            <family val="2"/>
          </rPr>
          <t xml:space="preserve">
</t>
        </r>
        <r>
          <rPr>
            <sz val="8"/>
            <color rgb="FF000000"/>
            <rFont val="Tahoma"/>
            <family val="2"/>
          </rPr>
          <t>From MyCS2007</t>
        </r>
      </text>
    </comment>
    <comment ref="D47" authorId="4" shapeId="0" xr:uid="{DCE847A7-FF76-4CBA-BF42-FAA7EA517A5C}">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D110" authorId="5" shapeId="0" xr:uid="{00000000-0006-0000-1200-000001000000}">
      <text>
        <r>
          <rPr>
            <b/>
            <sz val="9"/>
            <color indexed="81"/>
            <rFont val="Tahoma"/>
            <family val="2"/>
          </rPr>
          <t>Lana:</t>
        </r>
        <r>
          <rPr>
            <sz val="9"/>
            <color indexed="81"/>
            <rFont val="Tahoma"/>
            <family val="2"/>
          </rPr>
          <t xml:space="preserve">
For Census 2011, electricity used for lighting is a proxy for electricity access. The cooking and heating data were filtered using this proxy.</t>
        </r>
      </text>
    </comment>
    <comment ref="E111" authorId="5" shapeId="0" xr:uid="{00000000-0006-0000-1200-000002000000}">
      <text>
        <r>
          <rPr>
            <sz val="9"/>
            <color indexed="81"/>
            <rFont val="Tahoma"/>
            <family val="2"/>
          </rPr>
          <t xml:space="preserve">error of 31 206 households when using electricity as a proxy for lighting, which is 1% of total households, thus insignificant
</t>
        </r>
      </text>
    </comment>
    <comment ref="I111" authorId="5" shapeId="0" xr:uid="{00000000-0006-0000-1200-000003000000}">
      <text>
        <r>
          <rPr>
            <sz val="9"/>
            <color indexed="81"/>
            <rFont val="Tahoma"/>
            <family val="2"/>
          </rPr>
          <t xml:space="preserve">error of 31 206 households when using electricity as a proxy for lighting, which is 1% of total households, thus insignificant
</t>
        </r>
      </text>
    </comment>
    <comment ref="I112" authorId="5" shapeId="0" xr:uid="{00000000-0006-0000-1200-000004000000}">
      <text>
        <r>
          <rPr>
            <sz val="9"/>
            <color indexed="81"/>
            <rFont val="Tahoma"/>
            <family val="2"/>
          </rPr>
          <t xml:space="preserve">error of 31 206 households when using electricity as a proxy for lighting, which is 1% of total households, thus insignificant
</t>
        </r>
      </text>
    </comment>
    <comment ref="E121" authorId="5" shapeId="0" xr:uid="{00000000-0006-0000-1200-000005000000}">
      <text>
        <r>
          <rPr>
            <sz val="9"/>
            <color indexed="81"/>
            <rFont val="Tahoma"/>
            <family val="2"/>
          </rPr>
          <t xml:space="preserve">error of 31 206 households when using electricity as a proxy for lighting, which is 1% of total households, thus insignificant
</t>
        </r>
      </text>
    </comment>
    <comment ref="I121" authorId="5" shapeId="0" xr:uid="{00000000-0006-0000-1200-000006000000}">
      <text>
        <r>
          <rPr>
            <sz val="9"/>
            <color indexed="81"/>
            <rFont val="Tahoma"/>
            <family val="2"/>
          </rPr>
          <t xml:space="preserve">error of 31 206 households when using electricity as a proxy for lighting, which is 1% of total households, thus insignificant
</t>
        </r>
      </text>
    </comment>
    <comment ref="E131" authorId="5" shapeId="0" xr:uid="{00000000-0006-0000-1200-000007000000}">
      <text>
        <r>
          <rPr>
            <sz val="9"/>
            <color indexed="81"/>
            <rFont val="Tahoma"/>
            <family val="2"/>
          </rPr>
          <t xml:space="preserve">error of 31 206 households when using electricity as a proxy for lighting, which is 1% of total households, thus insignificant
</t>
        </r>
      </text>
    </comment>
    <comment ref="I131" authorId="5" shapeId="0" xr:uid="{00000000-0006-0000-1200-000008000000}">
      <text>
        <r>
          <rPr>
            <sz val="9"/>
            <color indexed="81"/>
            <rFont val="Tahoma"/>
            <family val="2"/>
          </rPr>
          <t xml:space="preserve">error of 31 206 households when using electricity as a proxy for lighting, which is 1% of total households, thus insignificant
</t>
        </r>
      </text>
    </comment>
    <comment ref="E142" authorId="5" shapeId="0" xr:uid="{00000000-0006-0000-1200-000009000000}">
      <text>
        <r>
          <rPr>
            <sz val="9"/>
            <color indexed="81"/>
            <rFont val="Tahoma"/>
            <family val="2"/>
          </rPr>
          <t xml:space="preserve">error of 31 206 households when using electricity as a proxy for lighting, which is 1% of total households, thus insignificant
</t>
        </r>
      </text>
    </comment>
    <comment ref="E152" authorId="5" shapeId="0" xr:uid="{00000000-0006-0000-1200-00000A000000}">
      <text>
        <r>
          <rPr>
            <sz val="9"/>
            <color indexed="81"/>
            <rFont val="Tahoma"/>
            <family val="2"/>
          </rPr>
          <t xml:space="preserve">error of 31 206 households when using electricity as a proxy for lighting, which is 1% of total households, thus insignificant
</t>
        </r>
      </text>
    </comment>
    <comment ref="E162" authorId="5" shapeId="0" xr:uid="{00000000-0006-0000-1200-00000B000000}">
      <text>
        <r>
          <rPr>
            <sz val="9"/>
            <color indexed="81"/>
            <rFont val="Tahoma"/>
            <family val="2"/>
          </rPr>
          <t xml:space="preserve">error of 31 206 households when using electricity as a proxy for lighting, which is 1% of total households, thus insignificant
</t>
        </r>
      </text>
    </comment>
    <comment ref="E175" authorId="5" shapeId="0" xr:uid="{10062D0C-EC6E-4C5A-AEC8-AA51181671D6}">
      <text>
        <r>
          <rPr>
            <sz val="9"/>
            <color indexed="81"/>
            <rFont val="Tahoma"/>
            <family val="2"/>
          </rPr>
          <t xml:space="preserve">error of 31 206 households when using electricity as a proxy for lighting, which is 1% of total households, thus insignificant
</t>
        </r>
      </text>
    </comment>
    <comment ref="E185" authorId="5" shapeId="0" xr:uid="{D6D2FD35-8736-4E44-AEAE-D4BD880A1988}">
      <text>
        <r>
          <rPr>
            <sz val="9"/>
            <color indexed="81"/>
            <rFont val="Tahoma"/>
            <family val="2"/>
          </rPr>
          <t xml:space="preserve">error of 31 206 households when using electricity as a proxy for lighting, which is 1% of total households, thus insignificant
</t>
        </r>
      </text>
    </comment>
    <comment ref="E195" authorId="5" shapeId="0" xr:uid="{7279023F-1495-4206-9543-4EE949CE4457}">
      <text>
        <r>
          <rPr>
            <sz val="9"/>
            <color indexed="81"/>
            <rFont val="Tahoma"/>
            <family val="2"/>
          </rPr>
          <t xml:space="preserve">error of 31 206 households when using electricity as a proxy for lighting, which is 1% of total households, thus insignificant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Alison Hughes</author>
    <author>tc={6A7695AD-4A76-48DA-970B-19A6CB9DACC1}</author>
  </authors>
  <commentList>
    <comment ref="AN6" authorId="0" shapeId="0" xr:uid="{00000000-0006-0000-1300-000001000000}">
      <text>
        <r>
          <rPr>
            <b/>
            <sz val="9"/>
            <color indexed="81"/>
            <rFont val="Arial"/>
            <family val="2"/>
          </rPr>
          <t>Alison Hughes:</t>
        </r>
        <r>
          <rPr>
            <sz val="9"/>
            <color indexed="81"/>
            <rFont val="Arial"/>
            <family val="2"/>
          </rPr>
          <t xml:space="preserve">
sums middle and high income
</t>
        </r>
      </text>
    </comment>
    <comment ref="G99" authorId="1" shapeId="0" xr:uid="{6A7695AD-4A76-48DA-970B-19A6CB9DACC1}">
      <text>
        <t>[Threaded comment]
Your version of Excel allows you to read this threaded comment; however, any edits to it will get removed if the file is opened in a newer version of Excel. Learn more: https://go.microsoft.com/fwlink/?linkid=870924
Comment:
    Also difference in wood use here, with non-elec hhlds using more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Good Spirits</author>
    <author>tc={DF5259BA-374F-B841-825F-9E1553572344}</author>
    <author>tc={C3C2BAAB-27C4-4468-96A2-470291D9D141}</author>
    <author>tc={D175A75C-4ADB-F247-9B9F-B5C585A9CE63}</author>
  </authors>
  <commentList>
    <comment ref="E34" authorId="0" shapeId="0" xr:uid="{00000000-0006-0000-1400-000002000000}">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 ref="S34" authorId="1" shapeId="0" xr:uid="{DF5259BA-374F-B841-825F-9E1553572344}">
      <text>
        <t>[Threaded comment]
Your version of Excel allows you to read this threaded comment; however, any edits to it will get removed if the file is opened in a newer version of Excel. Learn more: https://go.microsoft.com/fwlink/?linkid=870924
Comment:
    Efficiency - pulls informtion in from scenarios</t>
      </text>
    </comment>
    <comment ref="J39" authorId="2" shapeId="0" xr:uid="{C3C2BAAB-27C4-4468-96A2-470291D9D141}">
      <text>
        <t>[Threaded comment]
Your version of Excel allows you to read this threaded comment; however, any edits to it will get removed if the file is opened in a newer version of Excel. Learn more: https://go.microsoft.com/fwlink/?linkid=870924
Comment:
    Set to zero to avoid infes, until we do proper stock modelling.</t>
      </text>
    </comment>
    <comment ref="E62" authorId="3" shapeId="0" xr:uid="{D175A75C-4ADB-F247-9B9F-B5C585A9CE63}">
      <text>
        <t>[Threaded comment]
Your version of Excel allows you to read this threaded comment; however, any edits to it will get removed if the file is opened in a newer version of Excel. Learn more: https://go.microsoft.com/fwlink/?linkid=870924
Comment:
    I don’t think this matches SANEDI</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Tara Caetano</author>
  </authors>
  <commentList>
    <comment ref="O39" authorId="0" shapeId="0" xr:uid="{00000000-0006-0000-1500-000001000000}">
      <text>
        <r>
          <rPr>
            <b/>
            <sz val="9"/>
            <color indexed="81"/>
            <rFont val="Arial"/>
            <family val="2"/>
          </rPr>
          <t>Tara Caetano:</t>
        </r>
        <r>
          <rPr>
            <sz val="9"/>
            <color indexed="81"/>
            <rFont val="Arial"/>
            <family val="2"/>
          </rPr>
          <t xml:space="preserve">
15.5 PJ from continuing effects of the existing MEPS.</t>
        </r>
      </text>
    </comment>
  </commentList>
</comments>
</file>

<file path=xl/sharedStrings.xml><?xml version="1.0" encoding="utf-8"?>
<sst xmlns="http://schemas.openxmlformats.org/spreadsheetml/2006/main" count="3772" uniqueCount="1057">
  <si>
    <t>Fuel</t>
  </si>
  <si>
    <t xml:space="preserve"> (Unit)</t>
  </si>
  <si>
    <t>Candles</t>
  </si>
  <si>
    <t xml:space="preserve">Paraffin </t>
  </si>
  <si>
    <t>PM9 Battery</t>
  </si>
  <si>
    <t>PM10 Battery</t>
  </si>
  <si>
    <t>R20 Battery</t>
  </si>
  <si>
    <t>Wood</t>
  </si>
  <si>
    <t>Sun Dried dung</t>
  </si>
  <si>
    <t>Coal</t>
  </si>
  <si>
    <t>Cape Town energy futures: Policies and scenarios for sustainable city energy development</t>
  </si>
  <si>
    <t>Lighting</t>
  </si>
  <si>
    <t>Cooking</t>
  </si>
  <si>
    <t>Space heating</t>
  </si>
  <si>
    <t>Water heating</t>
  </si>
  <si>
    <t>Refrigeration</t>
  </si>
  <si>
    <t>electricity</t>
  </si>
  <si>
    <t>Paraffin</t>
  </si>
  <si>
    <t>Low income</t>
  </si>
  <si>
    <t>Bill Cowan (2008)</t>
  </si>
  <si>
    <t>paraffin</t>
  </si>
  <si>
    <t>LPG</t>
  </si>
  <si>
    <t>Low Income</t>
  </si>
  <si>
    <t>GJ/annum</t>
  </si>
  <si>
    <t>Middle Income</t>
  </si>
  <si>
    <t>High Income</t>
  </si>
  <si>
    <t>Statistics South Africa</t>
  </si>
  <si>
    <t>Total</t>
  </si>
  <si>
    <t>No income</t>
  </si>
  <si>
    <t>Low</t>
  </si>
  <si>
    <t>Middle</t>
  </si>
  <si>
    <t>High</t>
  </si>
  <si>
    <t>kg</t>
  </si>
  <si>
    <t>Non electrified</t>
  </si>
  <si>
    <t>Electrified</t>
  </si>
  <si>
    <t>low income</t>
  </si>
  <si>
    <t>other</t>
  </si>
  <si>
    <t>high income</t>
  </si>
  <si>
    <t>COOKING</t>
  </si>
  <si>
    <t>wood</t>
  </si>
  <si>
    <t>SPACE HEATING</t>
  </si>
  <si>
    <t>Other</t>
  </si>
  <si>
    <t>Electricity</t>
  </si>
  <si>
    <t>Gas</t>
  </si>
  <si>
    <t>Solar</t>
  </si>
  <si>
    <t>Fuel Types</t>
  </si>
  <si>
    <t>Animal dung</t>
  </si>
  <si>
    <t>None</t>
  </si>
  <si>
    <t>SAPIA</t>
  </si>
  <si>
    <t>PJ</t>
  </si>
  <si>
    <t>Yes</t>
  </si>
  <si>
    <t>No</t>
  </si>
  <si>
    <t>%</t>
  </si>
  <si>
    <t>Appliances</t>
  </si>
  <si>
    <t>Average</t>
  </si>
  <si>
    <t>none</t>
  </si>
  <si>
    <t>CFL</t>
  </si>
  <si>
    <t xml:space="preserve"> </t>
  </si>
  <si>
    <t>low</t>
  </si>
  <si>
    <t>High income</t>
  </si>
  <si>
    <t>REGIONS</t>
  </si>
  <si>
    <t>cooking</t>
  </si>
  <si>
    <t>space heating</t>
  </si>
  <si>
    <t>water heating</t>
  </si>
  <si>
    <t>Cost</t>
  </si>
  <si>
    <t>SWH</t>
  </si>
  <si>
    <t>Saturation level - AMPS</t>
  </si>
  <si>
    <t>no.hhlds</t>
  </si>
  <si>
    <t>assumed 250L single door fridge freezer</t>
  </si>
  <si>
    <t xml:space="preserve">         Refrigeration </t>
  </si>
  <si>
    <t xml:space="preserve">         Free Standing Freezer</t>
  </si>
  <si>
    <t>assumed a 450L double door fridge freezer</t>
  </si>
  <si>
    <t>assumed 650L double door fridge freezer</t>
  </si>
  <si>
    <t>http://www.altestore.com/howto/Power-Ratings-typical-for-Common-Appliances/a21/</t>
  </si>
  <si>
    <t>South Africa</t>
  </si>
  <si>
    <t>Base Year Energy Balance</t>
  </si>
  <si>
    <t>Base Year</t>
  </si>
  <si>
    <t>RES</t>
  </si>
  <si>
    <t>L</t>
  </si>
  <si>
    <t>H</t>
  </si>
  <si>
    <t>~FI_T</t>
  </si>
  <si>
    <t>TechDesc</t>
  </si>
  <si>
    <t>TechName</t>
  </si>
  <si>
    <t>Comm-IN</t>
  </si>
  <si>
    <t>Comm-Out</t>
  </si>
  <si>
    <t>EFF</t>
  </si>
  <si>
    <t>AFA</t>
  </si>
  <si>
    <t>Life</t>
  </si>
  <si>
    <t>STOCK</t>
  </si>
  <si>
    <t xml:space="preserve"> \I:Technology Description</t>
  </si>
  <si>
    <t>Technology Name</t>
  </si>
  <si>
    <t>Input Commodity</t>
  </si>
  <si>
    <t>Useful Energy Service</t>
  </si>
  <si>
    <t>Efficiency</t>
  </si>
  <si>
    <t>Utlisation</t>
  </si>
  <si>
    <t>Lifetime</t>
  </si>
  <si>
    <t>Existing Installed Cap.</t>
  </si>
  <si>
    <t>Base Year Technology Share</t>
  </si>
  <si>
    <t>Final Energy</t>
  </si>
  <si>
    <t>Useful Energy</t>
  </si>
  <si>
    <t>Row #</t>
  </si>
  <si>
    <t>\I: Units</t>
  </si>
  <si>
    <t>(sum OUT/IN)</t>
  </si>
  <si>
    <t>(Fraction)</t>
  </si>
  <si>
    <t>(Years)</t>
  </si>
  <si>
    <t>(PJa)</t>
  </si>
  <si>
    <t>(%)</t>
  </si>
  <si>
    <t>(PJ)</t>
  </si>
  <si>
    <t>\I:</t>
  </si>
  <si>
    <t>\I: Share Check &amp; sub-totals</t>
  </si>
  <si>
    <t>*</t>
  </si>
  <si>
    <t>UP</t>
  </si>
  <si>
    <t>Investment Cost</t>
  </si>
  <si>
    <t>LED</t>
  </si>
  <si>
    <t>\I:Residential - Lighting - Low Income Electrified</t>
  </si>
  <si>
    <t>\I:Residential - Cooking - Low Income Electrified</t>
  </si>
  <si>
    <t>\I:Residential - Space Heating - Low Income Electrified</t>
  </si>
  <si>
    <t>\I:Residential - Water Heating - Low Income Electrified</t>
  </si>
  <si>
    <t>\I:Residential - Refrigeration - Low Income Electrified</t>
  </si>
  <si>
    <t>\I:Residential - Other - Low Income Electrified</t>
  </si>
  <si>
    <t>\I:Residential - Lighting - Middle Income Electrified</t>
  </si>
  <si>
    <t>\I:Residential - Lighting - High Income Electrified</t>
  </si>
  <si>
    <t>\I:Residential - Space Heating - High Income Electrified</t>
  </si>
  <si>
    <t>\I:Residential - Other - High Income Electrified</t>
  </si>
  <si>
    <t>Default Upper Limits</t>
  </si>
  <si>
    <t>Default Lower Limits</t>
  </si>
  <si>
    <t>Base Year Tech Share</t>
  </si>
  <si>
    <t>Upper Limit</t>
  </si>
  <si>
    <t>Lower Limit</t>
  </si>
  <si>
    <t>LO</t>
  </si>
  <si>
    <t>kWh</t>
  </si>
  <si>
    <t>Date</t>
  </si>
  <si>
    <t>Person</t>
  </si>
  <si>
    <t>Sheet</t>
  </si>
  <si>
    <t>Change</t>
  </si>
  <si>
    <t>Impact</t>
  </si>
  <si>
    <t>Reason</t>
  </si>
  <si>
    <t>Alison</t>
  </si>
  <si>
    <t>Linked Elc to MyEndUses</t>
  </si>
  <si>
    <t>Neat Sheet</t>
  </si>
  <si>
    <t>My End Uses</t>
  </si>
  <si>
    <t>Increased Electricity consumption</t>
  </si>
  <si>
    <t>To absorb some of the "other elc"</t>
  </si>
  <si>
    <t>Total Elc increased</t>
  </si>
  <si>
    <t>Increased Coal consumption</t>
  </si>
  <si>
    <t>To push up coal consumption to 1m tons</t>
  </si>
  <si>
    <t>Bruno</t>
  </si>
  <si>
    <t>Linked other fuels to MyEndUses</t>
  </si>
  <si>
    <t>So that updates on other sheets get carried over to RES sheet</t>
  </si>
  <si>
    <t>Adjusted woodfuel share of Electrified low income hh</t>
  </si>
  <si>
    <t>Was not consistent non-electrified low income hh</t>
  </si>
  <si>
    <t>BILL</t>
  </si>
  <si>
    <t>Adjusted paraffin use in middle income</t>
  </si>
  <si>
    <t>Was not consistent with low income hhs and high income hhs</t>
  </si>
  <si>
    <t>Added LPG use for space heating and linked my End Uses</t>
  </si>
  <si>
    <t>Added paraffin use for non energy use</t>
  </si>
  <si>
    <t>my neat sheet</t>
  </si>
  <si>
    <t>linked paraffin use for non energy use to BILL's sheet</t>
  </si>
  <si>
    <t>N</t>
  </si>
  <si>
    <t>Added non-energy use (also to TIMES parameters sheets)</t>
  </si>
  <si>
    <t>Export only Shares Scenario?</t>
  </si>
  <si>
    <t>2005 mill. R/PJ-a</t>
  </si>
  <si>
    <t>Changed Final Energy Calculation for Electric Lighting so that it makes sense given the known shares of useful energy (count of bulbs) and efficiencies.</t>
  </si>
  <si>
    <t>Adrian</t>
  </si>
  <si>
    <t>Bryce</t>
  </si>
  <si>
    <t xml:space="preserve">Added LPG gas heater tech to middle income.  Costs based on high income level technology. </t>
  </si>
  <si>
    <t>Natural gas</t>
  </si>
  <si>
    <t>Natural Gas</t>
  </si>
  <si>
    <t>RESGAS</t>
  </si>
  <si>
    <t>If 0, u export everything (shares together with technologies), else export shares only</t>
  </si>
  <si>
    <t>SATIM Codes</t>
  </si>
  <si>
    <t>INC</t>
  </si>
  <si>
    <t>Reference</t>
  </si>
  <si>
    <t xml:space="preserve">http://beta2.statssa.gov.za/publications/P0141/CPIHistory.pdf </t>
  </si>
  <si>
    <t xml:space="preserve">P0141 </t>
  </si>
  <si>
    <t>Publication Series</t>
  </si>
  <si>
    <t>Organisation's Name or Authors</t>
  </si>
  <si>
    <t>Fin24</t>
  </si>
  <si>
    <t>candle</t>
  </si>
  <si>
    <t>Litre</t>
  </si>
  <si>
    <t>Battery</t>
  </si>
  <si>
    <t>Calorific Value (MJ/Unit)</t>
  </si>
  <si>
    <t xml:space="preserve">Fuel use in six rural settlements in Gazankulu. </t>
  </si>
  <si>
    <t xml:space="preserve">N.J Griffin, D. I. Banks, J Mavrandonis, C.M Shackleton and S E Shackleton: </t>
  </si>
  <si>
    <t>Title</t>
  </si>
  <si>
    <t>Note on the Reference</t>
  </si>
  <si>
    <t>There was no year given, and this is found in hard copy, Alison had the report in 2011</t>
  </si>
  <si>
    <t>DoE 2009 Energy Digest Statistics</t>
  </si>
  <si>
    <t>Department of Energy</t>
  </si>
  <si>
    <t>Link'</t>
  </si>
  <si>
    <t>CPI History</t>
  </si>
  <si>
    <t xml:space="preserve">http://www.energy.gov.za/files/media/explained/2009%20Digest%20PDF%20version.pdf </t>
  </si>
  <si>
    <t>E18,4</t>
  </si>
  <si>
    <t>Wood - dry</t>
  </si>
  <si>
    <t>Exchange Rate</t>
  </si>
  <si>
    <t>Reference Code</t>
  </si>
  <si>
    <t>Harald Winkler, Mark Borchers, Alison Highes, Eugene Visagie and Glen Heinrich,2005</t>
  </si>
  <si>
    <t xml:space="preserve">http://www.erc.uct.ac.za/Research/publications/05WInkler%20etal%20-%20CT%20energy%20futures.pdf </t>
  </si>
  <si>
    <t>Determining the impacts of selected energy policies on Gauteng's residential energy consumption and the associated emissions using LEAP as a tool for analysis : implications for sustainable livelihoods for the poor</t>
  </si>
  <si>
    <t xml:space="preserve">http://uctscholar.uct.ac.za/R?func=dbin-jump-full&amp;object_id=57802 </t>
  </si>
  <si>
    <t>Mamahloko Senatla</t>
  </si>
  <si>
    <t>MSc Thesis</t>
  </si>
  <si>
    <t>The workbook used here was used for modeling which produce this report: Energy Scenarios for Cape Town, Exploring the Implications of Different Energy Futures for the City up to 2050</t>
  </si>
  <si>
    <t xml:space="preserve">http://www.capetown.gov.za/en/EnvironmentalResourceManagement/publications/Documents/Energy_Scenarios_for_CT_to_2050_2011-08.pdf </t>
  </si>
  <si>
    <t>University of Cape Town (ERC) and Sustainable Energy Africa (SEA)</t>
  </si>
  <si>
    <t>The modeling was done by ERC and SEA to produce the study that is mentioned as a reference here</t>
  </si>
  <si>
    <t>References</t>
  </si>
  <si>
    <t xml:space="preserve">Appliance Standby Power and Energy Consumption in South African Households </t>
  </si>
  <si>
    <t>MV Shuma-Iwisi and GJ Gibbon</t>
  </si>
  <si>
    <t xml:space="preserve">http://active.cput.ac.za/energy/past_papers/DUE/2009/PDF/Paper%20-%20Shuma-Iwisi%20M.pdf </t>
  </si>
  <si>
    <t>This paer was presented in DUE 2009</t>
  </si>
  <si>
    <t>NERSA 2006.</t>
  </si>
  <si>
    <t xml:space="preserve">http://www.nersa.org.za/Admin/Document/Editor/file/News%20and%20Publications/Publications/Current%20Issues/Electricity%20Supply%20Statistics/Electricity%20supply%20statistics%202006.pdf </t>
  </si>
  <si>
    <t>Electricity Supply Statistics for South Africa</t>
  </si>
  <si>
    <t xml:space="preserve">. Last accessed on 11 April 2011 at </t>
  </si>
  <si>
    <t>State of Energy Report -Final</t>
  </si>
  <si>
    <t>City of Tswane Metropolitan Municipality, 2006</t>
  </si>
  <si>
    <t xml:space="preserve">http://www.cityenergy.org.za/files/resources/soe/CTMMSOE.pdf </t>
  </si>
  <si>
    <t>Alleviation of Poverty through the Provision of Local Energy Services (APPLES): for Work Package 4: Identification and demonstration of selected energy best practices for low-income urban communities in South Africa</t>
  </si>
  <si>
    <t>Equivalent kg</t>
  </si>
  <si>
    <t>Hours in operation</t>
  </si>
  <si>
    <t>Number of households</t>
  </si>
  <si>
    <t>Energy Intensity (GJ/hhld/annum)</t>
  </si>
  <si>
    <t>Energy consumption: A comparison between the microwave oven and the conventional electric range.Journal of Microwave Power, 9(4), 1974. published by IMPI Ltd, Edmonton, Canada</t>
  </si>
  <si>
    <t xml:space="preserve"> D.R. McConnell (1974)</t>
  </si>
  <si>
    <t xml:space="preserve">Buffler, C.R.1992, </t>
  </si>
  <si>
    <t>Microwave Cooking And Processing: Engineering Fundamnetals For the Food Scientist. 1992, New York:Van Nostrand Reinhold</t>
  </si>
  <si>
    <t>Microwave Oven Evaluation Standard Subcommittee Energy Efficiency Standards Subcommittee of the Advisory Committee for Naturla Resources and Energy, in Japan's "Top Runner" Standard.</t>
  </si>
  <si>
    <t>Tetsuji, O.2005</t>
  </si>
  <si>
    <t xml:space="preserve">Changes in cooking energy could have a major impact on SA's Carbon emissions. Energy Institute, Cape Peninsula University of Technology, Cape Town in Domestic Use of Energy conference 2010. </t>
  </si>
  <si>
    <t>Determining the impacts of selected energy policies on Gauteng's residential energy consumption and the associated emissions using LEAP as a tool for analysis:Implications for sustainable livelihoods for the poor.</t>
  </si>
  <si>
    <t>Mamahloko Senatla, 2010</t>
  </si>
  <si>
    <t xml:space="preserve"> MSc Thesis, Energy Research Centre, University of Cape Town</t>
  </si>
  <si>
    <t>Lloyd, P.J., 2010.</t>
  </si>
  <si>
    <t>A study of domestic paraffin stove design factors in South Africa. Mphil Thesis. Department of Industrial Design: Faculty of art, design and architecture, University of Johannesburg</t>
  </si>
  <si>
    <t>Chris Bradnum, 2007</t>
  </si>
  <si>
    <t>RESELC</t>
  </si>
  <si>
    <t>RESOLP</t>
  </si>
  <si>
    <t>RESOKE</t>
  </si>
  <si>
    <t>RESBIW</t>
  </si>
  <si>
    <t>RESCOA</t>
  </si>
  <si>
    <t xml:space="preserve">Average number of rooms </t>
  </si>
  <si>
    <t>http://www.exchangerates.org.uk/US-Dollar-USD-currency-table.html</t>
  </si>
  <si>
    <t xml:space="preserve">http://www.ebay.com/bhp/natural-gas-stove </t>
  </si>
  <si>
    <t>Natural Gas Stoves Costs</t>
  </si>
  <si>
    <t>Ebay 2013</t>
  </si>
  <si>
    <t>RHEH</t>
  </si>
  <si>
    <t>http://www.futurelight.co.za/collections/led-bulbs</t>
  </si>
  <si>
    <t>LED Costs</t>
  </si>
  <si>
    <t>RLEL</t>
  </si>
  <si>
    <t>RLEK</t>
  </si>
  <si>
    <t>RLEH</t>
  </si>
  <si>
    <t>RLEW</t>
  </si>
  <si>
    <t>RLER</t>
  </si>
  <si>
    <t>RLEO</t>
  </si>
  <si>
    <t>RMEL</t>
  </si>
  <si>
    <t>RMEK</t>
  </si>
  <si>
    <t>RMEH</t>
  </si>
  <si>
    <t>RMEW</t>
  </si>
  <si>
    <t>RMER</t>
  </si>
  <si>
    <t>RMEO</t>
  </si>
  <si>
    <t>RHEL</t>
  </si>
  <si>
    <t>RHEK</t>
  </si>
  <si>
    <t>RHEW</t>
  </si>
  <si>
    <t>RHER</t>
  </si>
  <si>
    <t>RHEO</t>
  </si>
  <si>
    <t>RLNL</t>
  </si>
  <si>
    <t>RLNK</t>
  </si>
  <si>
    <t>Fuel Codes</t>
  </si>
  <si>
    <t>Household Classification</t>
  </si>
  <si>
    <t>This study cannot be referenced as it is still work in progress</t>
  </si>
  <si>
    <t>Alison Hughes</t>
  </si>
  <si>
    <t>Wood use in Mpumalanga rural areas</t>
  </si>
  <si>
    <t>Community Survey 2007</t>
  </si>
  <si>
    <t>Mascha's report</t>
  </si>
  <si>
    <t>Mkululi' Northern Region Report</t>
  </si>
  <si>
    <t>Number of lights per room</t>
  </si>
  <si>
    <t>Total Lights</t>
  </si>
  <si>
    <t>RMNL</t>
  </si>
  <si>
    <t>RLNW</t>
  </si>
  <si>
    <t>RMNW</t>
  </si>
  <si>
    <t>RMNK</t>
  </si>
  <si>
    <t>RLNH</t>
  </si>
  <si>
    <t>RMNH</t>
  </si>
  <si>
    <t>RLNO</t>
  </si>
  <si>
    <t>RMNO</t>
  </si>
  <si>
    <t>Unspecified</t>
  </si>
  <si>
    <t>Candles (not a valid option)</t>
  </si>
  <si>
    <t>Percentage of column total</t>
  </si>
  <si>
    <t>(R0 - R19 600)</t>
  </si>
  <si>
    <t xml:space="preserve">(R19 601 - R76 400) </t>
  </si>
  <si>
    <t>(&gt;R76 400)</t>
  </si>
  <si>
    <t xml:space="preserve">http://www.syngen.co.za/index.php/guidelines/power-rating-appliances </t>
  </si>
  <si>
    <t>Margin on stock</t>
  </si>
  <si>
    <t>RLEN</t>
  </si>
  <si>
    <t>RMEN</t>
  </si>
  <si>
    <t>RHEN</t>
  </si>
  <si>
    <t>RMNN</t>
  </si>
  <si>
    <t>RLNN</t>
  </si>
  <si>
    <t>the price comes from http://woodstove.co.za/products-page/</t>
  </si>
  <si>
    <t>Wood tove</t>
  </si>
  <si>
    <t>http://www.holleysplumbing.co.za/index.php?option=com_content&amp;view=article&amp;id=112&amp;Itemid=100#pr</t>
  </si>
  <si>
    <t>Geyser prices</t>
  </si>
  <si>
    <t>http://www.daftlogic.com/information-appliance-power-consumption.htm</t>
  </si>
  <si>
    <t>power ratings of some appliances</t>
  </si>
  <si>
    <t>http://energy.gov/energysaver/articles/estimating-appliance-and-home-electronic-energy-use</t>
  </si>
  <si>
    <t>http://www.eskom.co.za/sites/idm/Documents/119150ESKD_Eng.pdf</t>
  </si>
  <si>
    <t>CFL ratings</t>
  </si>
  <si>
    <t>http://www.yougen.co.uk/blog-entry/1643/6+things+to+consider+before+buying+a+wood+burning+stove/</t>
  </si>
  <si>
    <t>Woodstove power rating</t>
  </si>
  <si>
    <t>http://www.kelvinator.com.au/Product?model=KGC26BNB&amp;categoryGuid=3B49A7C3-F17C-438C-89C0-8E1E488CD8C8</t>
  </si>
  <si>
    <t>Flow rate for Natural gas geysers</t>
  </si>
  <si>
    <t>14/02/2014</t>
  </si>
  <si>
    <t>Mamahloo</t>
  </si>
  <si>
    <t>Made major changes in the sheet, deleted the Neat Sheet, and all data that was in that sheet can be found in New sheet called Energy_Balance</t>
  </si>
  <si>
    <t>Outside bulb</t>
  </si>
  <si>
    <t>Outside hours in operation for</t>
  </si>
  <si>
    <t>Heating</t>
  </si>
  <si>
    <t>Residential - Lighting - Low Income Electrified - Electricity - INC - E</t>
  </si>
  <si>
    <t>Residential - Lighting - Low Income Electrified - Electricity - CFL - E</t>
  </si>
  <si>
    <t>Residential - Lighting - Low Income Electrified - Electricity - LED - N</t>
  </si>
  <si>
    <t>Residential - Lighting - Middle Income Electrified - Electricity - INC - E</t>
  </si>
  <si>
    <t>Residential - Lighting - Middle Income Electrified - Electricity - CFL - E</t>
  </si>
  <si>
    <t>Residential - Lighting - Middle Income Electrified - Electricity - LED - E</t>
  </si>
  <si>
    <t>Residential - Lighting - High Income Electrified - Electricity - INC - E</t>
  </si>
  <si>
    <t>Residential - Lighting - High Income Electrified - Electricity - CFL - E</t>
  </si>
  <si>
    <t>Residential - Lighting - High Income Electrified - Electricity - LED - E</t>
  </si>
  <si>
    <t>RLELELCINC-E</t>
  </si>
  <si>
    <t/>
  </si>
  <si>
    <t>RLEKELCHOT-E</t>
  </si>
  <si>
    <t>RLEKOLPRING-E</t>
  </si>
  <si>
    <t>RLEKBIWBNM-E</t>
  </si>
  <si>
    <t>RLEKCOABNM-E</t>
  </si>
  <si>
    <t>RLEKOKEWICK-E</t>
  </si>
  <si>
    <t>RLEHELCHEATBAR-E</t>
  </si>
  <si>
    <t>RLEHOKEHEAT-E</t>
  </si>
  <si>
    <t>RLEHBIWOPEN-E</t>
  </si>
  <si>
    <t>RLEHCOABNM-E</t>
  </si>
  <si>
    <t>RLEHOLPHET-E</t>
  </si>
  <si>
    <t>RLEWELCKET-E</t>
  </si>
  <si>
    <t>RLEWELCGEY-E</t>
  </si>
  <si>
    <t>RLEWELCSWH-E</t>
  </si>
  <si>
    <t>RLEWOKEKETWI-E</t>
  </si>
  <si>
    <t>RLEWBIWKETBI-E</t>
  </si>
  <si>
    <t>RLEWOLPKETLPG-E</t>
  </si>
  <si>
    <t>RLERELCREF-E</t>
  </si>
  <si>
    <t>RLEOELCOTH-E</t>
  </si>
  <si>
    <t>RLENOKEOTH-E</t>
  </si>
  <si>
    <t>RMELELCINC-E</t>
  </si>
  <si>
    <t>RMEKELCSTOV-E</t>
  </si>
  <si>
    <t>RMEKOLPSTOV-E</t>
  </si>
  <si>
    <t>RMEKBIWSTOV-E</t>
  </si>
  <si>
    <t>RMEKOKEWICK-E</t>
  </si>
  <si>
    <t>RMEKGASSTOV-E</t>
  </si>
  <si>
    <t>RMEHELCHEATFIN-E</t>
  </si>
  <si>
    <t>RMEHOKEHEAT-E</t>
  </si>
  <si>
    <t>RMEHBIWSTOV-E</t>
  </si>
  <si>
    <t>RMEHCOASTOV-E</t>
  </si>
  <si>
    <t>RMEHOLPHEAT-E</t>
  </si>
  <si>
    <t>RMEHGASHEAT-N</t>
  </si>
  <si>
    <t>RMEWELCGEY-E</t>
  </si>
  <si>
    <t>RMEWELCSWH-E</t>
  </si>
  <si>
    <t>RMEWOKEKETPR-E</t>
  </si>
  <si>
    <t>RMEWBIWKETBI-E</t>
  </si>
  <si>
    <t>RMEWOLPKETLPG-E</t>
  </si>
  <si>
    <t>RMEWGASGEY-N</t>
  </si>
  <si>
    <t>RMERELCREF-E</t>
  </si>
  <si>
    <t>RMEOELCOTH-E</t>
  </si>
  <si>
    <t>RMENOKEOTH-E</t>
  </si>
  <si>
    <t>RHELELCINC-E</t>
  </si>
  <si>
    <t>RHEKELCSTOV-E</t>
  </si>
  <si>
    <t>RHEKOLPSTOV-E</t>
  </si>
  <si>
    <t>RHEKBIWSTOV-E</t>
  </si>
  <si>
    <t>RHEKOKEPRIMUS-E</t>
  </si>
  <si>
    <t>RHEKGASSTOV-E</t>
  </si>
  <si>
    <t>RHEHELCHEATFIN-E</t>
  </si>
  <si>
    <t>RHEHOKEHEAT-E</t>
  </si>
  <si>
    <t>RHEHBIWSTOV-E</t>
  </si>
  <si>
    <t>RHEHCOASTOV-E</t>
  </si>
  <si>
    <t>RHEHOLPHEAT-E</t>
  </si>
  <si>
    <t>RHEHGASHEAT-N</t>
  </si>
  <si>
    <t>RHEWELCGEY-E</t>
  </si>
  <si>
    <t>RHEWELCSWH-E</t>
  </si>
  <si>
    <t>RHEWOKESTOV-E</t>
  </si>
  <si>
    <t>RHEWOLPSTOV-E</t>
  </si>
  <si>
    <t>RHEWELCCHP-N</t>
  </si>
  <si>
    <t>RHEWGASHEAT-N</t>
  </si>
  <si>
    <t>RHERELCREF-E</t>
  </si>
  <si>
    <t>RHEOELCOTH-E</t>
  </si>
  <si>
    <t>RLEWCOAKETCOA-E</t>
  </si>
  <si>
    <t>RMEKCOABNM-E</t>
  </si>
  <si>
    <t>RMEWCOASTOV-E</t>
  </si>
  <si>
    <t>Use this  to balance final energy</t>
  </si>
  <si>
    <t>20 Timeslices</t>
  </si>
  <si>
    <t>shortened timeslices</t>
  </si>
  <si>
    <t>Income</t>
  </si>
  <si>
    <t>End use</t>
  </si>
  <si>
    <t>GJ/HH</t>
  </si>
  <si>
    <t>May 13 2015</t>
  </si>
  <si>
    <t>Fixed some penetration limits</t>
  </si>
  <si>
    <t>TimeSlice Version</t>
  </si>
  <si>
    <t>Short timeslices ?</t>
  </si>
  <si>
    <t>Short 8</t>
  </si>
  <si>
    <t>Long 20</t>
  </si>
  <si>
    <t>15/08/2016</t>
  </si>
  <si>
    <t>Tara</t>
  </si>
  <si>
    <t>RES_TCH_Database</t>
  </si>
  <si>
    <t>Updated to new CPI from 'deflator' workbook - fixed error on costs</t>
  </si>
  <si>
    <t>Updating SATIM model costs to link to centralised workbook 'deflator'</t>
  </si>
  <si>
    <t>Averaged into RES</t>
  </si>
  <si>
    <t>Y</t>
  </si>
  <si>
    <t>\I:Residential - Water Heating - high Income Electrified</t>
  </si>
  <si>
    <t>\I:Residential - Refrigeration - high Income Electrified</t>
  </si>
  <si>
    <t>Avg</t>
  </si>
  <si>
    <t>Useful energy</t>
  </si>
  <si>
    <t>finall energy</t>
  </si>
  <si>
    <t>Installed capacity</t>
  </si>
  <si>
    <t>Efficiency base year</t>
  </si>
  <si>
    <t>efficiency</t>
  </si>
  <si>
    <t>TOTAL</t>
  </si>
  <si>
    <t>cost</t>
  </si>
  <si>
    <t>Total cooking</t>
  </si>
  <si>
    <t>Total heating</t>
  </si>
  <si>
    <t>sub total heating (excludes none)</t>
  </si>
  <si>
    <t>Unelectrified</t>
  </si>
  <si>
    <t>Balancing</t>
  </si>
  <si>
    <t>NOTE:  totals exclude "none" category IMPORTANCE: this may mean that cooking intensities are slighly too high, because there are households "missing"</t>
  </si>
  <si>
    <t>Middle income electrified</t>
  </si>
  <si>
    <t>Middle income</t>
  </si>
  <si>
    <t>Check if RDP get SWH's</t>
  </si>
  <si>
    <t>need their own technology</t>
  </si>
  <si>
    <t>Need percentage changes</t>
  </si>
  <si>
    <t>Fridges</t>
  </si>
  <si>
    <t>Need efficiency changes</t>
  </si>
  <si>
    <t>Scenario 1</t>
  </si>
  <si>
    <t>Scenario 2</t>
  </si>
  <si>
    <t>Scenario 3</t>
  </si>
  <si>
    <t>SWH's install 1.25million by 2019</t>
  </si>
  <si>
    <t>Technology shares scenario (sets upper and lower tech share bounds)</t>
  </si>
  <si>
    <t>Energy efficiency scenario</t>
  </si>
  <si>
    <t>lighting</t>
  </si>
  <si>
    <t xml:space="preserve">\I:Residential - Cooking - High Income Electrified </t>
  </si>
  <si>
    <t>\I:Residential - Cooking - Middle  Electrified</t>
  </si>
  <si>
    <t>\I:Residential - Lighting - Middle  Electrified</t>
  </si>
  <si>
    <t>\I:Residential - Space Heating - Middle  Electrified</t>
  </si>
  <si>
    <t>\I:Residential - Water Heating - Middle  Electrified</t>
  </si>
  <si>
    <t>\I:Residential - Refrigeration - Middle  Electrified</t>
  </si>
  <si>
    <t>\I:Residential - Other - Middle  Electrified</t>
  </si>
  <si>
    <t>Refrigeration ownership</t>
  </si>
  <si>
    <t xml:space="preserve">Total (PJ) </t>
  </si>
  <si>
    <t>Cooking Intensity</t>
  </si>
  <si>
    <t>Heating intensity</t>
  </si>
  <si>
    <t>Water heating intensity</t>
  </si>
  <si>
    <t>Other intensity</t>
  </si>
  <si>
    <t>Lighting intensity</t>
  </si>
  <si>
    <t>Low income electrified</t>
  </si>
  <si>
    <t>RMEWELCKET-E</t>
  </si>
  <si>
    <t>middle income</t>
  </si>
  <si>
    <t>M</t>
  </si>
  <si>
    <t>Goalseek the balancing numbers with Res row 10</t>
  </si>
  <si>
    <t>So</t>
  </si>
  <si>
    <t>Household Services</t>
  </si>
  <si>
    <t>Type of dwelling by Piped water and Annual household income</t>
  </si>
  <si>
    <t>Counting: Household weighted</t>
  </si>
  <si>
    <t>Filters:</t>
  </si>
  <si>
    <t>Default Summation</t>
  </si>
  <si>
    <t>Household weighted</t>
  </si>
  <si>
    <t>Piped water</t>
  </si>
  <si>
    <t>Piped (tap) water inside dwelling/institution</t>
  </si>
  <si>
    <t>Piped (tap) water inside yard</t>
  </si>
  <si>
    <t>Piped (tap) water on community stand: distance less than 200m from dwelling/institution</t>
  </si>
  <si>
    <t>Piped (tap) water on community stand: distance between 200m and 500m from dwelling/institution</t>
  </si>
  <si>
    <t>Piped (tap) water on community stand: distance between 500m and 1000m (1km) from dwelling /institution</t>
  </si>
  <si>
    <t>Piped (tap) water on community stand: distance greater than 1000m (1km) from dwelling/institution</t>
  </si>
  <si>
    <t>No access to piped (tap) water</t>
  </si>
  <si>
    <t>Not applicable</t>
  </si>
  <si>
    <t>Annual household income</t>
  </si>
  <si>
    <t>R 1 - R 4800</t>
  </si>
  <si>
    <t>R 4801 - R 9600</t>
  </si>
  <si>
    <t>R 9601 - R 19 600</t>
  </si>
  <si>
    <t>R 19 601 - R 38 200</t>
  </si>
  <si>
    <t>R 38 201 - R 76 400</t>
  </si>
  <si>
    <t>R 76 401 - R 153 800</t>
  </si>
  <si>
    <t>R 153 801 - R 307 600</t>
  </si>
  <si>
    <t>R 307 601 - R 614 400</t>
  </si>
  <si>
    <t>R 614 001 - R 1 228 800</t>
  </si>
  <si>
    <t>R 1 228 801 - R 2 457 600</t>
  </si>
  <si>
    <t>R 2 457 601 or more</t>
  </si>
  <si>
    <t>Type of dwelling</t>
  </si>
  <si>
    <t>House or brick/concrete block structure on a separate stand or yard or on a farm</t>
  </si>
  <si>
    <t>Traditional dwelling/hut/structure made of traditional materials</t>
  </si>
  <si>
    <t>Flat or apartment in a block of flats</t>
  </si>
  <si>
    <t>Cluster house in complex</t>
  </si>
  <si>
    <t>Townhouse (semi-detached house in a complex)</t>
  </si>
  <si>
    <t>Semi-detached house</t>
  </si>
  <si>
    <t>House/flat/room in backyard</t>
  </si>
  <si>
    <t>Informal dwelling (shack; in backyard)</t>
  </si>
  <si>
    <t>Informal dwelling (shack; not in backyard; e.g. in an informal/squatter settlement or on a farm)</t>
  </si>
  <si>
    <t>Room/flatlet on a property or larger dwelling/servants quarters/granny flat</t>
  </si>
  <si>
    <t>Caravan/tent</t>
  </si>
  <si>
    <t>2011 download from STATSSA superweb</t>
  </si>
  <si>
    <t>l</t>
  </si>
  <si>
    <t>m</t>
  </si>
  <si>
    <t>h</t>
  </si>
  <si>
    <t>T</t>
  </si>
  <si>
    <t>p</t>
  </si>
  <si>
    <t>s</t>
  </si>
  <si>
    <t>n</t>
  </si>
  <si>
    <t>S</t>
  </si>
  <si>
    <t>Tot</t>
  </si>
  <si>
    <t>pl</t>
  </si>
  <si>
    <t>pm</t>
  </si>
  <si>
    <t>ph</t>
  </si>
  <si>
    <t>pT</t>
  </si>
  <si>
    <t>sl</t>
  </si>
  <si>
    <t>sm</t>
  </si>
  <si>
    <t>sh</t>
  </si>
  <si>
    <t>sT</t>
  </si>
  <si>
    <t>nl</t>
  </si>
  <si>
    <t>nm</t>
  </si>
  <si>
    <t>nh</t>
  </si>
  <si>
    <t>nT</t>
  </si>
  <si>
    <t>Trad</t>
  </si>
  <si>
    <t>shack</t>
  </si>
  <si>
    <t>Assumed average water consumption for each group</t>
  </si>
  <si>
    <t>Assumed average water consumption for model</t>
  </si>
  <si>
    <t>based on meyer</t>
  </si>
  <si>
    <t>Geyser</t>
  </si>
  <si>
    <t>Percent with access to water on tap</t>
  </si>
  <si>
    <t>low density</t>
  </si>
  <si>
    <t>High density</t>
  </si>
  <si>
    <t>Medium density</t>
  </si>
  <si>
    <t>Average households size</t>
  </si>
  <si>
    <t>Hhld number</t>
  </si>
  <si>
    <t>Type of dwelling by Household size</t>
  </si>
  <si>
    <t>Household size</t>
  </si>
  <si>
    <t>1</t>
  </si>
  <si>
    <t>2</t>
  </si>
  <si>
    <t>3</t>
  </si>
  <si>
    <t>4</t>
  </si>
  <si>
    <t>5</t>
  </si>
  <si>
    <t>6</t>
  </si>
  <si>
    <t>7</t>
  </si>
  <si>
    <t>8</t>
  </si>
  <si>
    <t>9</t>
  </si>
  <si>
    <t>Table of average occupancy</t>
  </si>
  <si>
    <t>Population in each category</t>
  </si>
  <si>
    <t>average household size</t>
  </si>
  <si>
    <t>average occupancy</t>
  </si>
  <si>
    <t>number of people</t>
  </si>
  <si>
    <t>number of houses</t>
  </si>
  <si>
    <t>Worksheet Name</t>
  </si>
  <si>
    <t>Size</t>
  </si>
  <si>
    <t>Index</t>
  </si>
  <si>
    <t>Log of Changes</t>
  </si>
  <si>
    <t>conversion factors</t>
  </si>
  <si>
    <t>Other sources</t>
  </si>
  <si>
    <t>Fuel Supply</t>
  </si>
  <si>
    <t>NERSA Sales Sum</t>
  </si>
  <si>
    <t>bottom-up-enduse</t>
  </si>
  <si>
    <t>AMPS Geysers</t>
  </si>
  <si>
    <t>access to services</t>
  </si>
  <si>
    <t>Census 2011</t>
  </si>
  <si>
    <t>Energy_Balance</t>
  </si>
  <si>
    <t>Model energy input</t>
  </si>
  <si>
    <t>Graphs</t>
  </si>
  <si>
    <t>ITEMS_Tech</t>
  </si>
  <si>
    <t>TS DTech</t>
  </si>
  <si>
    <t>TID DTech</t>
  </si>
  <si>
    <t>ITEMS_Comm</t>
  </si>
  <si>
    <t>TS BYDem</t>
  </si>
  <si>
    <t>TS COMFR</t>
  </si>
  <si>
    <t>TS COMFR_10</t>
  </si>
  <si>
    <t>NameConv</t>
  </si>
  <si>
    <t>TS FTech</t>
  </si>
  <si>
    <t>TID FTech</t>
  </si>
  <si>
    <t>TS Emiss</t>
  </si>
  <si>
    <t>TID Emiss</t>
  </si>
  <si>
    <t>Sheet1</t>
  </si>
  <si>
    <t>Scenarios</t>
  </si>
  <si>
    <t>RLEWG</t>
  </si>
  <si>
    <t>RMEWG</t>
  </si>
  <si>
    <t>NA</t>
  </si>
  <si>
    <t>WG</t>
  </si>
  <si>
    <t>RHEWG</t>
  </si>
  <si>
    <t>Potential for SWH</t>
  </si>
  <si>
    <t>SUM</t>
  </si>
  <si>
    <t>Estimates for penetration levels of SWH</t>
  </si>
  <si>
    <t>Estimates for PV only for households with income greater than 76 400</t>
  </si>
  <si>
    <t>&gt;76400</t>
  </si>
  <si>
    <t>FROM 2017 community survey</t>
  </si>
  <si>
    <t xml:space="preserve">Estimates for SWH in households </t>
  </si>
  <si>
    <t>1) assume only those with water access in yard and house are eligible</t>
  </si>
  <si>
    <t>3) what threshold for uptake should I assume? All new households and ?? Of existing</t>
  </si>
  <si>
    <t>2) assume high income households will invest in high pressure</t>
  </si>
  <si>
    <t xml:space="preserve">4) assume middle income households in </t>
  </si>
  <si>
    <t>Grouping for SWH</t>
  </si>
  <si>
    <t>H, flat only</t>
  </si>
  <si>
    <t>low density houses</t>
  </si>
  <si>
    <t>Medium density houses</t>
  </si>
  <si>
    <t>High density flat only</t>
  </si>
  <si>
    <t>Assume % of households with roofs that can accommodate it</t>
  </si>
  <si>
    <t># of eligible rooftops</t>
  </si>
  <si>
    <t>% of total</t>
  </si>
  <si>
    <t>Efficiency 2020</t>
  </si>
  <si>
    <t>Efficiency 2030</t>
  </si>
  <si>
    <t>Efficiency 2040</t>
  </si>
  <si>
    <t>Efficiency 2050</t>
  </si>
  <si>
    <t>PV</t>
  </si>
  <si>
    <t>Installation rate</t>
  </si>
  <si>
    <t>high</t>
  </si>
  <si>
    <t>medium</t>
  </si>
  <si>
    <t>logit model for penetration</t>
  </si>
  <si>
    <t>According to Donev 2013, the South Africa SWH industry currently installs around 200 thsqm per year</t>
  </si>
  <si>
    <t>Market saturation</t>
  </si>
  <si>
    <t>C$55*D$55*EXP(E$55*F56)/(C$55+D$55*(EXP(E$55*F56)-1))</t>
  </si>
  <si>
    <t>S(t)=Sa*So*e^rt/(Sa+So(e^rt-1)</t>
  </si>
  <si>
    <t xml:space="preserve">Sa </t>
  </si>
  <si>
    <t>Market penetration achieved</t>
  </si>
  <si>
    <t>these numbers must be adjusted for population growth, ie need to connect to demand_PRJ</t>
  </si>
  <si>
    <t># of households in group in 2050</t>
  </si>
  <si>
    <t>Assuming 10% of houses will never be suitable (trees etc)</t>
  </si>
  <si>
    <t>population growth (update to take from DEMAND_PRJ rather than cut and paste</t>
  </si>
  <si>
    <t>Population share</t>
  </si>
  <si>
    <t>hhd-le</t>
  </si>
  <si>
    <t>hhd-me</t>
  </si>
  <si>
    <t>hhd-he</t>
  </si>
  <si>
    <t>NOTE: assumes percentage of households in the group that can take SWH remains the same</t>
  </si>
  <si>
    <t>Indexed to 2012</t>
  </si>
  <si>
    <t>% UE Upper bounds for model</t>
  </si>
  <si>
    <t>high pressure</t>
  </si>
  <si>
    <t>low pressure</t>
  </si>
  <si>
    <t>growth</t>
  </si>
  <si>
    <t xml:space="preserve">Number of households per year at high </t>
  </si>
  <si>
    <t>Low income total households</t>
  </si>
  <si>
    <t>High income total households</t>
  </si>
  <si>
    <t>SWH Middle Income</t>
  </si>
  <si>
    <t>SWH and HP High Income</t>
  </si>
  <si>
    <t>% high pressure</t>
  </si>
  <si>
    <t>Middle income total</t>
  </si>
  <si>
    <t>Middle income high pressure</t>
  </si>
  <si>
    <t>Middle income low pressure</t>
  </si>
  <si>
    <t xml:space="preserve"> should this be only middle income electrified</t>
  </si>
  <si>
    <t>CPI 2011</t>
  </si>
  <si>
    <t>CPI 2016</t>
  </si>
  <si>
    <t>Easy</t>
  </si>
  <si>
    <t>Hard</t>
  </si>
  <si>
    <t>Scenario 3 requires 1.25 million SWH by 2019</t>
  </si>
  <si>
    <t>Only allowing LP for now</t>
  </si>
  <si>
    <t>Households (total)</t>
  </si>
  <si>
    <t>SWH Low Income</t>
  </si>
  <si>
    <t>Low income low pressure</t>
  </si>
  <si>
    <t>PAM HI</t>
  </si>
  <si>
    <t>PAM LI</t>
  </si>
  <si>
    <t>AMPS 2016: (AMPS 2015B Individual (Jan'15 - Dec'15) - Reweighted)
 using 
 as base value</t>
  </si>
  <si>
    <t>TOTALS</t>
  </si>
  <si>
    <t>Individuals</t>
  </si>
  <si>
    <t>Household Goods / Appliances and Electronics / Large Appliances in household</t>
  </si>
  <si>
    <t>Free standing deep freezer</t>
  </si>
  <si>
    <t>Refrigerator or combined fridge/freezer</t>
  </si>
  <si>
    <t>Applied Filters:</t>
  </si>
  <si>
    <t>Demographics / Household</t>
  </si>
  <si>
    <t>Household Income Groups</t>
  </si>
  <si>
    <t>UP to R 799</t>
  </si>
  <si>
    <t>R 800 to R 1 399</t>
  </si>
  <si>
    <t>R 1 400 to  R 2 499</t>
  </si>
  <si>
    <t>R 2 500 to  R 4 999</t>
  </si>
  <si>
    <t>R 5 000 to  R 7 999</t>
  </si>
  <si>
    <t>R 8 000 to  R 10 999</t>
  </si>
  <si>
    <t>R 11 000 to  R 19 999</t>
  </si>
  <si>
    <t>R 20 000+</t>
  </si>
  <si>
    <t>Same as above but for 2011</t>
  </si>
  <si>
    <t>AMPS 2011B Household (Jan - Dec '11)
 using 
 as base value</t>
  </si>
  <si>
    <t>Households</t>
  </si>
  <si>
    <t>CONVERT 2015 rands to 2106 Rands</t>
  </si>
  <si>
    <t>Number of households with a fridge STATSSA 2011 Census</t>
  </si>
  <si>
    <t>Statssa Community survery (person not household) 2016</t>
  </si>
  <si>
    <t>number of households with a fridge</t>
  </si>
  <si>
    <t>Living Conditions Survey 2014/2015</t>
  </si>
  <si>
    <t>Ownership or access to refrigerator and Ownership or access to deep freezer-free standing</t>
  </si>
  <si>
    <t>Counting: Person weight</t>
  </si>
  <si>
    <t>Person weight</t>
  </si>
  <si>
    <t>Summation Options</t>
  </si>
  <si>
    <t>Ownership or access to refrigerator</t>
  </si>
  <si>
    <t>Ownership or access to deep freezer-free standing</t>
  </si>
  <si>
    <t>Owner</t>
  </si>
  <si>
    <t>Does not own; but have access</t>
  </si>
  <si>
    <t>Neither owns nor have access</t>
  </si>
  <si>
    <t xml:space="preserve">Combination of fridge and freezer ownership </t>
  </si>
  <si>
    <t>Number of households that own fridge or freezer Census 2100 and Community Survey 2016</t>
  </si>
  <si>
    <t>AMPS fridge and freezer ownership by income level</t>
  </si>
  <si>
    <t>Uses medium SWH and CHP penetration</t>
  </si>
  <si>
    <t>S-RHWEG-ALL</t>
  </si>
  <si>
    <t>RHIEW-UP</t>
  </si>
  <si>
    <t>RHIEW-LO</t>
  </si>
  <si>
    <t>Bound or constraint</t>
  </si>
  <si>
    <t>Bounds calculations</t>
  </si>
  <si>
    <t>% of households = % of UE</t>
  </si>
  <si>
    <t>PAM percentages</t>
  </si>
  <si>
    <t>high income yearly increase</t>
  </si>
  <si>
    <t>middle income yearly increase</t>
  </si>
  <si>
    <t>leave this out, because is not in the 2025 target</t>
  </si>
  <si>
    <t>PAM MI high pressure</t>
  </si>
  <si>
    <t>PAM MI low pressure</t>
  </si>
  <si>
    <t>Middile income</t>
  </si>
  <si>
    <t>PAM MI total</t>
  </si>
  <si>
    <t>REFERENCE CASE</t>
  </si>
  <si>
    <t>Percentage electrified (same comment about pasting as above</t>
  </si>
  <si>
    <t>% electrified</t>
  </si>
  <si>
    <t>Middlel income</t>
  </si>
  <si>
    <t xml:space="preserve">Electrified hhlds </t>
  </si>
  <si>
    <t>Population Total</t>
  </si>
  <si>
    <t>Only put on elec households but in theory could be on both</t>
  </si>
  <si>
    <t>NOTE: % of elec households only, might need to be changed later</t>
  </si>
  <si>
    <t>BASE</t>
  </si>
  <si>
    <t>Going in to model</t>
  </si>
  <si>
    <t>Reference CASE</t>
  </si>
  <si>
    <t>SWH PAM</t>
  </si>
  <si>
    <t>Low pressure</t>
  </si>
  <si>
    <t>Not used</t>
  </si>
  <si>
    <t>BOUNDS USED</t>
  </si>
  <si>
    <t>Bounds on middle income</t>
  </si>
  <si>
    <t>high income high pressure</t>
  </si>
  <si>
    <t>NNB CHP + LOW PRESSURE&lt; NAME NEEDS TO BE CHANGED</t>
  </si>
  <si>
    <t>Number of middle income households with geyser</t>
  </si>
  <si>
    <t xml:space="preserve">Mid income total households </t>
  </si>
  <si>
    <t>Increases geyser ownership if we feel it is too low</t>
  </si>
  <si>
    <t>% of middle income electrified households with geysers</t>
  </si>
  <si>
    <t>High pressusre</t>
  </si>
  <si>
    <t>Assume low income households have older and poorly maintained fridges</t>
  </si>
  <si>
    <t xml:space="preserve">Uptake of efficiency according to fridge life </t>
  </si>
  <si>
    <t xml:space="preserve">Assuming fridge life of </t>
  </si>
  <si>
    <t>100 years</t>
  </si>
  <si>
    <t>fridge replacement efficiency model</t>
  </si>
  <si>
    <t>Existing equipment replacement rates</t>
  </si>
  <si>
    <t>fridge and freezer efficiency in each income group</t>
  </si>
  <si>
    <t>Baseline assumptions (NEES) - these are what the targets are based on (Annex D)</t>
  </si>
  <si>
    <t>Population projected to grow to 55.3 million by 2030.</t>
  </si>
  <si>
    <t>Average household size projected to be 2.79 in 2030</t>
  </si>
  <si>
    <t>Therefore 19.8 millions households by 2030.</t>
  </si>
  <si>
    <t>Extrapolated LSM bands (energy intensity remains the same):</t>
  </si>
  <si>
    <t>5% of househods in LSM 1-3 (down from 12% today)</t>
  </si>
  <si>
    <t>18% of households in LSMs 4 &amp; 5 (down from 28% today)</t>
  </si>
  <si>
    <t>42% of households in LSMs 6 &amp; 7 (up from 36% today)</t>
  </si>
  <si>
    <t>35% of households in LSMs 8-10 (up from 24% today)</t>
  </si>
  <si>
    <t>Based on these assumptions, final energy consumption with no improvements in efficiency:</t>
  </si>
  <si>
    <t>Final energy (PJ)</t>
  </si>
  <si>
    <t>Energy efficiency scenarios</t>
  </si>
  <si>
    <t>33% reduction in average specific energy consumption of new households appliances purchased in SA by 2030 relative to 2015.</t>
  </si>
  <si>
    <t>appliances = fridges, electric geysers and other</t>
  </si>
  <si>
    <t>Notes:</t>
  </si>
  <si>
    <t xml:space="preserve">Specific energy consumption is an energy indicator commonly used to evaluate the energy eficiency of industrial facilities or economic sectors. For residential buildings this is measured in kWh/(m2a). </t>
  </si>
  <si>
    <t>Seen as a reduction in final energy consumption from 2015 (Post-2015 NEES)</t>
  </si>
  <si>
    <t>Three components of this package: successive tightening of appliance MEPS (two instances); introduction of an energy endorsement label;scrappage scheme for appliances.</t>
  </si>
  <si>
    <t>Table 1: Post-2015 NEES Annex D, pg 6</t>
  </si>
  <si>
    <t>Overall saving calculated at:</t>
  </si>
  <si>
    <t>*On avarage there's x amount of efficiency gain.</t>
  </si>
  <si>
    <t xml:space="preserve">20% improvement in average energy performance of residential building stock by 2030 relative to a 2015 baseline, </t>
  </si>
  <si>
    <t>as measured by the energy consumption (excluding plug loads) per square meter of habitable space.</t>
  </si>
  <si>
    <t>building energy = space heating and lighting</t>
  </si>
  <si>
    <t>Three components of the package of policy measures: successive tightening of building standards; energy performance certificates of residential buildings; financial incentives to undertake thermal improvements of existing dwellings.</t>
  </si>
  <si>
    <t>Simplified assumption of building standards resulting in 6 PJ per new home. Asuume that half of this (3 PJ) is realised by 2030 for the estimated 6,25 million homes. Therefore 19 PJ or 4,6% savings.</t>
  </si>
  <si>
    <t xml:space="preserve">With regard to retrofits in existing buildings, estimates in the literature suggest heating and cooling could be reduced by 30%. Assuming these savings are realised by 50% of homes by 2030, </t>
  </si>
  <si>
    <t>and assuming that heating and cooling acount for 20% of total energy consumption of the household, savings could be 3% of total sectoral consumption by 2030.</t>
  </si>
  <si>
    <t>Assume a further 10% saving from behavioural responses (awareness-raising and provision of information, engaging munics in developing and disseminating materials, energy savings obligation on distributors).</t>
  </si>
  <si>
    <t xml:space="preserve">Lighting: Eskom have rolled out 64 million CFLs (± 4 per dwelling). LEDs will take over by 2030, but uncertain as to how much they will in absence of a policy measure. LED savings of up to 50% per lamp. </t>
  </si>
  <si>
    <t>CFLs already rolled out are estimated to save 14 PJ per annum. Estimated that an additional 12 PJs will be saved annually in 2030 with the completion of the shift to CFLs. Further savings resulting from a 60% penetration of LEDs would amount to 4 PJ by 2030. Total saving of 16 PJ, 4% of projected 2030 baseline.</t>
  </si>
  <si>
    <t>Energy performance in residential buildings is based on two factors:</t>
  </si>
  <si>
    <t>1. 38% improvement in average energy performance of new dwellings built between now and 2030. Based on an average year-on-year tightening of 8%, but implemented in three step-changes (in 2018, 2023, 2028).</t>
  </si>
  <si>
    <t>2. a 12% improvement in the thermal performance of dwellings built before 2015, achieved through thermal retrofits. Based on the assumption that average sevings of 30%/dwelling are possible and that 40% of dwellings are retrofitted.</t>
  </si>
  <si>
    <t xml:space="preserve">New dwellings built after 2015 are expected to account for 32% of all homes by 2030 - expected rate of increase in number of hshlds and rate of turnover of 1% of existing buildings = 6,25 million new builds. </t>
  </si>
  <si>
    <t>A weighted mean of the two percentage improvements therefore leads to an average improvement of 20% across the building stock.</t>
  </si>
  <si>
    <t xml:space="preserve">Combination of scenario 1 and 2: </t>
  </si>
  <si>
    <t>Overall impact of the measures proposed for the residential sector (assumed to exclude SWHs), plus the effects of measures already in place and of autonomous change, will amount to a 33% sector-wide reduction in final energy consumption from EE improvements by 2030 relative to a 2015 baseline.</t>
  </si>
  <si>
    <t>1. Improved appliance efficiency (3,8% from standards and labels already in place)</t>
  </si>
  <si>
    <t>2. Improved efficiency of new buildings</t>
  </si>
  <si>
    <t>3. Energy efficiency retrofits to existing buildings</t>
  </si>
  <si>
    <t>4. Behavioural change</t>
  </si>
  <si>
    <t>5. Improved lighting technology (all of which is assumed to be autonomous)</t>
  </si>
  <si>
    <t>Overall saving equates to:</t>
  </si>
  <si>
    <t>Must change the electic geysers for high income households.</t>
  </si>
  <si>
    <t xml:space="preserve">** Note in the final report that we don’t have cooling seperated out and there is no literature. If we can get literature then we can add it in. </t>
  </si>
  <si>
    <t>** Note in the final report that we assume, as did the NEES, that LEDs come in autonomously, therefore the energy saving is already in the reference case</t>
  </si>
  <si>
    <t>**20% decrease in the useful energy requirement of households between 2015 and 2030. Modelled in DMD_PRJ</t>
  </si>
  <si>
    <t>What does this equate?</t>
  </si>
  <si>
    <t xml:space="preserve">Figures released by the DoE show that as of May 2012 a cumulative total of 281,000 SWHs had been installed </t>
  </si>
  <si>
    <t>less than 30% of the 2014 target. Of these, the NSWHP had resulted in 27,950 high</t>
  </si>
  <si>
    <t>pressure units being installed (a pal</t>
  </si>
  <si>
    <t>try 4% of the combined middle and high income segment targets)</t>
  </si>
  <si>
    <t>and 138,095 low pressure units (just over 40% of the low income segment target.</t>
  </si>
  <si>
    <t>this is an extract from the SWH sheet in older TCH_RES</t>
  </si>
  <si>
    <t>?</t>
  </si>
  <si>
    <t>come households. For middle and high income households it is assumed that 85% of lights are on for 4 hours and 15% is on for 2 hrs. It is also assumed that there is one 100W inca lamp operating for 6 hours in middle income households and 2 of such for high income households. Assume 95% of the lights are on 4 hours a day and 5% of lights is on for the remaining 2 hours in low in</t>
  </si>
  <si>
    <t>percentage</t>
  </si>
  <si>
    <t>Rating</t>
  </si>
  <si>
    <t>(D11*365*G11*(M11*H11+K11*I11)+L11*Lighting!$M$27*365)/1000000*3.6</t>
  </si>
  <si>
    <t>(G33*365*G36*(E29*G28+E28*G29)+F28*Lighting!$M$27*365)/1000000*3.6</t>
  </si>
  <si>
    <t xml:space="preserve">goes to energy balance, gets reworked to match 2017  actual numbers </t>
  </si>
  <si>
    <t>Intensity back from energy balance</t>
  </si>
  <si>
    <t>2017 number of households in census</t>
  </si>
  <si>
    <t>Total number of households</t>
  </si>
  <si>
    <t>hhhlds main fuel cooking</t>
  </si>
  <si>
    <t>hhlds main fuel lighting</t>
  </si>
  <si>
    <t>hhlds main fuel space heating</t>
  </si>
  <si>
    <t>hhlds main fuel water heating</t>
  </si>
  <si>
    <t>% electrified low income</t>
  </si>
  <si>
    <t>% electrified middle income</t>
  </si>
  <si>
    <t>Categories</t>
  </si>
  <si>
    <t>NW</t>
  </si>
  <si>
    <t>Electricity from mains</t>
  </si>
  <si>
    <t>Other source of electricity (e.g. generator; etc.)</t>
  </si>
  <si>
    <t>Community survey 2016 extracted using Nesstar from STATSSA.gov.za</t>
  </si>
  <si>
    <t>2017 reworked because Alison does not trust the StatsSA numbers- elec is TOO high for example</t>
  </si>
  <si>
    <t xml:space="preserve">need to minus 17% from total to match as 17% don't use space heating, </t>
  </si>
  <si>
    <t>need to minus 2% from water heating totals</t>
  </si>
  <si>
    <t>Totals</t>
  </si>
  <si>
    <t>SATIM2017</t>
  </si>
  <si>
    <t xml:space="preserve">total number of households </t>
  </si>
  <si>
    <t>% hhlds using service</t>
  </si>
  <si>
    <t>these shares could be made better with time, eg census incicates 85% li, 87% mi and 93% hi for space heating</t>
  </si>
  <si>
    <t>% elec</t>
  </si>
  <si>
    <t>total number of households</t>
  </si>
  <si>
    <t>number of households using fuel</t>
  </si>
  <si>
    <t>share of households using fuel</t>
  </si>
  <si>
    <t xml:space="preserve">Fridge ownership </t>
  </si>
  <si>
    <t>SWH/CHP ownership</t>
  </si>
  <si>
    <t>REFRIGERATION Assumptions</t>
  </si>
  <si>
    <t>Energy Balance totals for calibration</t>
  </si>
  <si>
    <t>RLELOKEWICK-E</t>
  </si>
  <si>
    <t>Residential - Lighting - Low Income Electrified - Oil Paraffin - WICK - E</t>
  </si>
  <si>
    <t>Base Year Technology Share 2017</t>
  </si>
  <si>
    <t>Final Energy 2017</t>
  </si>
  <si>
    <t>UE 2012</t>
  </si>
  <si>
    <t>Energy BALANCE 2012</t>
  </si>
  <si>
    <t>Energy BALANCE 2017</t>
  </si>
  <si>
    <t>adjF</t>
  </si>
  <si>
    <t>Total PJ Adjusted</t>
  </si>
  <si>
    <t>Total after adj</t>
  </si>
  <si>
    <t>CHECK</t>
  </si>
  <si>
    <t>Share of househlds with Geyser</t>
  </si>
  <si>
    <t>Mid</t>
  </si>
  <si>
    <t>share of households with Geysers so it matches the AMPS estimates</t>
  </si>
  <si>
    <t>everything is calibrated to these shares</t>
  </si>
  <si>
    <t>Not in Dmd_prj</t>
  </si>
  <si>
    <t>% increase</t>
  </si>
  <si>
    <t>assumptions from DMD_PRJ slightly different to community survey elec use? Slighlty lower</t>
  </si>
  <si>
    <t>RMELOKEOKE</t>
  </si>
  <si>
    <t>NOTE: everything is calibrated to these shares,
the shares in 2012 DO NOT MATCH the CENSUS!!</t>
  </si>
  <si>
    <t>2011 Model shares</t>
  </si>
  <si>
    <t>2011 Census shares</t>
  </si>
  <si>
    <t>All H</t>
  </si>
  <si>
    <t>All L</t>
  </si>
  <si>
    <t xml:space="preserve">33% appliances, 20% lighting, SWH? </t>
  </si>
  <si>
    <t>20% appliances, 13% lighting, SWH?</t>
  </si>
  <si>
    <t>Efficiency 2015</t>
  </si>
  <si>
    <t>**</t>
  </si>
  <si>
    <t>and 3</t>
  </si>
  <si>
    <t>SWH Hi</t>
  </si>
  <si>
    <t>SWH  low</t>
  </si>
  <si>
    <t>Useful Energy 2017</t>
  </si>
  <si>
    <t>% to each end use</t>
  </si>
  <si>
    <t>SATIM Before update</t>
  </si>
  <si>
    <t>Electricity intensity SANEDI EE</t>
  </si>
  <si>
    <t>CHECK MIDDLE INCOME WATER HEATING WITH KETTLE IS SUMMED IN</t>
  </si>
  <si>
    <t>Taken from SANEDI EE study</t>
  </si>
  <si>
    <t>Assumed technology share reference case</t>
  </si>
  <si>
    <t>Assumed technology share improved efficiency</t>
  </si>
  <si>
    <t>Dump from SANEDI (not 100% match for SATIM household shares, so out slightly)</t>
  </si>
  <si>
    <t>Lighting not inlcuded as that determined by lighting types which are individually represented</t>
  </si>
  <si>
    <t>Low income households</t>
  </si>
  <si>
    <t xml:space="preserve">   Cooking</t>
  </si>
  <si>
    <t xml:space="preserve">   Other appliances</t>
  </si>
  <si>
    <t xml:space="preserve">   Refrigeration</t>
  </si>
  <si>
    <t xml:space="preserve">   Space heating</t>
  </si>
  <si>
    <t>Middle income households</t>
  </si>
  <si>
    <t xml:space="preserve">    Hot water Geyser</t>
  </si>
  <si>
    <t>High income households</t>
  </si>
  <si>
    <t>Comes from "results 0410 kWh) reference Hughes, Larmour, 2021</t>
  </si>
  <si>
    <t>THIS IS A BIT OF A FUDGE, BUT THE RESULTS SHOULD BE THE SAME</t>
  </si>
  <si>
    <t>Water HEATING</t>
  </si>
  <si>
    <t>Total number of household 2017 (including elec and non elec)</t>
  </si>
  <si>
    <t>Total number of households 2011 (Including elec and non elec)</t>
  </si>
  <si>
    <t>2017 ( shares in model)</t>
  </si>
  <si>
    <t>number of hhlds 2017</t>
  </si>
  <si>
    <t>number of hhlds 2011</t>
  </si>
  <si>
    <t>overall percentage electrification 2011</t>
  </si>
  <si>
    <t>overall percentage electrification 2017</t>
  </si>
  <si>
    <t>% used in model 2017</t>
  </si>
  <si>
    <t>Household shares (from CGE) and number of households in model</t>
  </si>
  <si>
    <t>Percentage of households by main cooking fuel and energy service</t>
  </si>
  <si>
    <t>This stuff is linked to dmd_prj, should be deleted or updated</t>
  </si>
  <si>
    <t>Electrification estimates (these are in DMD_PRJ, should be deleted or updated, or at a minimum simplified)</t>
  </si>
  <si>
    <t>Number of households by main cooking fuel and energy service and income group</t>
  </si>
  <si>
    <t>Percentage of households by main cooking fuel and energy service 2011</t>
  </si>
  <si>
    <t>Total PJ 2017 before adjustment</t>
  </si>
  <si>
    <t>Total PJ 2017 after adjustment</t>
  </si>
  <si>
    <t>Energy balance sheet check RESGAS and RESOLP, are they correctly allocated if OLP is paraffin then we need to get gas into the model</t>
  </si>
  <si>
    <t>NOTES:</t>
  </si>
  <si>
    <t>is this natural gas/ REMOVE and put with other gas</t>
  </si>
  <si>
    <t xml:space="preserve">Balance check - </t>
  </si>
  <si>
    <t>this sheet</t>
  </si>
  <si>
    <t>Energy balance sheet</t>
  </si>
  <si>
    <t>Reference in LEAP</t>
  </si>
  <si>
    <t>Reference in SATIM</t>
  </si>
  <si>
    <t>Notes - things to fix</t>
  </si>
  <si>
    <t>gas stove too high efficiency for cooking, actually seems to apply to all gas using end uses</t>
  </si>
  <si>
    <t>make sure elec efficiencies match sanedi - in electrical efficiency sheet - link all years to that sheet for reference case</t>
  </si>
  <si>
    <t>Extensive MEPS</t>
  </si>
  <si>
    <t>Behaviour</t>
  </si>
  <si>
    <t>Extensive MEPS and Behaviour</t>
  </si>
  <si>
    <t>Percentage based change</t>
  </si>
  <si>
    <t>Efficiency 2017</t>
  </si>
  <si>
    <t>electrical effiency</t>
  </si>
  <si>
    <t>This needs to be input</t>
  </si>
  <si>
    <t>Intensity estimate before adjsting for actual fuel volumes</t>
  </si>
  <si>
    <t>2017 No of households</t>
  </si>
  <si>
    <t>what is this for?</t>
  </si>
  <si>
    <t>total</t>
  </si>
  <si>
    <t>Shares for 2017 adjusted to account for electrication responses being too high</t>
  </si>
  <si>
    <t>LI</t>
  </si>
  <si>
    <t>MI</t>
  </si>
  <si>
    <t>HI</t>
  </si>
  <si>
    <t># electrified hhlds</t>
  </si>
  <si>
    <t>share</t>
  </si>
  <si>
    <t>share TCH_RES</t>
  </si>
  <si>
    <t>middle</t>
  </si>
  <si>
    <t>electrified population SATIM 2020</t>
  </si>
  <si>
    <t>as percentage</t>
  </si>
  <si>
    <t>number of hhlds 2020</t>
  </si>
  <si>
    <t>Total GJ 2017 usage SANEDI (elec hhlds only)</t>
  </si>
  <si>
    <t>SANEDI (first calibration attempt, but can't find calculations so don't know how it was done)</t>
  </si>
  <si>
    <t>South Africa energy balance 2017 TOTAL</t>
  </si>
  <si>
    <t>SATIM 2017 EB</t>
  </si>
  <si>
    <t>coal</t>
  </si>
  <si>
    <t>Nat Gas</t>
  </si>
  <si>
    <t>~FI_Process</t>
  </si>
  <si>
    <t>Tact</t>
  </si>
  <si>
    <t>Tcap</t>
  </si>
  <si>
    <t>Tslvl</t>
  </si>
  <si>
    <t>Sets</t>
  </si>
  <si>
    <t>CommName</t>
  </si>
  <si>
    <t>CommDesc</t>
  </si>
  <si>
    <t>Communit</t>
  </si>
  <si>
    <t>Csets</t>
  </si>
  <si>
    <t>CTSLvl</t>
  </si>
  <si>
    <t>PeakTS</t>
  </si>
  <si>
    <t>Ctype</t>
  </si>
  <si>
    <t>DAYNITE</t>
  </si>
  <si>
    <t>DEM</t>
  </si>
  <si>
    <t>~FI_Comm</t>
  </si>
  <si>
    <t xml:space="preserve">PJ </t>
  </si>
  <si>
    <t>SATIM</t>
  </si>
  <si>
    <t>SANEDI results reworded to SATIM income groups - PRE CALIBRATION</t>
  </si>
  <si>
    <t>*Technology Description</t>
  </si>
  <si>
    <t>* Units</t>
  </si>
  <si>
    <t>* Share Check &amp; sub-totals</t>
  </si>
  <si>
    <t xml:space="preserve">*Residential - Refrigeration - High Income </t>
  </si>
  <si>
    <t xml:space="preserve">*Residential - Lighting - Low Income </t>
  </si>
  <si>
    <t>Residential - Lighting - Low Income  - Electricity - INC - E</t>
  </si>
  <si>
    <t xml:space="preserve">*Residential - Cooking - Low Income </t>
  </si>
  <si>
    <t>Residential - Cooking - Low Income  - Electricity - HOT - E</t>
  </si>
  <si>
    <t>Residential - Cooking - Low Income  - Oil LPG - RING - E</t>
  </si>
  <si>
    <t>Residential - Cooking - Low Income  - Biomass Wood - BNM - E</t>
  </si>
  <si>
    <t>Residential - Cooking - Low Income  - Coal - BNM - E</t>
  </si>
  <si>
    <t>Residential - Cooking - Low Income  - Oil Paraffin - WICK - E</t>
  </si>
  <si>
    <t xml:space="preserve">*Residential - Space Heating - Low Income </t>
  </si>
  <si>
    <t>Residential - Space Heating - Low Income  - Electricity - HEATBAR - E</t>
  </si>
  <si>
    <t>Residential - Space Heating - Low Income  - Oil Paraffin - HEAT - E</t>
  </si>
  <si>
    <t>Residential - Space Heating - Low Income  - Biomass Wood - OPEN - E</t>
  </si>
  <si>
    <t>Residential - Space Heating - Low Income  - Coal - BNM - E</t>
  </si>
  <si>
    <t>Residential - Space Heating - Low Income  - Oil LPG - HET - E</t>
  </si>
  <si>
    <t>*Residential - Water Heating - Low Income - with geysers</t>
  </si>
  <si>
    <t>*Residential - Water Heating - Low Income  - Electricity - GEY - E</t>
  </si>
  <si>
    <t>*Residential - Water Heating - Low Income  - Electricity - SWH - E</t>
  </si>
  <si>
    <t>*Residential - Water Heating - Low Income - without geysers</t>
  </si>
  <si>
    <t>Residential - Water Heating - Low Income  - Oil Paraffin - KETWI - E</t>
  </si>
  <si>
    <t>Residential - Water Heating - Low Income  - Electricity - KET - E</t>
  </si>
  <si>
    <t>Residential - Water Heating - Low Income  - Biomass Wood - KETBI - E</t>
  </si>
  <si>
    <t>Residential - Water Heating - Low Income  - Coal - KETCOA - E</t>
  </si>
  <si>
    <t>Residential - Water Heating - Low Income  - Oil LPG - KETLPG - E</t>
  </si>
  <si>
    <t xml:space="preserve">*Residential - Refrigeration - Low Income </t>
  </si>
  <si>
    <t>Residential - Refrigeration - Low Income  - Electricity - REF - E</t>
  </si>
  <si>
    <t xml:space="preserve">*Residential - Other - Low Income </t>
  </si>
  <si>
    <t>Residential - Other - Low Income  - Electricity - OTH - E</t>
  </si>
  <si>
    <t>*Residential - Other - Low Income  - Oil Paraffin - OTH - E</t>
  </si>
  <si>
    <t xml:space="preserve">*Residential - Lighting - Middle Income </t>
  </si>
  <si>
    <t>Residential - Lighting - Middle Income  - Electricity - INC - E</t>
  </si>
  <si>
    <t>*Residential - Lighting - Middle Income  - Oil Paraffin - WICK - E</t>
  </si>
  <si>
    <t xml:space="preserve">*Residential - Cooking - Middle Income </t>
  </si>
  <si>
    <t>Residential - Cooking - Middle Income  - Electricity - STOV - E</t>
  </si>
  <si>
    <t>Residential - Cooking - Middle Income  - Oil LPG - STOV - E</t>
  </si>
  <si>
    <t>Residential - Cooking - Middle Income  - Biomass Wood - STOV - E</t>
  </si>
  <si>
    <t>Residential - Cooking - Middle Income  - Coal - BNM - E</t>
  </si>
  <si>
    <t>Residential - Cooking - Middle Income  - Oil Paraffin - WICK - E</t>
  </si>
  <si>
    <t>Residential - Cooking - Middle Income  - Natural Gas - STOV - E</t>
  </si>
  <si>
    <t xml:space="preserve">*Residential - Space Heating - Middle Income </t>
  </si>
  <si>
    <t>Residential - Space Heating - Middle Income  - Electricity - HEATFIN - E</t>
  </si>
  <si>
    <t>Residential - Space Heating - Middle Income  - Oil Paraffin - HEAT - E</t>
  </si>
  <si>
    <t>Residential - Space Heating - Middle Income  - Biomass Wood - STOV - E</t>
  </si>
  <si>
    <t>Residential - Space Heating - Middle Income  - Coal - STOV - E</t>
  </si>
  <si>
    <t>Residential - Space Heating - Middle Income  - Oil LPG - HEAT - E</t>
  </si>
  <si>
    <t>Residential - Space Heating - Middle Income  - Natural Gas - HEAT - N</t>
  </si>
  <si>
    <t>*Residential - Water Heating - Middle Income  with geysers</t>
  </si>
  <si>
    <t>Residential - Water Heating - Middle Income  - Electricity - GEY - E</t>
  </si>
  <si>
    <t>Residential - Water Heating - Middle Income  - Electricity - SWH - Low pressure</t>
  </si>
  <si>
    <t>*Residential - Water Heating - Middle Income  without geysers</t>
  </si>
  <si>
    <t>Residential - Water Heating - Middle Income  - Electricity - Kettle - E</t>
  </si>
  <si>
    <t>Residential - Water Heating - Middle Income  - Oil Paraffin - KETPR - E</t>
  </si>
  <si>
    <t>Residential - Water Heating - Middle Income  - Biomass Wood - KETBI - E</t>
  </si>
  <si>
    <t>Residential - Water Heating - Middle Income  - Coal - STOV - E</t>
  </si>
  <si>
    <t>Residential - Water Heating - Middle Income  - Oil LPG - KETLPG - E</t>
  </si>
  <si>
    <t>Residential - Water Heating - Middle Income  - Natural Gas - GEY - N</t>
  </si>
  <si>
    <t xml:space="preserve">*Residential - Refrigeration - Middle Income </t>
  </si>
  <si>
    <t>Residential - Refrigeration - Middle Income  - Electricity - REF - E</t>
  </si>
  <si>
    <t xml:space="preserve">*Residential - Other - Middle Income </t>
  </si>
  <si>
    <t>Residential - Other - Middle Income  - Electricity - OTH - E</t>
  </si>
  <si>
    <t>*Residential - Other - Middle Income  - Oil Paraffin - OTH - E</t>
  </si>
  <si>
    <t xml:space="preserve">*Residential - Lighting - High Income </t>
  </si>
  <si>
    <t>Residential - Lighting - High Income  - Electricity - INC - E</t>
  </si>
  <si>
    <t xml:space="preserve">*Residential - Cooking - High Income </t>
  </si>
  <si>
    <t>Residential - Cooking - High Income  - Electricity - STOV - E</t>
  </si>
  <si>
    <t>Residential - Cooking - High Income  - Oil LPG - STOV - E</t>
  </si>
  <si>
    <t>Residential - Cooking - High Income  - Biomass Wood - STOV - E</t>
  </si>
  <si>
    <t>Residential - Cooking - High Income  - Oil Paraffin - PRIMUS - E</t>
  </si>
  <si>
    <t>Residential - Cooking - High Income  - Natural Gas - STOV - E</t>
  </si>
  <si>
    <t xml:space="preserve">*Residential - Space Heating - High Income </t>
  </si>
  <si>
    <t>Residential - Space Heating - High Income  - Electricity - HEATFIN - E</t>
  </si>
  <si>
    <t>Residential - Space Heating - High Income  - Oil Paraffin - HEAT - E</t>
  </si>
  <si>
    <t>Residential - Space Heating - High Income  - Biomass Wood - STOV - E</t>
  </si>
  <si>
    <t>Residential - Space Heating - High Income  - Coal - STOV - E</t>
  </si>
  <si>
    <t>Residential - Space Heating - High Income  - Oil LPG - HEAT - E</t>
  </si>
  <si>
    <t>Residential - Space Heating - High Income  - Natural Gas - HEAT - N</t>
  </si>
  <si>
    <t xml:space="preserve">*Residential - Water Heating - High Income </t>
  </si>
  <si>
    <t>Residential - Water Heating - High Income  - Electricity - GEY - E</t>
  </si>
  <si>
    <t>Residential - Water Heating - High Income  - Electricity - HP - N</t>
  </si>
  <si>
    <t>Residential - Water Heating - High Income  - Electricity - SWH - E</t>
  </si>
  <si>
    <t>* Residential - Water Heating - High Income  - Oil Paraffin - STOV - E</t>
  </si>
  <si>
    <t>*Residential - Water Heating - High Income  - Oil LPG - STOV - E</t>
  </si>
  <si>
    <t>* Residential - Water Heating - High Income  - Natural Gas - HEAT - N</t>
  </si>
  <si>
    <t>*Residential - Refrigeration - High Income  - Electricity - REF - E</t>
  </si>
  <si>
    <t xml:space="preserve">*Residential - Other - High Income </t>
  </si>
  <si>
    <t>Residential - Other - High Income  - Electricity - OTH - E</t>
  </si>
  <si>
    <t>U</t>
  </si>
  <si>
    <t xml:space="preserve">EFF </t>
  </si>
  <si>
    <t>Comm-OUT</t>
  </si>
  <si>
    <t>REGION1</t>
  </si>
  <si>
    <t>RLELOKEOKE</t>
  </si>
  <si>
    <t>Residential - Lighting - Low Income  -Paraffin - PAR - E</t>
  </si>
  <si>
    <t>UNIT</t>
  </si>
  <si>
    <t>Attribute</t>
  </si>
  <si>
    <t>DEMAND</t>
  </si>
  <si>
    <t>nothing</t>
  </si>
  <si>
    <t>INVCOST</t>
  </si>
  <si>
    <t>other fuels</t>
  </si>
  <si>
    <t>Electrification Rates</t>
  </si>
  <si>
    <t>Overall Electrification</t>
  </si>
  <si>
    <t>NCAP_BND~0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</si>
</sst>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_ * #,##0_ ;_ * \-#,##0_ ;_ * &quot;-&quot;??_ ;_ @_ "/>
    <numFmt numFmtId="171" formatCode="#,##0.00\ ;&quot; -&quot;#,##0.00\ ;&quot; -&quot;#\ ;@\ "/>
    <numFmt numFmtId="172" formatCode="[$-809]General"/>
    <numFmt numFmtId="173" formatCode="#,##0.00&quot; &quot;;&quot; -&quot;#,##0.00&quot; &quot;;&quot; -&quot;#&quot; &quot;;@&quot; &quot;"/>
    <numFmt numFmtId="174" formatCode="[$£-809]#,##0.00;[Red]&quot;-&quot;[$£-809]#,##0.00"/>
    <numFmt numFmtId="175" formatCode="&quot;R&quot;\ #,##0.00"/>
    <numFmt numFmtId="176" formatCode="_-* #,##0_-;\-* #,##0_-;_-* &quot;-&quot;??_-;_-@_-"/>
    <numFmt numFmtId="177" formatCode="_-* #,##0.0_-;\-* #,##0.0_-;_-* &quot;-&quot;??_-;_-@_-"/>
    <numFmt numFmtId="178" formatCode="_-* #,##0.00000_-;\-* #,##0.00000_-;_-* &quot;-&quot;??_-;_-@_-"/>
    <numFmt numFmtId="179" formatCode="##,##0"/>
    <numFmt numFmtId="180" formatCode="_(* #,##0.000_);_(* \(#,##0.000\);_(* &quot;-&quot;??_);_(@_)"/>
    <numFmt numFmtId="181" formatCode="_(* #,##0.00000_);_(* \(#,##0.00000\);_(* &quot;-&quot;??_);_(@_)"/>
    <numFmt numFmtId="182" formatCode="0_);\(0\)"/>
    <numFmt numFmtId="183" formatCode="0.00000%"/>
    <numFmt numFmtId="184" formatCode="0.000%"/>
  </numFmts>
  <fonts count="95">
    <font>
      <sz val="10"/>
      <name val="Arial"/>
    </font>
    <font>
      <sz val="11"/>
      <color theme="1"/>
      <name val="Calibri"/>
      <family val="2"/>
      <scheme val="minor"/>
    </font>
    <font>
      <sz val="10"/>
      <name val="Arial"/>
      <family val="2"/>
    </font>
    <font>
      <sz val="11"/>
      <name val="Times New Roman"/>
      <family val="1"/>
    </font>
    <font>
      <sz val="12"/>
      <name val="Times New Roman"/>
      <family val="1"/>
    </font>
    <font>
      <b/>
      <sz val="10"/>
      <name val="Arial"/>
      <family val="2"/>
    </font>
    <font>
      <sz val="12"/>
      <name val="Arial"/>
      <family val="2"/>
    </font>
    <font>
      <b/>
      <sz val="8"/>
      <name val="Arial"/>
      <family val="2"/>
    </font>
    <font>
      <sz val="8"/>
      <name val="Arial"/>
      <family val="2"/>
    </font>
    <font>
      <b/>
      <sz val="10"/>
      <color indexed="81"/>
      <name val="Tahoma"/>
      <family val="2"/>
    </font>
    <font>
      <sz val="10"/>
      <color indexed="81"/>
      <name val="Tahoma"/>
      <family val="2"/>
    </font>
    <font>
      <sz val="10"/>
      <color indexed="10"/>
      <name val="Arial"/>
      <family val="2"/>
    </font>
    <font>
      <b/>
      <sz val="10"/>
      <name val="Arial"/>
      <family val="2"/>
    </font>
    <font>
      <sz val="10"/>
      <name val="Arial"/>
      <family val="2"/>
    </font>
    <font>
      <sz val="10"/>
      <color indexed="14"/>
      <name val="Arial"/>
      <family val="2"/>
    </font>
    <font>
      <sz val="10"/>
      <color indexed="14"/>
      <name val="Arial"/>
      <family val="2"/>
    </font>
    <font>
      <sz val="10"/>
      <name val="Arial Unicode MS"/>
      <family val="2"/>
    </font>
    <font>
      <sz val="10"/>
      <name val="Verdana"/>
      <family val="2"/>
    </font>
    <font>
      <sz val="9"/>
      <color indexed="81"/>
      <name val="Tahoma"/>
      <family val="2"/>
    </font>
    <font>
      <b/>
      <sz val="9"/>
      <color indexed="81"/>
      <name val="Tahoma"/>
      <family val="2"/>
    </font>
    <font>
      <sz val="9"/>
      <color indexed="81"/>
      <name val="Arial"/>
      <family val="2"/>
    </font>
    <font>
      <b/>
      <sz val="9"/>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sz val="10"/>
      <color theme="4"/>
      <name val="Arial"/>
      <family val="2"/>
    </font>
    <font>
      <b/>
      <sz val="11"/>
      <color rgb="FFFA7D00"/>
      <name val="Calibri"/>
      <family val="2"/>
      <scheme val="minor"/>
    </font>
    <font>
      <sz val="10"/>
      <color theme="1"/>
      <name val="Verdana1"/>
    </font>
    <font>
      <sz val="10"/>
      <color theme="1"/>
      <name val="Arial Unicode MS"/>
      <family val="2"/>
    </font>
    <font>
      <sz val="10"/>
      <color theme="6" tint="-0.24994659260841701"/>
      <name val="Arial"/>
      <family val="2"/>
    </font>
    <font>
      <b/>
      <i/>
      <sz val="16"/>
      <color theme="1"/>
      <name val="Arial1"/>
    </font>
    <font>
      <u/>
      <sz val="10"/>
      <color theme="10"/>
      <name val="Arial"/>
      <family val="2"/>
    </font>
    <font>
      <sz val="11"/>
      <color rgb="FF3F3F76"/>
      <name val="Calibri"/>
      <family val="2"/>
      <scheme val="minor"/>
    </font>
    <font>
      <sz val="10"/>
      <color theme="9" tint="-0.24994659260841701"/>
      <name val="Arial"/>
      <family val="2"/>
    </font>
    <font>
      <sz val="11"/>
      <color theme="1"/>
      <name val="Arial1"/>
    </font>
    <font>
      <b/>
      <i/>
      <u/>
      <sz val="11"/>
      <color theme="1"/>
      <name val="Arial1"/>
    </font>
    <font>
      <b/>
      <sz val="11"/>
      <color theme="1"/>
      <name val="Calibri"/>
      <family val="2"/>
      <scheme val="minor"/>
    </font>
    <font>
      <sz val="11"/>
      <color rgb="FFFF0000"/>
      <name val="Calibri"/>
      <family val="2"/>
      <scheme val="minor"/>
    </font>
    <font>
      <b/>
      <sz val="10"/>
      <color rgb="FFFF0000"/>
      <name val="Arial"/>
      <family val="2"/>
    </font>
    <font>
      <sz val="10"/>
      <color rgb="FFFF0000"/>
      <name val="Arial"/>
      <family val="2"/>
    </font>
    <font>
      <sz val="8"/>
      <color theme="1"/>
      <name val="Calibri"/>
      <family val="2"/>
      <scheme val="minor"/>
    </font>
    <font>
      <sz val="10"/>
      <color theme="3" tint="0.39997558519241921"/>
      <name val="Arial"/>
      <family val="2"/>
    </font>
    <font>
      <sz val="11"/>
      <color rgb="FF000000"/>
      <name val="Calibri"/>
      <family val="2"/>
    </font>
    <font>
      <sz val="10"/>
      <color theme="3"/>
      <name val="Arial"/>
      <family val="2"/>
    </font>
    <font>
      <b/>
      <sz val="10"/>
      <color theme="3"/>
      <name val="Arial"/>
      <family val="2"/>
    </font>
    <font>
      <b/>
      <sz val="8"/>
      <color rgb="FF800080"/>
      <name val="Arial"/>
      <family val="2"/>
    </font>
    <font>
      <sz val="10"/>
      <color theme="9" tint="-0.249977111117893"/>
      <name val="Arial"/>
      <family val="2"/>
    </font>
    <font>
      <sz val="10"/>
      <color theme="5" tint="-0.249977111117893"/>
      <name val="Arial"/>
      <family val="2"/>
    </font>
    <font>
      <b/>
      <sz val="11"/>
      <color rgb="FF3F3F76"/>
      <name val="Calibri"/>
      <family val="2"/>
      <scheme val="minor"/>
    </font>
    <font>
      <b/>
      <sz val="9"/>
      <color theme="4" tint="-0.499984740745262"/>
      <name val="Arial"/>
      <family val="2"/>
    </font>
    <font>
      <b/>
      <sz val="9"/>
      <color theme="4" tint="-0.249977111117893"/>
      <name val="Arial"/>
      <family val="2"/>
    </font>
    <font>
      <b/>
      <sz val="12"/>
      <name val="Arial"/>
      <family val="2"/>
    </font>
    <font>
      <b/>
      <sz val="10"/>
      <color theme="0"/>
      <name val="Arial"/>
      <family val="2"/>
    </font>
    <font>
      <sz val="10"/>
      <color theme="1"/>
      <name val="Arial"/>
      <family val="2"/>
    </font>
    <font>
      <sz val="10"/>
      <name val="Tahoma"/>
      <family val="2"/>
    </font>
    <font>
      <sz val="10"/>
      <name val="Tahoma"/>
      <family val="2"/>
    </font>
    <font>
      <b/>
      <sz val="10"/>
      <name val="Tahoma"/>
      <family val="2"/>
    </font>
    <font>
      <sz val="8"/>
      <color theme="4"/>
      <name val="Arial"/>
      <family val="2"/>
    </font>
    <font>
      <b/>
      <sz val="8"/>
      <color theme="4"/>
      <name val="Arial"/>
      <family val="2"/>
    </font>
    <font>
      <b/>
      <sz val="8"/>
      <color rgb="FF3F3F76"/>
      <name val="Calibri"/>
      <family val="2"/>
      <scheme val="minor"/>
    </font>
    <font>
      <b/>
      <sz val="8"/>
      <color rgb="FFFA7D00"/>
      <name val="Calibri"/>
      <family val="2"/>
      <scheme val="minor"/>
    </font>
    <font>
      <sz val="8"/>
      <color rgb="FF3F3F76"/>
      <name val="Calibri"/>
      <family val="2"/>
      <scheme val="minor"/>
    </font>
    <font>
      <sz val="8"/>
      <color rgb="FFFF0000"/>
      <name val="Arial"/>
      <family val="2"/>
    </font>
    <font>
      <sz val="8"/>
      <name val="Times New Roman"/>
      <family val="1"/>
    </font>
    <font>
      <sz val="8"/>
      <name val="Calibri"/>
      <family val="2"/>
      <scheme val="minor"/>
    </font>
    <font>
      <sz val="8"/>
      <color theme="5" tint="-0.249977111117893"/>
      <name val="Arial"/>
      <family val="2"/>
    </font>
    <font>
      <b/>
      <sz val="8"/>
      <color theme="1"/>
      <name val="Calibri"/>
      <family val="2"/>
      <scheme val="minor"/>
    </font>
    <font>
      <u/>
      <sz val="10"/>
      <color theme="11"/>
      <name val="Arial"/>
      <family val="2"/>
    </font>
    <font>
      <sz val="12"/>
      <name val="Calibri"/>
      <family val="2"/>
      <scheme val="minor"/>
    </font>
    <font>
      <sz val="10"/>
      <color rgb="FF1F497D"/>
      <name val="Arial"/>
      <family val="2"/>
    </font>
    <font>
      <b/>
      <u/>
      <sz val="8"/>
      <name val="Arial"/>
      <family val="2"/>
    </font>
    <font>
      <sz val="18"/>
      <name val="Arial"/>
      <family val="2"/>
    </font>
    <font>
      <b/>
      <sz val="10"/>
      <color rgb="FFFFFFFF"/>
      <name val="Calibri"/>
      <family val="2"/>
      <scheme val="minor"/>
    </font>
    <font>
      <b/>
      <u/>
      <sz val="18"/>
      <name val="Arial"/>
      <family val="2"/>
    </font>
    <font>
      <u/>
      <sz val="18"/>
      <name val="Arial"/>
      <family val="2"/>
    </font>
    <font>
      <b/>
      <u/>
      <sz val="16"/>
      <name val="Arial"/>
      <family val="2"/>
    </font>
    <font>
      <b/>
      <u/>
      <sz val="12"/>
      <name val="Arial"/>
      <family val="2"/>
    </font>
    <font>
      <u/>
      <sz val="10"/>
      <name val="Arial"/>
      <family val="2"/>
    </font>
    <font>
      <b/>
      <u/>
      <sz val="10"/>
      <name val="Arial"/>
      <family val="2"/>
    </font>
    <font>
      <b/>
      <sz val="11"/>
      <name val="Calibri"/>
      <family val="2"/>
      <scheme val="minor"/>
    </font>
    <font>
      <sz val="10"/>
      <color rgb="FFFF0000"/>
      <name val="Tahoma"/>
      <family val="2"/>
    </font>
    <font>
      <sz val="10"/>
      <color theme="6" tint="-0.249977111117893"/>
      <name val="Tahoma"/>
      <family val="2"/>
    </font>
    <font>
      <sz val="12"/>
      <name val="Calibri"/>
      <family val="2"/>
    </font>
    <font>
      <b/>
      <sz val="11"/>
      <color rgb="FF000000"/>
      <name val="Calibri"/>
      <family val="2"/>
    </font>
    <font>
      <b/>
      <sz val="10"/>
      <color rgb="FF000000"/>
      <name val="Tahoma"/>
      <family val="2"/>
    </font>
    <font>
      <sz val="10"/>
      <color rgb="FF000000"/>
      <name val="Tahoma"/>
      <family val="2"/>
    </font>
    <font>
      <sz val="18"/>
      <name val="Tahoma"/>
      <family val="2"/>
    </font>
    <font>
      <b/>
      <sz val="8"/>
      <color rgb="FF000000"/>
      <name val="Tahoma"/>
      <family val="2"/>
    </font>
    <font>
      <sz val="8"/>
      <color rgb="FF000000"/>
      <name val="Tahoma"/>
      <family val="2"/>
    </font>
    <font>
      <sz val="18"/>
      <color rgb="FFFF0000"/>
      <name val="Tahoma"/>
      <family val="2"/>
    </font>
    <font>
      <sz val="10"/>
      <color theme="5"/>
      <name val="Arial"/>
      <family val="2"/>
    </font>
    <font>
      <sz val="8"/>
      <color theme="1"/>
      <name val="Arial"/>
      <family val="2"/>
    </font>
    <font>
      <b/>
      <sz val="8"/>
      <color theme="1"/>
      <name val="Arial"/>
      <family val="2"/>
    </font>
    <font>
      <sz val="8"/>
      <color indexed="8"/>
      <name val="Arial"/>
      <family val="2"/>
    </font>
    <font>
      <sz val="8"/>
      <color rgb="FF800080"/>
      <name val="Arial"/>
      <family val="2"/>
    </font>
  </fonts>
  <fills count="52">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theme="7"/>
      </patternFill>
    </fill>
    <fill>
      <patternFill patternType="solid">
        <fgColor rgb="FFFFC7CE"/>
      </patternFill>
    </fill>
    <fill>
      <patternFill patternType="solid">
        <fgColor rgb="FFF2F2F2"/>
      </patternFill>
    </fill>
    <fill>
      <patternFill patternType="solid">
        <fgColor rgb="FFFFCC99"/>
      </patternFill>
    </fill>
    <fill>
      <patternFill patternType="solid">
        <fgColor rgb="FFFFCC99"/>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rgb="FFC0C0C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bgColor theme="4"/>
      </patternFill>
    </fill>
    <fill>
      <patternFill patternType="solid">
        <fgColor theme="6" tint="0.79998168889431442"/>
        <bgColor theme="4" tint="0.59999389629810485"/>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9"/>
        <bgColor indexed="64"/>
      </patternFill>
    </fill>
    <fill>
      <patternFill patternType="solid">
        <fgColor theme="2" tint="-9.9978637043366805E-2"/>
        <bgColor indexed="64"/>
      </patternFill>
    </fill>
    <fill>
      <patternFill patternType="solid">
        <fgColor indexed="43"/>
        <bgColor indexed="64"/>
      </patternFill>
    </fill>
    <fill>
      <patternFill patternType="solid">
        <fgColor indexed="20"/>
        <bgColor indexed="64"/>
      </patternFill>
    </fill>
    <fill>
      <patternFill patternType="solid">
        <fgColor theme="6"/>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C0C0C0"/>
        <bgColor rgb="FF000000"/>
      </patternFill>
    </fill>
    <fill>
      <patternFill patternType="solid">
        <fgColor theme="7"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rgb="FF283645"/>
        <bgColor indexed="64"/>
      </patternFill>
    </fill>
    <fill>
      <patternFill patternType="solid">
        <fgColor rgb="FFDDDDDD"/>
        <bgColor indexed="64"/>
      </patternFill>
    </fill>
    <fill>
      <patternFill patternType="solid">
        <fgColor rgb="FFFCD5B4"/>
        <bgColor rgb="FF000000"/>
      </patternFill>
    </fill>
    <fill>
      <patternFill patternType="solid">
        <fgColor indexed="13"/>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D9E1F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0"/>
        <bgColor indexed="64"/>
      </patternFill>
    </fill>
  </fills>
  <borders count="41">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rgb="FF7F7F7F"/>
      </right>
      <top style="thin">
        <color auto="1"/>
      </top>
      <bottom style="thin">
        <color rgb="FF7F7F7F"/>
      </bottom>
      <diagonal/>
    </border>
    <border>
      <left style="thin">
        <color rgb="FF7F7F7F"/>
      </left>
      <right style="thin">
        <color rgb="FF7F7F7F"/>
      </right>
      <top style="thin">
        <color auto="1"/>
      </top>
      <bottom style="thin">
        <color rgb="FF7F7F7F"/>
      </bottom>
      <diagonal/>
    </border>
    <border>
      <left style="thin">
        <color auto="1"/>
      </left>
      <right style="thin">
        <color rgb="FF7F7F7F"/>
      </right>
      <top style="thin">
        <color rgb="FF7F7F7F"/>
      </top>
      <bottom style="thin">
        <color rgb="FF7F7F7F"/>
      </bottom>
      <diagonal/>
    </border>
    <border>
      <left style="thin">
        <color theme="0"/>
      </left>
      <right/>
      <top/>
      <bottom/>
      <diagonal/>
    </border>
    <border>
      <left style="thin">
        <color theme="0"/>
      </left>
      <right/>
      <top style="thick">
        <color theme="0"/>
      </top>
      <bottom/>
      <diagonal/>
    </border>
    <border>
      <left/>
      <right style="thin">
        <color theme="0"/>
      </right>
      <top/>
      <bottom style="thick">
        <color theme="0"/>
      </bottom>
      <diagonal/>
    </border>
    <border>
      <left/>
      <right style="thin">
        <color theme="0"/>
      </right>
      <top style="thick">
        <color theme="0"/>
      </top>
      <bottom style="thin">
        <color theme="0"/>
      </bottom>
      <diagonal/>
    </border>
    <border>
      <left style="medium">
        <color auto="1"/>
      </left>
      <right style="medium">
        <color auto="1"/>
      </right>
      <top/>
      <bottom style="thin">
        <color auto="1"/>
      </bottom>
      <diagonal/>
    </border>
    <border>
      <left/>
      <right/>
      <top/>
      <bottom style="medium">
        <color rgb="FF8EA9DB"/>
      </bottom>
      <diagonal/>
    </border>
    <border>
      <left/>
      <right/>
      <top/>
      <bottom style="medium">
        <color rgb="FFB4C6E7"/>
      </bottom>
      <diagonal/>
    </border>
  </borders>
  <cellStyleXfs count="1160">
    <xf numFmtId="0" fontId="0" fillId="0" borderId="0"/>
    <xf numFmtId="0" fontId="23"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5" fillId="0" borderId="0" applyNumberFormat="0" applyFill="0" applyBorder="0" applyAlignment="0" applyProtection="0"/>
    <xf numFmtId="0" fontId="26" fillId="6" borderId="30" applyNumberFormat="0" applyAlignment="0" applyProtection="0"/>
    <xf numFmtId="43" fontId="2" fillId="0" borderId="0" applyFont="0" applyFill="0" applyBorder="0" applyAlignment="0" applyProtection="0"/>
    <xf numFmtId="171" fontId="16" fillId="0" borderId="0" applyFill="0" applyBorder="0" applyAlignment="0" applyProtection="0"/>
    <xf numFmtId="165" fontId="2" fillId="0" borderId="0" applyFont="0" applyFill="0" applyBorder="0" applyAlignment="0" applyProtection="0"/>
    <xf numFmtId="172" fontId="27" fillId="0" borderId="0"/>
    <xf numFmtId="0" fontId="17" fillId="0" borderId="0"/>
    <xf numFmtId="173" fontId="28" fillId="0" borderId="0"/>
    <xf numFmtId="4" fontId="29" fillId="0" borderId="0" applyNumberFormat="0" applyFill="0" applyBorder="0" applyAlignment="0" applyProtection="0">
      <alignment horizontal="center"/>
    </xf>
    <xf numFmtId="0" fontId="30" fillId="0" borderId="0">
      <alignment horizontal="center"/>
    </xf>
    <xf numFmtId="0" fontId="30" fillId="0" borderId="0">
      <alignment horizontal="center" textRotation="9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2" fillId="7" borderId="30" applyNumberFormat="0" applyAlignment="0" applyProtection="0"/>
    <xf numFmtId="174" fontId="32" fillId="8" borderId="30" applyNumberFormat="0" applyAlignment="0" applyProtection="0"/>
    <xf numFmtId="0" fontId="33" fillId="0" borderId="0" applyNumberFormat="0" applyFill="0" applyBorder="0" applyAlignment="0" applyProtection="0"/>
    <xf numFmtId="0" fontId="34" fillId="0" borderId="0"/>
    <xf numFmtId="0" fontId="2" fillId="0" borderId="0"/>
    <xf numFmtId="0" fontId="2" fillId="0" borderId="0"/>
    <xf numFmtId="0" fontId="22" fillId="0" borderId="0"/>
    <xf numFmtId="0" fontId="22" fillId="0" borderId="0"/>
    <xf numFmtId="9" fontId="2" fillId="0" borderId="0" applyFont="0" applyFill="0" applyBorder="0" applyAlignment="0" applyProtection="0"/>
    <xf numFmtId="9" fontId="17" fillId="0" borderId="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0" fontId="35" fillId="0" borderId="0"/>
    <xf numFmtId="174" fontId="35" fillId="0" borderId="0"/>
    <xf numFmtId="0" fontId="7" fillId="0" borderId="0">
      <alignment horizontal="left"/>
    </xf>
    <xf numFmtId="0" fontId="54" fillId="0" borderId="0"/>
    <xf numFmtId="0" fontId="8" fillId="0" borderId="0">
      <alignment horizontal="left"/>
    </xf>
    <xf numFmtId="0" fontId="8" fillId="0" borderId="0">
      <alignment horizontal="center" vertical="center" wrapText="1"/>
    </xf>
    <xf numFmtId="0" fontId="8" fillId="0" borderId="0">
      <alignment horizontal="left" vertical="center" wrapText="1"/>
    </xf>
    <xf numFmtId="0" fontId="8" fillId="0" borderId="0">
      <alignment horizontal="right"/>
    </xf>
    <xf numFmtId="9" fontId="55" fillId="0" borderId="0" applyFont="0" applyFill="0" applyBorder="0" applyAlignment="0" applyProtection="0"/>
    <xf numFmtId="165" fontId="55" fillId="0" borderId="0" applyFont="0" applyFill="0" applyBorder="0" applyAlignment="0" applyProtection="0"/>
    <xf numFmtId="9" fontId="54"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 fillId="0" borderId="0">
      <protection locked="0"/>
    </xf>
    <xf numFmtId="0" fontId="2" fillId="29" borderId="0">
      <protection locked="0"/>
    </xf>
    <xf numFmtId="0" fontId="2" fillId="2" borderId="16">
      <alignment vertical="center"/>
      <protection locked="0"/>
    </xf>
    <xf numFmtId="0" fontId="2" fillId="2" borderId="22">
      <alignment horizontal="center" vertical="center"/>
      <protection locked="0"/>
    </xf>
    <xf numFmtId="0" fontId="5" fillId="2" borderId="0">
      <alignment vertical="center"/>
      <protection locked="0"/>
    </xf>
    <xf numFmtId="0" fontId="2" fillId="30" borderId="0">
      <protection locked="0"/>
    </xf>
    <xf numFmtId="0" fontId="5" fillId="0" borderId="0">
      <protection locked="0"/>
    </xf>
    <xf numFmtId="0" fontId="2" fillId="29" borderId="0">
      <protection locked="0"/>
    </xf>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cellStyleXfs>
  <cellXfs count="629">
    <xf numFmtId="0" fontId="0" fillId="0" borderId="0" xfId="0"/>
    <xf numFmtId="0" fontId="2" fillId="0" borderId="0" xfId="0" applyFont="1"/>
    <xf numFmtId="166" fontId="0" fillId="0" borderId="0" xfId="0" applyNumberFormat="1"/>
    <xf numFmtId="2" fontId="0" fillId="0" borderId="0" xfId="0" applyNumberFormat="1"/>
    <xf numFmtId="0" fontId="2" fillId="0" borderId="0" xfId="0" applyFont="1" applyAlignment="1">
      <alignment horizontal="left"/>
    </xf>
    <xf numFmtId="0" fontId="5" fillId="0" borderId="0" xfId="0" applyFont="1"/>
    <xf numFmtId="0" fontId="0" fillId="10" borderId="0" xfId="0" applyFill="1"/>
    <xf numFmtId="167" fontId="0" fillId="0" borderId="0" xfId="0" applyNumberFormat="1"/>
    <xf numFmtId="1" fontId="0" fillId="0" borderId="0" xfId="0" applyNumberFormat="1"/>
    <xf numFmtId="0" fontId="22" fillId="0" borderId="0" xfId="23"/>
    <xf numFmtId="0" fontId="37" fillId="0" borderId="0" xfId="23" applyFont="1"/>
    <xf numFmtId="0" fontId="36" fillId="0" borderId="0" xfId="23" applyFont="1"/>
    <xf numFmtId="9" fontId="0" fillId="0" borderId="0" xfId="0" applyNumberFormat="1"/>
    <xf numFmtId="0" fontId="5" fillId="0" borderId="0" xfId="0" applyFont="1" applyAlignment="1">
      <alignment horizontal="center" wrapText="1"/>
    </xf>
    <xf numFmtId="0" fontId="39" fillId="0" borderId="0" xfId="0" applyFont="1"/>
    <xf numFmtId="0" fontId="0" fillId="0" borderId="0" xfId="0" applyAlignment="1">
      <alignment wrapText="1"/>
    </xf>
    <xf numFmtId="0" fontId="2" fillId="0" borderId="15" xfId="0" applyFont="1" applyBorder="1"/>
    <xf numFmtId="9" fontId="0" fillId="0" borderId="0" xfId="28" applyFont="1"/>
    <xf numFmtId="0" fontId="0" fillId="0" borderId="15" xfId="0" applyBorder="1"/>
    <xf numFmtId="10" fontId="0" fillId="0" borderId="0" xfId="28" applyNumberFormat="1" applyFont="1"/>
    <xf numFmtId="0" fontId="7" fillId="0" borderId="0" xfId="0" applyFont="1"/>
    <xf numFmtId="0" fontId="8" fillId="0" borderId="0" xfId="0" applyFont="1"/>
    <xf numFmtId="0" fontId="0" fillId="0" borderId="21" xfId="0" applyBorder="1"/>
    <xf numFmtId="2" fontId="0" fillId="0" borderId="15" xfId="0" applyNumberFormat="1" applyBorder="1"/>
    <xf numFmtId="1" fontId="5" fillId="0" borderId="0" xfId="0" applyNumberFormat="1" applyFont="1"/>
    <xf numFmtId="0" fontId="13" fillId="0" borderId="0" xfId="0" applyFont="1"/>
    <xf numFmtId="0" fontId="13" fillId="0" borderId="0" xfId="0" applyFont="1" applyAlignment="1">
      <alignment horizontal="center"/>
    </xf>
    <xf numFmtId="0" fontId="5" fillId="2" borderId="0" xfId="0" applyFont="1" applyFill="1" applyAlignment="1">
      <alignment horizontal="center" wrapText="1"/>
    </xf>
    <xf numFmtId="0" fontId="5" fillId="3" borderId="23" xfId="0" applyFont="1" applyFill="1" applyBorder="1" applyAlignment="1">
      <alignment horizontal="center" wrapText="1"/>
    </xf>
    <xf numFmtId="0" fontId="44" fillId="0" borderId="0" xfId="0" applyFont="1" applyAlignment="1">
      <alignment horizontal="center" wrapText="1"/>
    </xf>
    <xf numFmtId="0" fontId="43" fillId="0" borderId="0" xfId="0" applyFont="1" applyAlignment="1" applyProtection="1">
      <alignment horizontal="left"/>
      <protection locked="0"/>
    </xf>
    <xf numFmtId="0" fontId="43" fillId="0" borderId="0" xfId="0" applyFont="1" applyAlignment="1">
      <alignment horizontal="center"/>
    </xf>
    <xf numFmtId="0" fontId="45" fillId="0" borderId="0" xfId="0" applyFont="1"/>
    <xf numFmtId="0" fontId="8" fillId="0" borderId="0" xfId="0" applyFont="1" applyAlignment="1">
      <alignment horizontal="center"/>
    </xf>
    <xf numFmtId="2" fontId="8" fillId="0" borderId="0" xfId="0" applyNumberFormat="1" applyFont="1"/>
    <xf numFmtId="0" fontId="0" fillId="17" borderId="0" xfId="0" applyFill="1"/>
    <xf numFmtId="0" fontId="31" fillId="0" borderId="0" xfId="15" applyAlignment="1" applyProtection="1"/>
    <xf numFmtId="0" fontId="0" fillId="0" borderId="0" xfId="0" applyAlignment="1">
      <alignment horizontal="center"/>
    </xf>
    <xf numFmtId="0" fontId="0" fillId="0" borderId="0" xfId="0" applyAlignment="1">
      <alignment horizontal="center" wrapText="1"/>
    </xf>
    <xf numFmtId="0" fontId="0" fillId="0" borderId="0" xfId="0" applyAlignment="1" applyProtection="1">
      <alignment horizontal="center"/>
      <protection locked="0"/>
    </xf>
    <xf numFmtId="2" fontId="41" fillId="0" borderId="0" xfId="4" applyNumberFormat="1" applyFont="1" applyFill="1" applyAlignment="1">
      <alignment horizontal="center"/>
    </xf>
    <xf numFmtId="0" fontId="5" fillId="0" borderId="0" xfId="0" applyFont="1" applyAlignment="1">
      <alignment horizontal="center"/>
    </xf>
    <xf numFmtId="2" fontId="11" fillId="0" borderId="0" xfId="0" applyNumberFormat="1" applyFont="1" applyAlignment="1">
      <alignment horizontal="center"/>
    </xf>
    <xf numFmtId="0" fontId="43" fillId="0" borderId="0" xfId="0" applyFont="1" applyAlignment="1" applyProtection="1">
      <alignment horizontal="center"/>
      <protection locked="0"/>
    </xf>
    <xf numFmtId="9" fontId="11" fillId="0" borderId="0" xfId="25" applyFont="1" applyFill="1" applyBorder="1" applyAlignment="1">
      <alignment horizontal="center"/>
    </xf>
    <xf numFmtId="0" fontId="12" fillId="3" borderId="23" xfId="0" applyFont="1" applyFill="1" applyBorder="1"/>
    <xf numFmtId="0" fontId="0" fillId="0" borderId="14" xfId="0" applyBorder="1"/>
    <xf numFmtId="0" fontId="0" fillId="0" borderId="14" xfId="0" applyBorder="1" applyAlignment="1" applyProtection="1">
      <alignment horizontal="left"/>
      <protection locked="0"/>
    </xf>
    <xf numFmtId="0" fontId="43" fillId="0" borderId="0" xfId="0" applyFont="1"/>
    <xf numFmtId="166" fontId="8" fillId="0" borderId="0" xfId="0" applyNumberFormat="1" applyFont="1"/>
    <xf numFmtId="9" fontId="0" fillId="0" borderId="0" xfId="25" applyFont="1"/>
    <xf numFmtId="0" fontId="2" fillId="0" borderId="0" xfId="0" applyFont="1" applyAlignment="1" applyProtection="1">
      <alignment horizontal="center"/>
      <protection locked="0"/>
    </xf>
    <xf numFmtId="174" fontId="2" fillId="0" borderId="0" xfId="21" applyNumberFormat="1"/>
    <xf numFmtId="0" fontId="2" fillId="0" borderId="26" xfId="0" applyFont="1" applyBorder="1"/>
    <xf numFmtId="0" fontId="2" fillId="0" borderId="25" xfId="0" applyFont="1" applyBorder="1"/>
    <xf numFmtId="9" fontId="2" fillId="0" borderId="26" xfId="0" applyNumberFormat="1" applyFont="1" applyBorder="1"/>
    <xf numFmtId="9" fontId="2" fillId="0" borderId="0" xfId="0" applyNumberFormat="1" applyFont="1"/>
    <xf numFmtId="0" fontId="5" fillId="3" borderId="20" xfId="0" applyFont="1" applyFill="1" applyBorder="1" applyAlignment="1">
      <alignment horizontal="center" wrapText="1"/>
    </xf>
    <xf numFmtId="0" fontId="5" fillId="3" borderId="24" xfId="0" applyFont="1" applyFill="1" applyBorder="1" applyAlignment="1">
      <alignment horizontal="center" wrapText="1"/>
    </xf>
    <xf numFmtId="0" fontId="48" fillId="8" borderId="32" xfId="18" applyNumberFormat="1" applyFont="1" applyBorder="1" applyAlignment="1">
      <alignment horizontal="center"/>
    </xf>
    <xf numFmtId="17" fontId="0" fillId="0" borderId="0" xfId="0" applyNumberFormat="1"/>
    <xf numFmtId="176" fontId="0" fillId="0" borderId="0" xfId="6" applyNumberFormat="1" applyFont="1"/>
    <xf numFmtId="0" fontId="5" fillId="3" borderId="0" xfId="0" applyFont="1" applyFill="1" applyAlignment="1">
      <alignment horizontal="center" wrapText="1"/>
    </xf>
    <xf numFmtId="10" fontId="0" fillId="0" borderId="0" xfId="25" applyNumberFormat="1" applyFont="1"/>
    <xf numFmtId="22" fontId="0" fillId="0" borderId="0" xfId="0" applyNumberFormat="1"/>
    <xf numFmtId="14" fontId="0" fillId="0" borderId="0" xfId="0" applyNumberFormat="1"/>
    <xf numFmtId="9" fontId="47" fillId="0" borderId="0" xfId="25" applyFont="1" applyFill="1" applyBorder="1"/>
    <xf numFmtId="10" fontId="0" fillId="0" borderId="0" xfId="6" applyNumberFormat="1" applyFont="1"/>
    <xf numFmtId="0" fontId="49" fillId="0" borderId="0" xfId="0" applyFont="1"/>
    <xf numFmtId="0" fontId="50" fillId="0" borderId="0" xfId="0" applyFont="1"/>
    <xf numFmtId="0" fontId="2" fillId="0" borderId="0" xfId="0" applyFont="1" applyAlignment="1">
      <alignment horizontal="center"/>
    </xf>
    <xf numFmtId="0" fontId="31" fillId="0" borderId="0" xfId="15" applyAlignment="1" applyProtection="1">
      <alignment horizontal="center"/>
    </xf>
    <xf numFmtId="0" fontId="3" fillId="0" borderId="15" xfId="0" applyFont="1" applyBorder="1" applyAlignment="1">
      <alignment vertical="top" wrapText="1"/>
    </xf>
    <xf numFmtId="0" fontId="4" fillId="0" borderId="15" xfId="0" applyFont="1" applyBorder="1"/>
    <xf numFmtId="0" fontId="5" fillId="0" borderId="15" xfId="0" applyFont="1" applyBorder="1"/>
    <xf numFmtId="0" fontId="2" fillId="0" borderId="21" xfId="0" applyFont="1" applyBorder="1"/>
    <xf numFmtId="0" fontId="52" fillId="19" borderId="0" xfId="0" applyFont="1" applyFill="1"/>
    <xf numFmtId="0" fontId="52" fillId="19" borderId="34" xfId="0" applyFont="1" applyFill="1" applyBorder="1" applyAlignment="1">
      <alignment horizontal="center"/>
    </xf>
    <xf numFmtId="0" fontId="53" fillId="20" borderId="35" xfId="0" applyFont="1" applyFill="1" applyBorder="1"/>
    <xf numFmtId="2" fontId="53" fillId="20" borderId="35" xfId="0" applyNumberFormat="1" applyFont="1" applyFill="1" applyBorder="1"/>
    <xf numFmtId="0" fontId="53" fillId="20" borderId="37" xfId="0" applyFont="1" applyFill="1" applyBorder="1"/>
    <xf numFmtId="0" fontId="52" fillId="19" borderId="36" xfId="0" applyFont="1" applyFill="1" applyBorder="1"/>
    <xf numFmtId="0" fontId="0" fillId="21" borderId="0" xfId="0" applyFill="1"/>
    <xf numFmtId="0" fontId="53" fillId="20" borderId="0" xfId="0" applyFont="1" applyFill="1"/>
    <xf numFmtId="2" fontId="53" fillId="20" borderId="0" xfId="0" applyNumberFormat="1" applyFont="1" applyFill="1"/>
    <xf numFmtId="0" fontId="54" fillId="0" borderId="0" xfId="32"/>
    <xf numFmtId="170" fontId="54" fillId="0" borderId="0" xfId="32" applyNumberFormat="1"/>
    <xf numFmtId="0" fontId="54" fillId="0" borderId="0" xfId="32" applyAlignment="1" applyProtection="1">
      <alignment vertical="top"/>
      <protection locked="0"/>
    </xf>
    <xf numFmtId="0" fontId="2" fillId="0" borderId="0" xfId="32" applyFont="1" applyAlignment="1" applyProtection="1">
      <alignment vertical="top"/>
      <protection locked="0"/>
    </xf>
    <xf numFmtId="0" fontId="2" fillId="0" borderId="1" xfId="32" applyFont="1" applyBorder="1" applyAlignment="1" applyProtection="1">
      <alignment vertical="top"/>
      <protection locked="0"/>
    </xf>
    <xf numFmtId="0" fontId="2" fillId="0" borderId="4" xfId="32" applyFont="1" applyBorder="1" applyAlignment="1" applyProtection="1">
      <alignment vertical="top"/>
      <protection locked="0"/>
    </xf>
    <xf numFmtId="0" fontId="2" fillId="13" borderId="0" xfId="32" applyFont="1" applyFill="1" applyAlignment="1" applyProtection="1">
      <alignment vertical="top"/>
      <protection locked="0"/>
    </xf>
    <xf numFmtId="9" fontId="0" fillId="0" borderId="18" xfId="37" applyFont="1" applyFill="1" applyBorder="1" applyAlignment="1" applyProtection="1">
      <alignment vertical="top"/>
      <protection locked="0"/>
    </xf>
    <xf numFmtId="170" fontId="0" fillId="0" borderId="1" xfId="38" applyNumberFormat="1" applyFont="1" applyFill="1" applyBorder="1" applyAlignment="1" applyProtection="1">
      <alignment vertical="top"/>
      <protection locked="0"/>
    </xf>
    <xf numFmtId="9" fontId="0" fillId="0" borderId="1" xfId="37" applyFont="1" applyFill="1" applyBorder="1" applyAlignment="1" applyProtection="1">
      <alignment vertical="top"/>
      <protection locked="0"/>
    </xf>
    <xf numFmtId="0" fontId="2" fillId="13" borderId="17" xfId="32" applyFont="1" applyFill="1" applyBorder="1" applyAlignment="1" applyProtection="1">
      <alignment vertical="top"/>
      <protection locked="0"/>
    </xf>
    <xf numFmtId="0" fontId="54" fillId="13" borderId="2" xfId="32" applyFill="1" applyBorder="1" applyAlignment="1" applyProtection="1">
      <alignment vertical="top"/>
      <protection locked="0"/>
    </xf>
    <xf numFmtId="0" fontId="54" fillId="13" borderId="0" xfId="32" applyFill="1" applyAlignment="1" applyProtection="1">
      <alignment vertical="top"/>
      <protection locked="0"/>
    </xf>
    <xf numFmtId="0" fontId="2" fillId="13" borderId="17" xfId="32" applyFont="1" applyFill="1" applyBorder="1"/>
    <xf numFmtId="0" fontId="2" fillId="23" borderId="2" xfId="32" applyFont="1" applyFill="1" applyBorder="1" applyAlignment="1" applyProtection="1">
      <alignment vertical="top"/>
      <protection locked="0"/>
    </xf>
    <xf numFmtId="0" fontId="54" fillId="23" borderId="2" xfId="32" applyFill="1" applyBorder="1" applyAlignment="1" applyProtection="1">
      <alignment vertical="top"/>
      <protection locked="0"/>
    </xf>
    <xf numFmtId="0" fontId="54" fillId="23" borderId="1" xfId="32" applyFill="1" applyBorder="1" applyAlignment="1" applyProtection="1">
      <alignment vertical="top"/>
      <protection locked="0"/>
    </xf>
    <xf numFmtId="0" fontId="54" fillId="23" borderId="4" xfId="32" applyFill="1" applyBorder="1" applyAlignment="1" applyProtection="1">
      <alignment vertical="top"/>
      <protection locked="0"/>
    </xf>
    <xf numFmtId="1" fontId="54" fillId="23" borderId="1" xfId="32" applyNumberFormat="1" applyFill="1" applyBorder="1" applyAlignment="1" applyProtection="1">
      <alignment vertical="top"/>
      <protection locked="0"/>
    </xf>
    <xf numFmtId="0" fontId="54" fillId="13" borderId="7" xfId="32" applyFill="1" applyBorder="1" applyAlignment="1" applyProtection="1">
      <alignment vertical="top"/>
      <protection locked="0"/>
    </xf>
    <xf numFmtId="170" fontId="0" fillId="0" borderId="1" xfId="38" applyNumberFormat="1" applyFont="1" applyFill="1" applyBorder="1"/>
    <xf numFmtId="0" fontId="0" fillId="0" borderId="25" xfId="0" applyBorder="1"/>
    <xf numFmtId="0" fontId="0" fillId="0" borderId="26" xfId="0" applyBorder="1"/>
    <xf numFmtId="0" fontId="2" fillId="0" borderId="0" xfId="0" applyFont="1" applyAlignment="1" applyProtection="1">
      <alignment horizontal="left"/>
      <protection locked="0"/>
    </xf>
    <xf numFmtId="164" fontId="53" fillId="20" borderId="35" xfId="0" applyNumberFormat="1" applyFont="1" applyFill="1" applyBorder="1"/>
    <xf numFmtId="9" fontId="0" fillId="0" borderId="15" xfId="0" applyNumberFormat="1" applyBorder="1"/>
    <xf numFmtId="1" fontId="0" fillId="0" borderId="15" xfId="0" applyNumberFormat="1" applyBorder="1"/>
    <xf numFmtId="0" fontId="31" fillId="0" borderId="0" xfId="15" applyFill="1" applyAlignment="1" applyProtection="1"/>
    <xf numFmtId="0" fontId="31" fillId="0" borderId="0" xfId="16" applyFill="1" applyAlignment="1" applyProtection="1">
      <alignment horizontal="left" vertical="top"/>
    </xf>
    <xf numFmtId="0" fontId="31" fillId="0" borderId="0" xfId="15" applyFill="1" applyAlignment="1" applyProtection="1">
      <alignment horizontal="center"/>
    </xf>
    <xf numFmtId="166" fontId="2" fillId="0" borderId="0" xfId="0" applyNumberFormat="1" applyFont="1"/>
    <xf numFmtId="0" fontId="12" fillId="0" borderId="0" xfId="0" applyFont="1" applyAlignment="1">
      <alignment horizontal="center"/>
    </xf>
    <xf numFmtId="168" fontId="15" fillId="0" borderId="0" xfId="28" applyNumberFormat="1" applyFont="1" applyFill="1" applyAlignment="1">
      <alignment horizontal="center"/>
    </xf>
    <xf numFmtId="2" fontId="14" fillId="0" borderId="0" xfId="0" applyNumberFormat="1" applyFont="1" applyAlignment="1">
      <alignment horizontal="center"/>
    </xf>
    <xf numFmtId="9" fontId="25" fillId="0" borderId="0" xfId="25" applyFont="1" applyFill="1" applyBorder="1"/>
    <xf numFmtId="0" fontId="7" fillId="0" borderId="0" xfId="0" applyFont="1" applyAlignment="1">
      <alignment horizontal="center"/>
    </xf>
    <xf numFmtId="0" fontId="8" fillId="0" borderId="0" xfId="0" applyFont="1" applyAlignment="1" applyProtection="1">
      <alignment horizontal="center"/>
      <protection locked="0"/>
    </xf>
    <xf numFmtId="0" fontId="59" fillId="8" borderId="32" xfId="18" applyNumberFormat="1" applyFont="1" applyBorder="1" applyAlignment="1">
      <alignment horizontal="center"/>
    </xf>
    <xf numFmtId="0" fontId="8" fillId="0" borderId="26" xfId="0" applyFont="1" applyBorder="1"/>
    <xf numFmtId="0" fontId="8" fillId="0" borderId="25" xfId="0" applyFont="1" applyBorder="1"/>
    <xf numFmtId="168" fontId="8" fillId="0" borderId="0" xfId="25" applyNumberFormat="1" applyFont="1"/>
    <xf numFmtId="9" fontId="62" fillId="10" borderId="0" xfId="0" applyNumberFormat="1" applyFont="1" applyFill="1"/>
    <xf numFmtId="9" fontId="8" fillId="0" borderId="26" xfId="0" applyNumberFormat="1" applyFont="1" applyBorder="1"/>
    <xf numFmtId="9" fontId="8" fillId="0" borderId="0" xfId="0" applyNumberFormat="1" applyFont="1"/>
    <xf numFmtId="0" fontId="7" fillId="3" borderId="20" xfId="0" applyFont="1" applyFill="1" applyBorder="1" applyAlignment="1">
      <alignment horizontal="center" wrapText="1"/>
    </xf>
    <xf numFmtId="0" fontId="7" fillId="3" borderId="23" xfId="0" applyFont="1" applyFill="1" applyBorder="1" applyAlignment="1">
      <alignment horizontal="center" wrapText="1"/>
    </xf>
    <xf numFmtId="0" fontId="7" fillId="3" borderId="24" xfId="0" applyFont="1" applyFill="1" applyBorder="1" applyAlignment="1">
      <alignment horizontal="center" wrapText="1"/>
    </xf>
    <xf numFmtId="0" fontId="62" fillId="0" borderId="0" xfId="0" applyFont="1"/>
    <xf numFmtId="175" fontId="64" fillId="0" borderId="0" xfId="1" applyNumberFormat="1" applyFont="1" applyFill="1" applyAlignment="1">
      <alignment horizontal="center"/>
    </xf>
    <xf numFmtId="9" fontId="57" fillId="0" borderId="26" xfId="25" applyFont="1" applyBorder="1" applyAlignment="1">
      <alignment horizontal="center"/>
    </xf>
    <xf numFmtId="9" fontId="65" fillId="0" borderId="0" xfId="25" applyFont="1" applyBorder="1"/>
    <xf numFmtId="9" fontId="57" fillId="0" borderId="0" xfId="25" applyFont="1" applyBorder="1"/>
    <xf numFmtId="9" fontId="57" fillId="0" borderId="26" xfId="25" applyFont="1" applyFill="1" applyBorder="1"/>
    <xf numFmtId="9" fontId="57" fillId="0" borderId="0" xfId="25" applyFont="1" applyFill="1" applyBorder="1"/>
    <xf numFmtId="9" fontId="65" fillId="0" borderId="0" xfId="25" applyFont="1" applyFill="1" applyBorder="1"/>
    <xf numFmtId="0" fontId="66" fillId="0" borderId="0" xfId="0" applyFont="1"/>
    <xf numFmtId="0" fontId="1" fillId="0" borderId="0" xfId="23" applyFont="1"/>
    <xf numFmtId="166" fontId="2" fillId="11" borderId="0" xfId="0" applyNumberFormat="1" applyFont="1" applyFill="1"/>
    <xf numFmtId="0" fontId="5" fillId="0" borderId="20" xfId="0" applyFont="1" applyBorder="1" applyAlignment="1">
      <alignment horizontal="center" wrapText="1"/>
    </xf>
    <xf numFmtId="9" fontId="25" fillId="0" borderId="26" xfId="25" applyFont="1" applyFill="1" applyBorder="1"/>
    <xf numFmtId="0" fontId="6" fillId="0" borderId="0" xfId="0" applyFont="1"/>
    <xf numFmtId="1" fontId="8" fillId="0" borderId="0" xfId="0" applyNumberFormat="1" applyFont="1"/>
    <xf numFmtId="165" fontId="8" fillId="0" borderId="0" xfId="0" applyNumberFormat="1" applyFont="1"/>
    <xf numFmtId="9" fontId="8" fillId="0" borderId="0" xfId="25" applyFont="1" applyFill="1" applyAlignment="1">
      <alignment horizontal="center"/>
    </xf>
    <xf numFmtId="43" fontId="8" fillId="0" borderId="0" xfId="6" applyFont="1" applyFill="1" applyAlignment="1">
      <alignment horizontal="center"/>
    </xf>
    <xf numFmtId="177" fontId="8" fillId="0" borderId="0" xfId="6" applyNumberFormat="1" applyFont="1" applyFill="1" applyAlignment="1">
      <alignment horizontal="center"/>
    </xf>
    <xf numFmtId="178" fontId="8" fillId="0" borderId="0" xfId="6" applyNumberFormat="1" applyFont="1" applyFill="1" applyAlignment="1">
      <alignment horizontal="center"/>
    </xf>
    <xf numFmtId="43" fontId="8" fillId="0" borderId="0" xfId="6" applyFont="1" applyFill="1"/>
    <xf numFmtId="170" fontId="8" fillId="0" borderId="0" xfId="0" applyNumberFormat="1" applyFont="1"/>
    <xf numFmtId="1" fontId="8" fillId="0" borderId="0" xfId="0" applyNumberFormat="1" applyFont="1" applyAlignment="1">
      <alignment horizontal="center"/>
    </xf>
    <xf numFmtId="9" fontId="63" fillId="0" borderId="0" xfId="25" applyFont="1" applyFill="1"/>
    <xf numFmtId="0" fontId="8" fillId="0" borderId="0" xfId="0" applyFont="1" applyAlignment="1">
      <alignment horizontal="right"/>
    </xf>
    <xf numFmtId="0" fontId="8" fillId="0" borderId="0" xfId="0" applyFont="1" applyAlignment="1">
      <alignment horizontal="left" indent="12"/>
    </xf>
    <xf numFmtId="0" fontId="0" fillId="12" borderId="0" xfId="0" applyFill="1"/>
    <xf numFmtId="0" fontId="8" fillId="12" borderId="0" xfId="0" applyFont="1" applyFill="1"/>
    <xf numFmtId="0" fontId="17" fillId="10" borderId="0" xfId="0" applyFont="1" applyFill="1"/>
    <xf numFmtId="0" fontId="0" fillId="27" borderId="0" xfId="0" applyFill="1"/>
    <xf numFmtId="0" fontId="2" fillId="18" borderId="0" xfId="0" applyFont="1" applyFill="1" applyAlignment="1" applyProtection="1">
      <alignment horizontal="left"/>
      <protection locked="0"/>
    </xf>
    <xf numFmtId="0" fontId="43" fillId="18" borderId="0" xfId="0" applyFont="1" applyFill="1" applyAlignment="1" applyProtection="1">
      <alignment horizontal="left"/>
      <protection locked="0"/>
    </xf>
    <xf numFmtId="0" fontId="43" fillId="18" borderId="0" xfId="0" applyFont="1" applyFill="1" applyAlignment="1" applyProtection="1">
      <alignment horizontal="center"/>
      <protection locked="0"/>
    </xf>
    <xf numFmtId="2" fontId="41" fillId="18" borderId="0" xfId="4" applyNumberFormat="1" applyFont="1" applyFill="1" applyAlignment="1">
      <alignment horizontal="center"/>
    </xf>
    <xf numFmtId="0" fontId="0" fillId="18" borderId="0" xfId="0" applyFill="1"/>
    <xf numFmtId="167" fontId="6" fillId="18" borderId="0" xfId="0" applyNumberFormat="1" applyFont="1" applyFill="1"/>
    <xf numFmtId="9" fontId="57" fillId="18" borderId="26" xfId="25" applyFont="1" applyFill="1" applyBorder="1" applyAlignment="1">
      <alignment horizontal="center"/>
    </xf>
    <xf numFmtId="9" fontId="65" fillId="18" borderId="0" xfId="25" applyFont="1" applyFill="1" applyBorder="1"/>
    <xf numFmtId="0" fontId="8" fillId="18" borderId="0" xfId="0" applyFont="1" applyFill="1"/>
    <xf numFmtId="9" fontId="57" fillId="18" borderId="0" xfId="25" applyFont="1" applyFill="1" applyBorder="1"/>
    <xf numFmtId="0" fontId="8" fillId="18" borderId="25" xfId="0" applyFont="1" applyFill="1" applyBorder="1"/>
    <xf numFmtId="9" fontId="57" fillId="18" borderId="26" xfId="25" applyFont="1" applyFill="1" applyBorder="1"/>
    <xf numFmtId="9" fontId="47" fillId="18" borderId="0" xfId="25" applyFont="1" applyFill="1" applyBorder="1"/>
    <xf numFmtId="0" fontId="2" fillId="18" borderId="25" xfId="0" applyFont="1" applyFill="1" applyBorder="1"/>
    <xf numFmtId="9" fontId="25" fillId="18" borderId="26" xfId="25" applyFont="1" applyFill="1" applyBorder="1"/>
    <xf numFmtId="9" fontId="25" fillId="18" borderId="0" xfId="25" applyFont="1" applyFill="1" applyBorder="1"/>
    <xf numFmtId="9" fontId="25" fillId="18" borderId="25" xfId="25" applyFont="1" applyFill="1" applyBorder="1"/>
    <xf numFmtId="9" fontId="2" fillId="18" borderId="0" xfId="25" applyFont="1" applyFill="1" applyBorder="1"/>
    <xf numFmtId="0" fontId="0" fillId="22" borderId="0" xfId="0" applyFill="1"/>
    <xf numFmtId="0" fontId="7" fillId="22" borderId="0" xfId="0" applyFont="1" applyFill="1"/>
    <xf numFmtId="0" fontId="8" fillId="22" borderId="0" xfId="0" applyFont="1" applyFill="1" applyAlignment="1">
      <alignment horizontal="center"/>
    </xf>
    <xf numFmtId="43" fontId="58" fillId="22" borderId="0" xfId="4" applyNumberFormat="1" applyFont="1" applyFill="1" applyAlignment="1">
      <alignment horizontal="center"/>
    </xf>
    <xf numFmtId="0" fontId="8" fillId="22" borderId="0" xfId="0" applyFont="1" applyFill="1"/>
    <xf numFmtId="0" fontId="2" fillId="22" borderId="0" xfId="0" applyFont="1" applyFill="1"/>
    <xf numFmtId="2" fontId="13" fillId="0" borderId="0" xfId="0" applyNumberFormat="1" applyFont="1"/>
    <xf numFmtId="167" fontId="68" fillId="18" borderId="0" xfId="0" applyNumberFormat="1" applyFont="1" applyFill="1"/>
    <xf numFmtId="2" fontId="68" fillId="18" borderId="0" xfId="4" applyNumberFormat="1" applyFont="1" applyFill="1" applyAlignment="1">
      <alignment horizontal="center"/>
    </xf>
    <xf numFmtId="0" fontId="0" fillId="26" borderId="0" xfId="0" applyFill="1"/>
    <xf numFmtId="0" fontId="13" fillId="26" borderId="0" xfId="0" applyFont="1" applyFill="1"/>
    <xf numFmtId="0" fontId="5" fillId="26" borderId="23" xfId="0" applyFont="1" applyFill="1" applyBorder="1" applyAlignment="1">
      <alignment horizontal="center" wrapText="1"/>
    </xf>
    <xf numFmtId="0" fontId="0" fillId="24" borderId="0" xfId="0" applyFill="1"/>
    <xf numFmtId="0" fontId="13" fillId="24" borderId="0" xfId="0" applyFont="1" applyFill="1"/>
    <xf numFmtId="0" fontId="5" fillId="24" borderId="23" xfId="0" applyFont="1" applyFill="1" applyBorder="1" applyAlignment="1">
      <alignment horizontal="center" wrapText="1"/>
    </xf>
    <xf numFmtId="0" fontId="7" fillId="2" borderId="22" xfId="0" applyFont="1" applyFill="1" applyBorder="1" applyAlignment="1">
      <alignment horizontal="center" wrapText="1"/>
    </xf>
    <xf numFmtId="0" fontId="5" fillId="26" borderId="19" xfId="0" applyFont="1" applyFill="1" applyBorder="1" applyAlignment="1">
      <alignment horizontal="center" wrapText="1"/>
    </xf>
    <xf numFmtId="0" fontId="13" fillId="0" borderId="22" xfId="0" applyFont="1" applyBorder="1" applyAlignment="1">
      <alignment horizontal="center"/>
    </xf>
    <xf numFmtId="168" fontId="15" fillId="0" borderId="22" xfId="28" applyNumberFormat="1" applyFont="1" applyFill="1" applyBorder="1" applyAlignment="1">
      <alignment horizontal="center"/>
    </xf>
    <xf numFmtId="0" fontId="5" fillId="0" borderId="22" xfId="0" applyFont="1" applyBorder="1" applyAlignment="1">
      <alignment horizontal="center" wrapText="1"/>
    </xf>
    <xf numFmtId="2" fontId="41" fillId="18" borderId="22" xfId="4" applyNumberFormat="1" applyFont="1" applyFill="1" applyBorder="1" applyAlignment="1">
      <alignment horizontal="center"/>
    </xf>
    <xf numFmtId="2" fontId="41" fillId="0" borderId="22" xfId="4" applyNumberFormat="1" applyFont="1" applyFill="1" applyBorder="1" applyAlignment="1">
      <alignment horizontal="center"/>
    </xf>
    <xf numFmtId="2" fontId="46" fillId="0" borderId="0" xfId="19" applyNumberFormat="1" applyFont="1" applyAlignment="1">
      <alignment horizontal="center"/>
    </xf>
    <xf numFmtId="2" fontId="46" fillId="18" borderId="0" xfId="19" applyNumberFormat="1" applyFont="1" applyFill="1" applyAlignment="1">
      <alignment horizontal="center"/>
    </xf>
    <xf numFmtId="1" fontId="6" fillId="18" borderId="0" xfId="0" applyNumberFormat="1" applyFont="1" applyFill="1"/>
    <xf numFmtId="2" fontId="5" fillId="2" borderId="0" xfId="0" applyNumberFormat="1" applyFont="1" applyFill="1" applyAlignment="1">
      <alignment horizontal="center" wrapText="1"/>
    </xf>
    <xf numFmtId="2" fontId="5" fillId="3" borderId="23" xfId="0" applyNumberFormat="1" applyFont="1" applyFill="1" applyBorder="1" applyAlignment="1">
      <alignment horizontal="center" wrapText="1"/>
    </xf>
    <xf numFmtId="2" fontId="0" fillId="0" borderId="0" xfId="0" applyNumberFormat="1" applyAlignment="1">
      <alignment horizontal="center" wrapText="1"/>
    </xf>
    <xf numFmtId="2" fontId="43" fillId="0" borderId="0" xfId="0" applyNumberFormat="1" applyFont="1" applyAlignment="1">
      <alignment horizontal="center"/>
    </xf>
    <xf numFmtId="2" fontId="44" fillId="0" borderId="0" xfId="0" applyNumberFormat="1" applyFont="1" applyAlignment="1">
      <alignment horizontal="center" wrapText="1"/>
    </xf>
    <xf numFmtId="0" fontId="38" fillId="2" borderId="0" xfId="0" applyFont="1" applyFill="1" applyAlignment="1">
      <alignment horizontal="center" wrapText="1"/>
    </xf>
    <xf numFmtId="0" fontId="38" fillId="3" borderId="23" xfId="0" applyFont="1" applyFill="1" applyBorder="1" applyAlignment="1">
      <alignment horizontal="center" wrapText="1"/>
    </xf>
    <xf numFmtId="0" fontId="54" fillId="13" borderId="17" xfId="32" applyFill="1" applyBorder="1" applyAlignment="1" applyProtection="1">
      <alignment vertical="top"/>
      <protection locked="0"/>
    </xf>
    <xf numFmtId="0" fontId="2" fillId="25" borderId="0" xfId="32" applyFont="1" applyFill="1" applyAlignment="1" applyProtection="1">
      <alignment vertical="top"/>
      <protection locked="0"/>
    </xf>
    <xf numFmtId="0" fontId="54" fillId="25" borderId="0" xfId="32" applyFill="1" applyAlignment="1" applyProtection="1">
      <alignment vertical="top"/>
      <protection locked="0"/>
    </xf>
    <xf numFmtId="0" fontId="55" fillId="25" borderId="0" xfId="32" applyFont="1" applyFill="1"/>
    <xf numFmtId="0" fontId="54" fillId="25" borderId="0" xfId="32" applyFill="1"/>
    <xf numFmtId="0" fontId="0" fillId="13" borderId="0" xfId="32" applyFont="1" applyFill="1" applyAlignment="1" applyProtection="1">
      <alignment vertical="top"/>
      <protection locked="0"/>
    </xf>
    <xf numFmtId="0" fontId="0" fillId="13" borderId="0" xfId="32" applyFont="1" applyFill="1"/>
    <xf numFmtId="170" fontId="5" fillId="0" borderId="0" xfId="0" applyNumberFormat="1" applyFont="1"/>
    <xf numFmtId="170" fontId="56" fillId="0" borderId="0" xfId="32" applyNumberFormat="1" applyFont="1"/>
    <xf numFmtId="9" fontId="0" fillId="0" borderId="38" xfId="37" applyFont="1" applyFill="1" applyBorder="1" applyAlignment="1" applyProtection="1">
      <alignment vertical="top"/>
      <protection locked="0"/>
    </xf>
    <xf numFmtId="0" fontId="0" fillId="22" borderId="15" xfId="0" applyFill="1" applyBorder="1"/>
    <xf numFmtId="0" fontId="0" fillId="22" borderId="15" xfId="0" applyFill="1" applyBorder="1" applyProtection="1">
      <protection locked="0"/>
    </xf>
    <xf numFmtId="0" fontId="54" fillId="0" borderId="15" xfId="32" applyBorder="1"/>
    <xf numFmtId="170" fontId="0" fillId="0" borderId="15" xfId="38" applyNumberFormat="1" applyFont="1" applyFill="1" applyBorder="1" applyAlignment="1" applyProtection="1">
      <alignment vertical="top"/>
      <protection locked="0"/>
    </xf>
    <xf numFmtId="0" fontId="5" fillId="15" borderId="15" xfId="0" applyFont="1" applyFill="1" applyBorder="1"/>
    <xf numFmtId="0" fontId="5" fillId="15" borderId="15" xfId="0" applyFont="1" applyFill="1" applyBorder="1" applyProtection="1">
      <protection locked="0"/>
    </xf>
    <xf numFmtId="170" fontId="5" fillId="15" borderId="15" xfId="38" applyNumberFormat="1" applyFont="1" applyFill="1" applyBorder="1" applyAlignment="1" applyProtection="1">
      <alignment vertical="top"/>
      <protection locked="0"/>
    </xf>
    <xf numFmtId="0" fontId="5" fillId="0" borderId="15" xfId="0" applyFont="1" applyBorder="1" applyProtection="1">
      <protection locked="0"/>
    </xf>
    <xf numFmtId="170" fontId="5" fillId="0" borderId="15" xfId="38" applyNumberFormat="1" applyFont="1" applyFill="1" applyBorder="1" applyAlignment="1" applyProtection="1">
      <alignment vertical="top"/>
      <protection locked="0"/>
    </xf>
    <xf numFmtId="0" fontId="0" fillId="25" borderId="15" xfId="0" applyFill="1" applyBorder="1"/>
    <xf numFmtId="0" fontId="5" fillId="25" borderId="15" xfId="0" applyFont="1" applyFill="1" applyBorder="1"/>
    <xf numFmtId="0" fontId="0" fillId="25" borderId="0" xfId="0" applyFill="1"/>
    <xf numFmtId="0" fontId="2" fillId="25" borderId="1" xfId="32" applyFont="1" applyFill="1" applyBorder="1" applyAlignment="1" applyProtection="1">
      <alignment vertical="top"/>
      <protection locked="0"/>
    </xf>
    <xf numFmtId="0" fontId="2" fillId="25" borderId="4" xfId="32" applyFont="1" applyFill="1" applyBorder="1" applyAlignment="1" applyProtection="1">
      <alignment vertical="top"/>
      <protection locked="0"/>
    </xf>
    <xf numFmtId="167" fontId="2" fillId="0" borderId="0" xfId="0" applyNumberFormat="1" applyFont="1"/>
    <xf numFmtId="0" fontId="70" fillId="0" borderId="0" xfId="0" applyFont="1"/>
    <xf numFmtId="0" fontId="54" fillId="10" borderId="0" xfId="32" applyFill="1"/>
    <xf numFmtId="0" fontId="0" fillId="31" borderId="0" xfId="0" applyFill="1"/>
    <xf numFmtId="166" fontId="2" fillId="31" borderId="0" xfId="2" applyNumberFormat="1" applyFont="1" applyFill="1" applyAlignment="1">
      <alignment horizontal="center"/>
    </xf>
    <xf numFmtId="166" fontId="2" fillId="31" borderId="0" xfId="4" applyNumberFormat="1" applyFont="1" applyFill="1" applyAlignment="1">
      <alignment horizontal="center"/>
    </xf>
    <xf numFmtId="166" fontId="0" fillId="31" borderId="0" xfId="0" applyNumberFormat="1" applyFill="1" applyAlignment="1">
      <alignment horizontal="center"/>
    </xf>
    <xf numFmtId="0" fontId="54" fillId="0" borderId="1" xfId="32" applyBorder="1"/>
    <xf numFmtId="1" fontId="54" fillId="0" borderId="1" xfId="32" applyNumberFormat="1" applyBorder="1" applyAlignment="1" applyProtection="1">
      <alignment vertical="top"/>
      <protection locked="0"/>
    </xf>
    <xf numFmtId="0" fontId="5" fillId="26" borderId="0" xfId="0" applyFont="1" applyFill="1"/>
    <xf numFmtId="0" fontId="0" fillId="32" borderId="0" xfId="0" applyFill="1"/>
    <xf numFmtId="0" fontId="39" fillId="0" borderId="0" xfId="0" applyFont="1" applyAlignment="1" applyProtection="1">
      <alignment horizontal="left"/>
      <protection locked="0"/>
    </xf>
    <xf numFmtId="0" fontId="39" fillId="0" borderId="0" xfId="0" applyFont="1" applyAlignment="1" applyProtection="1">
      <alignment horizontal="center"/>
      <protection locked="0"/>
    </xf>
    <xf numFmtId="0" fontId="0" fillId="9" borderId="0" xfId="0" applyFill="1"/>
    <xf numFmtId="0" fontId="0" fillId="34" borderId="0" xfId="0" applyFill="1"/>
    <xf numFmtId="1" fontId="54" fillId="0" borderId="9" xfId="32" applyNumberFormat="1" applyBorder="1" applyAlignment="1" applyProtection="1">
      <alignment vertical="top"/>
      <protection locked="0"/>
    </xf>
    <xf numFmtId="0" fontId="54" fillId="35" borderId="17" xfId="0" applyFont="1" applyFill="1" applyBorder="1" applyAlignment="1" applyProtection="1">
      <alignment vertical="top"/>
      <protection locked="0"/>
    </xf>
    <xf numFmtId="1" fontId="54" fillId="0" borderId="6" xfId="32" applyNumberFormat="1" applyBorder="1" applyAlignment="1" applyProtection="1">
      <alignment vertical="top"/>
      <protection locked="0"/>
    </xf>
    <xf numFmtId="0" fontId="54" fillId="13" borderId="8" xfId="32" applyFill="1" applyBorder="1" applyAlignment="1" applyProtection="1">
      <alignment vertical="top"/>
      <protection locked="0"/>
    </xf>
    <xf numFmtId="0" fontId="54" fillId="13" borderId="10" xfId="32" applyFill="1" applyBorder="1" applyAlignment="1" applyProtection="1">
      <alignment vertical="top"/>
      <protection locked="0"/>
    </xf>
    <xf numFmtId="0" fontId="54" fillId="13" borderId="5" xfId="32" applyFill="1" applyBorder="1" applyAlignment="1" applyProtection="1">
      <alignment vertical="top"/>
      <protection locked="0"/>
    </xf>
    <xf numFmtId="0" fontId="54" fillId="13" borderId="4" xfId="32" applyFill="1" applyBorder="1" applyAlignment="1" applyProtection="1">
      <alignment vertical="top"/>
      <protection locked="0"/>
    </xf>
    <xf numFmtId="0" fontId="50" fillId="36" borderId="0" xfId="0" applyFont="1" applyFill="1"/>
    <xf numFmtId="0" fontId="2" fillId="36" borderId="0" xfId="0" applyFont="1" applyFill="1"/>
    <xf numFmtId="0" fontId="0" fillId="36" borderId="0" xfId="0" applyFill="1"/>
    <xf numFmtId="0" fontId="2" fillId="26" borderId="0" xfId="0" applyFont="1" applyFill="1"/>
    <xf numFmtId="0" fontId="49" fillId="9" borderId="0" xfId="0" applyFont="1" applyFill="1"/>
    <xf numFmtId="0" fontId="2" fillId="9" borderId="0" xfId="0" applyFont="1" applyFill="1"/>
    <xf numFmtId="0" fontId="50" fillId="9" borderId="0" xfId="0" applyFont="1" applyFill="1"/>
    <xf numFmtId="2" fontId="7" fillId="0" borderId="0" xfId="0" applyNumberFormat="1" applyFont="1" applyAlignment="1">
      <alignment horizontal="center"/>
    </xf>
    <xf numFmtId="2" fontId="2" fillId="0" borderId="0" xfId="0" applyNumberFormat="1" applyFont="1" applyAlignment="1" applyProtection="1">
      <alignment horizontal="center"/>
      <protection locked="0"/>
    </xf>
    <xf numFmtId="2" fontId="2" fillId="0" borderId="0" xfId="0" applyNumberFormat="1" applyFont="1"/>
    <xf numFmtId="2" fontId="2" fillId="22" borderId="0" xfId="0" applyNumberFormat="1" applyFont="1" applyFill="1"/>
    <xf numFmtId="2" fontId="8" fillId="0" borderId="26" xfId="0" applyNumberFormat="1" applyFont="1" applyBorder="1"/>
    <xf numFmtId="2" fontId="7" fillId="3" borderId="20" xfId="0" applyNumberFormat="1" applyFont="1" applyFill="1" applyBorder="1" applyAlignment="1">
      <alignment horizontal="center" wrapText="1"/>
    </xf>
    <xf numFmtId="2" fontId="5" fillId="0" borderId="0" xfId="0" applyNumberFormat="1" applyFont="1"/>
    <xf numFmtId="166" fontId="5" fillId="0" borderId="0" xfId="0" applyNumberFormat="1" applyFont="1"/>
    <xf numFmtId="168" fontId="0" fillId="0" borderId="0" xfId="25" applyNumberFormat="1" applyFont="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2" fillId="2" borderId="16" xfId="263" applyAlignment="1">
      <alignment vertical="center" wrapText="1"/>
      <protection locked="0"/>
    </xf>
    <xf numFmtId="0" fontId="2" fillId="29" borderId="0" xfId="262">
      <protection locked="0"/>
    </xf>
    <xf numFmtId="0" fontId="30" fillId="0" borderId="0" xfId="13" applyAlignment="1" applyProtection="1">
      <protection locked="0"/>
    </xf>
    <xf numFmtId="0" fontId="0" fillId="38" borderId="0" xfId="0" applyFill="1" applyProtection="1">
      <protection locked="0"/>
    </xf>
    <xf numFmtId="0" fontId="0" fillId="38" borderId="0" xfId="0" applyFill="1"/>
    <xf numFmtId="0" fontId="0" fillId="38" borderId="15" xfId="0" applyFill="1" applyBorder="1" applyProtection="1">
      <protection locked="0"/>
    </xf>
    <xf numFmtId="0" fontId="0" fillId="38" borderId="15" xfId="0" applyFill="1" applyBorder="1"/>
    <xf numFmtId="2" fontId="0" fillId="38" borderId="15" xfId="0" applyNumberFormat="1" applyFill="1" applyBorder="1"/>
    <xf numFmtId="2" fontId="0" fillId="38" borderId="15" xfId="25" applyNumberFormat="1" applyFont="1" applyFill="1" applyBorder="1"/>
    <xf numFmtId="0" fontId="5" fillId="38" borderId="15" xfId="0" applyFont="1" applyFill="1" applyBorder="1" applyProtection="1">
      <protection locked="0"/>
    </xf>
    <xf numFmtId="0" fontId="5" fillId="38" borderId="15" xfId="0" applyFont="1" applyFill="1" applyBorder="1"/>
    <xf numFmtId="164" fontId="0" fillId="0" borderId="0" xfId="0" applyNumberFormat="1"/>
    <xf numFmtId="0" fontId="0" fillId="32" borderId="0" xfId="0" applyFill="1" applyAlignment="1">
      <alignment horizontal="right"/>
    </xf>
    <xf numFmtId="167" fontId="0" fillId="32" borderId="0" xfId="0" applyNumberFormat="1" applyFill="1" applyAlignment="1">
      <alignment horizontal="left"/>
    </xf>
    <xf numFmtId="0" fontId="0" fillId="16" borderId="0" xfId="0" applyFill="1" applyAlignment="1">
      <alignment wrapText="1"/>
    </xf>
    <xf numFmtId="9" fontId="0" fillId="16" borderId="0" xfId="25" applyFont="1" applyFill="1" applyAlignment="1">
      <alignment wrapText="1"/>
    </xf>
    <xf numFmtId="0" fontId="5" fillId="22" borderId="0" xfId="0" applyFont="1" applyFill="1"/>
    <xf numFmtId="1" fontId="5" fillId="22" borderId="0" xfId="0" applyNumberFormat="1" applyFont="1" applyFill="1"/>
    <xf numFmtId="0" fontId="0" fillId="22" borderId="0" xfId="0" applyFill="1" applyAlignment="1">
      <alignment wrapText="1"/>
    </xf>
    <xf numFmtId="0" fontId="5" fillId="22" borderId="0" xfId="0" applyFont="1" applyFill="1" applyAlignment="1">
      <alignment wrapText="1"/>
    </xf>
    <xf numFmtId="1" fontId="2" fillId="29" borderId="0" xfId="262" applyNumberFormat="1">
      <protection locked="0"/>
    </xf>
    <xf numFmtId="166" fontId="0" fillId="0" borderId="0" xfId="0" applyNumberFormat="1" applyProtection="1">
      <protection locked="0"/>
    </xf>
    <xf numFmtId="1" fontId="0" fillId="9" borderId="0" xfId="0" applyNumberFormat="1" applyFill="1"/>
    <xf numFmtId="0" fontId="5" fillId="22" borderId="0" xfId="0" applyFont="1" applyFill="1" applyAlignment="1">
      <alignment horizontal="center" wrapText="1"/>
    </xf>
    <xf numFmtId="0" fontId="5" fillId="28" borderId="0" xfId="0" applyFont="1" applyFill="1"/>
    <xf numFmtId="9" fontId="5" fillId="28" borderId="0" xfId="25" applyFont="1" applyFill="1"/>
    <xf numFmtId="0" fontId="0" fillId="39" borderId="0" xfId="0" applyFill="1"/>
    <xf numFmtId="0" fontId="71" fillId="0" borderId="0" xfId="0" applyFont="1"/>
    <xf numFmtId="0" fontId="5" fillId="39" borderId="0" xfId="0" applyFont="1" applyFill="1"/>
    <xf numFmtId="0" fontId="5" fillId="32" borderId="0" xfId="0" applyFont="1" applyFill="1"/>
    <xf numFmtId="166" fontId="36" fillId="0" borderId="0" xfId="0" applyNumberFormat="1" applyFont="1"/>
    <xf numFmtId="168" fontId="0" fillId="32" borderId="0" xfId="25" applyNumberFormat="1" applyFont="1" applyFill="1"/>
    <xf numFmtId="166" fontId="0" fillId="39" borderId="0" xfId="0" applyNumberFormat="1" applyFill="1"/>
    <xf numFmtId="1" fontId="0" fillId="32" borderId="0" xfId="0" applyNumberFormat="1" applyFill="1"/>
    <xf numFmtId="1" fontId="0" fillId="32" borderId="0" xfId="25" applyNumberFormat="1" applyFont="1" applyFill="1"/>
    <xf numFmtId="0" fontId="0" fillId="14" borderId="0" xfId="0" applyFill="1"/>
    <xf numFmtId="0" fontId="5" fillId="12" borderId="0" xfId="0" applyFont="1" applyFill="1"/>
    <xf numFmtId="0" fontId="66" fillId="41" borderId="15" xfId="0" applyFont="1" applyFill="1" applyBorder="1" applyAlignment="1">
      <alignment horizontal="center" vertical="center" wrapText="1"/>
    </xf>
    <xf numFmtId="0" fontId="66" fillId="41" borderId="15" xfId="0" applyFont="1" applyFill="1" applyBorder="1" applyAlignment="1">
      <alignment horizontal="right" vertical="center" wrapText="1"/>
    </xf>
    <xf numFmtId="179" fontId="66" fillId="0" borderId="15" xfId="0" applyNumberFormat="1" applyFont="1" applyBorder="1" applyAlignment="1">
      <alignment horizontal="center" vertical="center"/>
    </xf>
    <xf numFmtId="0" fontId="40" fillId="0" borderId="0" xfId="0" applyFont="1"/>
    <xf numFmtId="179" fontId="40" fillId="0" borderId="15" xfId="0" applyNumberFormat="1" applyFont="1" applyBorder="1" applyAlignment="1">
      <alignment horizontal="center" vertical="center"/>
    </xf>
    <xf numFmtId="3" fontId="0" fillId="0" borderId="0" xfId="0" applyNumberFormat="1" applyAlignment="1">
      <alignment vertical="center" wrapText="1"/>
    </xf>
    <xf numFmtId="0" fontId="5" fillId="0" borderId="0" xfId="0" applyFont="1" applyAlignment="1">
      <alignment horizontal="center" vertical="center" wrapText="1"/>
    </xf>
    <xf numFmtId="4" fontId="0" fillId="0" borderId="0" xfId="0" applyNumberFormat="1"/>
    <xf numFmtId="0" fontId="73" fillId="22" borderId="0" xfId="0" applyFont="1" applyFill="1"/>
    <xf numFmtId="0" fontId="75" fillId="22" borderId="0" xfId="0" applyFont="1" applyFill="1"/>
    <xf numFmtId="2" fontId="60" fillId="9" borderId="31" xfId="5" applyNumberFormat="1" applyFont="1" applyFill="1" applyBorder="1"/>
    <xf numFmtId="0" fontId="8" fillId="9" borderId="27" xfId="0" applyFont="1" applyFill="1" applyBorder="1"/>
    <xf numFmtId="0" fontId="8" fillId="9" borderId="28" xfId="0" applyFont="1" applyFill="1" applyBorder="1"/>
    <xf numFmtId="2" fontId="8" fillId="9" borderId="26" xfId="0" applyNumberFormat="1" applyFont="1" applyFill="1" applyBorder="1"/>
    <xf numFmtId="0" fontId="8" fillId="9" borderId="0" xfId="0" applyFont="1" applyFill="1"/>
    <xf numFmtId="0" fontId="8" fillId="9" borderId="25" xfId="0" applyFont="1" applyFill="1" applyBorder="1"/>
    <xf numFmtId="2" fontId="60" fillId="9" borderId="33" xfId="5" applyNumberFormat="1" applyFont="1" applyFill="1" applyBorder="1"/>
    <xf numFmtId="9" fontId="61" fillId="9" borderId="30" xfId="17" applyNumberFormat="1" applyFont="1" applyFill="1"/>
    <xf numFmtId="0" fontId="60" fillId="9" borderId="30" xfId="5" applyFont="1" applyFill="1"/>
    <xf numFmtId="0" fontId="8" fillId="33" borderId="0" xfId="0" applyFont="1" applyFill="1"/>
    <xf numFmtId="1" fontId="6" fillId="18" borderId="0" xfId="25" applyNumberFormat="1" applyFont="1" applyFill="1"/>
    <xf numFmtId="1" fontId="6" fillId="42" borderId="0" xfId="0" applyNumberFormat="1" applyFont="1" applyFill="1"/>
    <xf numFmtId="0" fontId="0" fillId="32" borderId="17" xfId="0" applyFill="1" applyBorder="1"/>
    <xf numFmtId="0" fontId="0" fillId="32" borderId="2" xfId="0" applyFill="1" applyBorder="1"/>
    <xf numFmtId="0" fontId="0" fillId="32" borderId="4" xfId="0" applyFill="1" applyBorder="1"/>
    <xf numFmtId="168" fontId="0" fillId="38" borderId="0" xfId="25" applyNumberFormat="1" applyFont="1" applyFill="1"/>
    <xf numFmtId="166" fontId="0" fillId="38" borderId="0" xfId="0" applyNumberFormat="1" applyFill="1"/>
    <xf numFmtId="1" fontId="0" fillId="38" borderId="0" xfId="0" applyNumberFormat="1" applyFill="1"/>
    <xf numFmtId="166" fontId="5" fillId="38" borderId="0" xfId="0" applyNumberFormat="1" applyFont="1" applyFill="1"/>
    <xf numFmtId="1" fontId="5" fillId="38" borderId="0" xfId="0" applyNumberFormat="1" applyFont="1" applyFill="1"/>
    <xf numFmtId="1" fontId="36" fillId="38" borderId="0" xfId="0" applyNumberFormat="1" applyFont="1" applyFill="1"/>
    <xf numFmtId="9" fontId="0" fillId="32" borderId="0" xfId="25" applyFont="1" applyFill="1"/>
    <xf numFmtId="9" fontId="1" fillId="32" borderId="0" xfId="25" applyFont="1" applyFill="1"/>
    <xf numFmtId="10" fontId="0" fillId="32" borderId="0" xfId="25" applyNumberFormat="1" applyFont="1" applyFill="1"/>
    <xf numFmtId="0" fontId="5" fillId="38" borderId="0" xfId="0" applyFont="1" applyFill="1"/>
    <xf numFmtId="168" fontId="0" fillId="32" borderId="0" xfId="0" applyNumberFormat="1" applyFill="1"/>
    <xf numFmtId="0" fontId="8" fillId="33" borderId="0" xfId="21" applyFont="1" applyFill="1"/>
    <xf numFmtId="0" fontId="7" fillId="3" borderId="0" xfId="0" applyFont="1" applyFill="1" applyAlignment="1">
      <alignment horizontal="center" wrapText="1"/>
    </xf>
    <xf numFmtId="0" fontId="51" fillId="0" borderId="0" xfId="0" applyFont="1"/>
    <xf numFmtId="167" fontId="0" fillId="39" borderId="0" xfId="0" applyNumberFormat="1" applyFill="1"/>
    <xf numFmtId="167" fontId="0" fillId="39" borderId="0" xfId="25" applyNumberFormat="1" applyFont="1" applyFill="1"/>
    <xf numFmtId="0" fontId="6" fillId="18" borderId="0" xfId="0" applyFont="1" applyFill="1"/>
    <xf numFmtId="9" fontId="0" fillId="39" borderId="0" xfId="25" applyFont="1" applyFill="1"/>
    <xf numFmtId="10" fontId="0" fillId="39" borderId="0" xfId="25" applyNumberFormat="1" applyFont="1" applyFill="1"/>
    <xf numFmtId="0" fontId="5" fillId="21" borderId="0" xfId="0" applyFont="1" applyFill="1"/>
    <xf numFmtId="167" fontId="0" fillId="18" borderId="0" xfId="0" applyNumberFormat="1" applyFill="1"/>
    <xf numFmtId="0" fontId="0" fillId="43" borderId="0" xfId="0" applyFill="1"/>
    <xf numFmtId="2" fontId="6" fillId="18" borderId="0" xfId="0" applyNumberFormat="1" applyFont="1" applyFill="1"/>
    <xf numFmtId="168" fontId="0" fillId="0" borderId="0" xfId="28" applyNumberFormat="1" applyFont="1"/>
    <xf numFmtId="0" fontId="76" fillId="0" borderId="0" xfId="0" applyFont="1"/>
    <xf numFmtId="0" fontId="39" fillId="32" borderId="0" xfId="0" applyFont="1" applyFill="1"/>
    <xf numFmtId="0" fontId="77" fillId="0" borderId="0" xfId="0" applyFont="1"/>
    <xf numFmtId="168" fontId="0" fillId="0" borderId="15" xfId="25" applyNumberFormat="1" applyFont="1" applyBorder="1"/>
    <xf numFmtId="0" fontId="39" fillId="12" borderId="0" xfId="0" applyFont="1" applyFill="1"/>
    <xf numFmtId="0" fontId="78" fillId="0" borderId="0" xfId="0" applyFont="1"/>
    <xf numFmtId="168" fontId="0" fillId="0" borderId="15" xfId="0" applyNumberFormat="1" applyBorder="1"/>
    <xf numFmtId="0" fontId="0" fillId="0" borderId="0" xfId="0" applyAlignment="1">
      <alignment horizontal="right"/>
    </xf>
    <xf numFmtId="9" fontId="8" fillId="26" borderId="15" xfId="25" applyFont="1" applyFill="1" applyBorder="1" applyAlignment="1">
      <alignment horizontal="center"/>
    </xf>
    <xf numFmtId="0" fontId="8" fillId="26" borderId="15" xfId="0" applyFont="1" applyFill="1" applyBorder="1" applyAlignment="1">
      <alignment horizontal="center"/>
    </xf>
    <xf numFmtId="0" fontId="0" fillId="26" borderId="15" xfId="0" applyFill="1" applyBorder="1"/>
    <xf numFmtId="0" fontId="0" fillId="24" borderId="15" xfId="0" applyFill="1" applyBorder="1"/>
    <xf numFmtId="166" fontId="8" fillId="24" borderId="15" xfId="0" applyNumberFormat="1" applyFont="1" applyFill="1" applyBorder="1"/>
    <xf numFmtId="166" fontId="62" fillId="24" borderId="15" xfId="0" applyNumberFormat="1" applyFont="1" applyFill="1" applyBorder="1"/>
    <xf numFmtId="167" fontId="8" fillId="24" borderId="15" xfId="0" applyNumberFormat="1" applyFont="1" applyFill="1" applyBorder="1"/>
    <xf numFmtId="0" fontId="7" fillId="33" borderId="15" xfId="0" applyFont="1" applyFill="1" applyBorder="1" applyAlignment="1">
      <alignment horizontal="right"/>
    </xf>
    <xf numFmtId="167" fontId="8" fillId="24" borderId="0" xfId="0" applyNumberFormat="1" applyFont="1" applyFill="1"/>
    <xf numFmtId="166" fontId="62" fillId="24" borderId="0" xfId="0" applyNumberFormat="1" applyFont="1" applyFill="1"/>
    <xf numFmtId="166" fontId="8" fillId="24" borderId="0" xfId="0" applyNumberFormat="1" applyFont="1" applyFill="1"/>
    <xf numFmtId="164" fontId="54" fillId="0" borderId="0" xfId="32" applyNumberFormat="1"/>
    <xf numFmtId="9" fontId="54" fillId="0" borderId="0" xfId="25" applyFont="1"/>
    <xf numFmtId="9" fontId="54" fillId="0" borderId="0" xfId="32" applyNumberFormat="1"/>
    <xf numFmtId="1" fontId="54" fillId="0" borderId="0" xfId="32" applyNumberFormat="1"/>
    <xf numFmtId="0" fontId="56" fillId="0" borderId="0" xfId="32" applyFont="1"/>
    <xf numFmtId="0" fontId="2" fillId="22" borderId="8" xfId="32" applyFont="1" applyFill="1" applyBorder="1" applyAlignment="1" applyProtection="1">
      <alignment horizontal="center" vertical="top"/>
      <protection locked="0"/>
    </xf>
    <xf numFmtId="0" fontId="2" fillId="22" borderId="10" xfId="32" applyFont="1" applyFill="1" applyBorder="1" applyAlignment="1" applyProtection="1">
      <alignment horizontal="center" vertical="top"/>
      <protection locked="0"/>
    </xf>
    <xf numFmtId="0" fontId="2" fillId="22" borderId="5" xfId="32" applyFont="1" applyFill="1" applyBorder="1" applyAlignment="1" applyProtection="1">
      <alignment horizontal="center" vertical="top"/>
      <protection locked="0"/>
    </xf>
    <xf numFmtId="0" fontId="5" fillId="26" borderId="15" xfId="0" applyFont="1" applyFill="1" applyBorder="1" applyProtection="1">
      <protection locked="0"/>
    </xf>
    <xf numFmtId="0" fontId="56" fillId="44" borderId="14" xfId="32" applyFont="1" applyFill="1" applyBorder="1"/>
    <xf numFmtId="0" fontId="80" fillId="0" borderId="0" xfId="32" applyFont="1"/>
    <xf numFmtId="180" fontId="54" fillId="0" borderId="0" xfId="32" applyNumberFormat="1"/>
    <xf numFmtId="182" fontId="54" fillId="0" borderId="0" xfId="32" applyNumberFormat="1"/>
    <xf numFmtId="0" fontId="2" fillId="13" borderId="0" xfId="32" applyFont="1" applyFill="1"/>
    <xf numFmtId="182" fontId="54" fillId="45" borderId="0" xfId="32" applyNumberFormat="1" applyFill="1"/>
    <xf numFmtId="9" fontId="81" fillId="0" borderId="0" xfId="25" applyFont="1"/>
    <xf numFmtId="0" fontId="54" fillId="0" borderId="0" xfId="32" applyAlignment="1">
      <alignment wrapText="1"/>
    </xf>
    <xf numFmtId="0" fontId="56" fillId="44" borderId="14" xfId="32" applyFont="1" applyFill="1" applyBorder="1" applyAlignment="1">
      <alignment wrapText="1"/>
    </xf>
    <xf numFmtId="0" fontId="5" fillId="26" borderId="0" xfId="0" applyFont="1" applyFill="1" applyAlignment="1" applyProtection="1">
      <alignment wrapText="1"/>
      <protection locked="0"/>
    </xf>
    <xf numFmtId="0" fontId="2" fillId="0" borderId="0" xfId="0" applyFont="1" applyAlignment="1">
      <alignment wrapText="1"/>
    </xf>
    <xf numFmtId="0" fontId="56" fillId="0" borderId="29" xfId="32" applyFont="1" applyBorder="1"/>
    <xf numFmtId="9" fontId="54" fillId="0" borderId="0" xfId="25" applyFont="1" applyFill="1"/>
    <xf numFmtId="181" fontId="54" fillId="0" borderId="0" xfId="32" applyNumberFormat="1"/>
    <xf numFmtId="1" fontId="54" fillId="0" borderId="9" xfId="32" applyNumberFormat="1" applyBorder="1" applyAlignment="1" applyProtection="1">
      <alignment vertical="top" wrapText="1"/>
      <protection locked="0"/>
    </xf>
    <xf numFmtId="0" fontId="2" fillId="13" borderId="2" xfId="32" applyFont="1" applyFill="1" applyBorder="1" applyAlignment="1" applyProtection="1">
      <alignment vertical="top" wrapText="1"/>
      <protection locked="0"/>
    </xf>
    <xf numFmtId="0" fontId="2" fillId="0" borderId="1" xfId="32" applyFont="1" applyBorder="1" applyAlignment="1" applyProtection="1">
      <alignment vertical="top" wrapText="1"/>
      <protection locked="0"/>
    </xf>
    <xf numFmtId="0" fontId="2" fillId="0" borderId="4" xfId="32" applyFont="1" applyBorder="1" applyAlignment="1" applyProtection="1">
      <alignment vertical="top" wrapText="1"/>
      <protection locked="0"/>
    </xf>
    <xf numFmtId="10" fontId="81" fillId="0" borderId="0" xfId="25" applyNumberFormat="1" applyFont="1"/>
    <xf numFmtId="168" fontId="54" fillId="0" borderId="0" xfId="25" applyNumberFormat="1" applyFont="1"/>
    <xf numFmtId="0" fontId="2" fillId="22" borderId="15" xfId="0" applyFont="1" applyFill="1" applyBorder="1" applyProtection="1">
      <protection locked="0"/>
    </xf>
    <xf numFmtId="179" fontId="0" fillId="0" borderId="0" xfId="0" applyNumberFormat="1"/>
    <xf numFmtId="2" fontId="41" fillId="0" borderId="0" xfId="4" applyNumberFormat="1" applyFont="1" applyFill="1" applyBorder="1" applyAlignment="1">
      <alignment horizontal="center"/>
    </xf>
    <xf numFmtId="9" fontId="57" fillId="0" borderId="0" xfId="25" applyFont="1" applyBorder="1" applyAlignment="1">
      <alignment horizontal="center"/>
    </xf>
    <xf numFmtId="0" fontId="38" fillId="3" borderId="0" xfId="0" applyFont="1" applyFill="1" applyAlignment="1">
      <alignment horizontal="center" wrapText="1"/>
    </xf>
    <xf numFmtId="2" fontId="7" fillId="3" borderId="26" xfId="0" applyNumberFormat="1" applyFont="1" applyFill="1" applyBorder="1" applyAlignment="1">
      <alignment horizontal="center" wrapText="1"/>
    </xf>
    <xf numFmtId="183" fontId="0" fillId="0" borderId="0" xfId="25" applyNumberFormat="1" applyFont="1"/>
    <xf numFmtId="0" fontId="5" fillId="18" borderId="0" xfId="0" applyFont="1" applyFill="1"/>
    <xf numFmtId="10" fontId="8" fillId="9" borderId="0" xfId="0" applyNumberFormat="1" applyFont="1" applyFill="1"/>
    <xf numFmtId="168" fontId="0" fillId="0" borderId="0" xfId="0" applyNumberFormat="1"/>
    <xf numFmtId="184" fontId="0" fillId="0" borderId="0" xfId="0" applyNumberFormat="1"/>
    <xf numFmtId="1" fontId="56" fillId="9" borderId="0" xfId="25" applyNumberFormat="1" applyFont="1" applyFill="1"/>
    <xf numFmtId="1" fontId="54" fillId="0" borderId="0" xfId="32" applyNumberFormat="1" applyAlignment="1">
      <alignment wrapText="1"/>
    </xf>
    <xf numFmtId="168" fontId="54" fillId="0" borderId="0" xfId="32" applyNumberFormat="1"/>
    <xf numFmtId="184" fontId="54" fillId="0" borderId="0" xfId="25" applyNumberFormat="1" applyFont="1"/>
    <xf numFmtId="10" fontId="8" fillId="9" borderId="26" xfId="25" applyNumberFormat="1" applyFont="1" applyFill="1" applyBorder="1"/>
    <xf numFmtId="168" fontId="8" fillId="9" borderId="0" xfId="25" applyNumberFormat="1" applyFont="1" applyFill="1" applyBorder="1"/>
    <xf numFmtId="166" fontId="8" fillId="24" borderId="26" xfId="0" applyNumberFormat="1" applyFont="1" applyFill="1" applyBorder="1"/>
    <xf numFmtId="166" fontId="8" fillId="24" borderId="22" xfId="0" applyNumberFormat="1" applyFont="1" applyFill="1" applyBorder="1"/>
    <xf numFmtId="0" fontId="56" fillId="0" borderId="0" xfId="32" applyFont="1" applyAlignment="1">
      <alignment wrapText="1"/>
    </xf>
    <xf numFmtId="166" fontId="5" fillId="24" borderId="0" xfId="0" applyNumberFormat="1" applyFont="1" applyFill="1"/>
    <xf numFmtId="166" fontId="2" fillId="24" borderId="0" xfId="0" applyNumberFormat="1" applyFont="1" applyFill="1"/>
    <xf numFmtId="0" fontId="38" fillId="0" borderId="0" xfId="0" applyFont="1"/>
    <xf numFmtId="0" fontId="82" fillId="46" borderId="39" xfId="0" applyFont="1" applyFill="1" applyBorder="1"/>
    <xf numFmtId="0" fontId="83" fillId="46" borderId="39" xfId="0" applyFont="1" applyFill="1" applyBorder="1" applyAlignment="1">
      <alignment horizontal="center" vertical="center"/>
    </xf>
    <xf numFmtId="0" fontId="83" fillId="0" borderId="39" xfId="0" applyFont="1" applyBorder="1" applyAlignment="1">
      <alignment vertical="center"/>
    </xf>
    <xf numFmtId="0" fontId="82" fillId="0" borderId="39" xfId="0" applyFont="1" applyBorder="1"/>
    <xf numFmtId="0" fontId="42" fillId="0" borderId="0" xfId="0" applyFont="1" applyAlignment="1">
      <alignment horizontal="left" vertical="center" indent="1"/>
    </xf>
    <xf numFmtId="0" fontId="42" fillId="0" borderId="0" xfId="0" applyFont="1" applyAlignment="1">
      <alignment horizontal="center" vertical="center"/>
    </xf>
    <xf numFmtId="0" fontId="83" fillId="0" borderId="40" xfId="0" applyFont="1" applyBorder="1" applyAlignment="1">
      <alignment vertical="center"/>
    </xf>
    <xf numFmtId="0" fontId="82" fillId="0" borderId="40" xfId="0" applyFont="1" applyBorder="1"/>
    <xf numFmtId="0" fontId="2" fillId="25" borderId="15" xfId="0" applyFont="1" applyFill="1" applyBorder="1"/>
    <xf numFmtId="0" fontId="54" fillId="32" borderId="0" xfId="32" applyFill="1"/>
    <xf numFmtId="0" fontId="54" fillId="12" borderId="0" xfId="32" applyFill="1"/>
    <xf numFmtId="9" fontId="54" fillId="12" borderId="0" xfId="25" applyFont="1" applyFill="1"/>
    <xf numFmtId="9" fontId="54" fillId="12" borderId="0" xfId="32" applyNumberFormat="1" applyFill="1"/>
    <xf numFmtId="0" fontId="54" fillId="18" borderId="0" xfId="32" applyFill="1"/>
    <xf numFmtId="9" fontId="54" fillId="18" borderId="0" xfId="25" applyFont="1" applyFill="1"/>
    <xf numFmtId="0" fontId="80" fillId="38" borderId="7" xfId="32" applyFont="1" applyFill="1" applyBorder="1" applyAlignment="1">
      <alignment wrapText="1"/>
    </xf>
    <xf numFmtId="0" fontId="54" fillId="38" borderId="7" xfId="32" applyFill="1" applyBorder="1"/>
    <xf numFmtId="164" fontId="54" fillId="38" borderId="7" xfId="32" applyNumberFormat="1" applyFill="1" applyBorder="1"/>
    <xf numFmtId="0" fontId="80" fillId="47" borderId="0" xfId="32" applyFont="1" applyFill="1"/>
    <xf numFmtId="0" fontId="54" fillId="47" borderId="0" xfId="32" applyFill="1"/>
    <xf numFmtId="164" fontId="54" fillId="47" borderId="0" xfId="32" applyNumberFormat="1" applyFill="1"/>
    <xf numFmtId="0" fontId="80" fillId="38" borderId="3" xfId="32" applyFont="1" applyFill="1" applyBorder="1"/>
    <xf numFmtId="0" fontId="54" fillId="38" borderId="3" xfId="32" applyFill="1" applyBorder="1"/>
    <xf numFmtId="164" fontId="54" fillId="38" borderId="3" xfId="32" applyNumberFormat="1" applyFill="1" applyBorder="1"/>
    <xf numFmtId="0" fontId="54" fillId="38" borderId="6" xfId="32" applyFill="1" applyBorder="1" applyAlignment="1">
      <alignment horizontal="right" wrapText="1"/>
    </xf>
    <xf numFmtId="0" fontId="54" fillId="47" borderId="9" xfId="32" applyFill="1" applyBorder="1" applyAlignment="1">
      <alignment horizontal="right" wrapText="1"/>
    </xf>
    <xf numFmtId="0" fontId="54" fillId="38" borderId="11" xfId="32" applyFill="1" applyBorder="1" applyAlignment="1">
      <alignment horizontal="right" wrapText="1"/>
    </xf>
    <xf numFmtId="0" fontId="54" fillId="12" borderId="0" xfId="32" applyFill="1" applyAlignment="1">
      <alignment horizontal="right" wrapText="1"/>
    </xf>
    <xf numFmtId="0" fontId="54" fillId="18" borderId="0" xfId="32" applyFill="1" applyAlignment="1">
      <alignment horizontal="right" wrapText="1"/>
    </xf>
    <xf numFmtId="0" fontId="86" fillId="32" borderId="0" xfId="32" applyFont="1" applyFill="1"/>
    <xf numFmtId="0" fontId="54" fillId="37" borderId="0" xfId="32" applyFill="1" applyAlignment="1">
      <alignment horizontal="right"/>
    </xf>
    <xf numFmtId="0" fontId="54" fillId="37" borderId="0" xfId="32" applyFill="1"/>
    <xf numFmtId="9" fontId="54" fillId="37" borderId="0" xfId="25" applyFont="1" applyFill="1"/>
    <xf numFmtId="1" fontId="54" fillId="37" borderId="7" xfId="32" applyNumberFormat="1" applyFill="1" applyBorder="1"/>
    <xf numFmtId="1" fontId="54" fillId="37" borderId="0" xfId="32" applyNumberFormat="1" applyFill="1"/>
    <xf numFmtId="1" fontId="54" fillId="37" borderId="3" xfId="32" applyNumberFormat="1" applyFill="1" applyBorder="1"/>
    <xf numFmtId="1" fontId="54" fillId="14" borderId="0" xfId="32" applyNumberFormat="1" applyFill="1"/>
    <xf numFmtId="0" fontId="54" fillId="14" borderId="0" xfId="32" applyFill="1"/>
    <xf numFmtId="0" fontId="80" fillId="14" borderId="0" xfId="32" applyFont="1" applyFill="1"/>
    <xf numFmtId="9" fontId="54" fillId="14" borderId="0" xfId="25" applyFont="1" applyFill="1"/>
    <xf numFmtId="0" fontId="86" fillId="0" borderId="0" xfId="32" applyFont="1"/>
    <xf numFmtId="0" fontId="89" fillId="32" borderId="0" xfId="32" applyFont="1" applyFill="1"/>
    <xf numFmtId="0" fontId="89" fillId="0" borderId="0" xfId="32" applyFont="1"/>
    <xf numFmtId="0" fontId="5" fillId="0" borderId="0" xfId="0" applyFont="1" applyAlignment="1">
      <alignment wrapText="1"/>
    </xf>
    <xf numFmtId="0" fontId="5" fillId="18" borderId="0" xfId="0" applyFont="1" applyFill="1" applyAlignment="1">
      <alignment horizontal="center" wrapText="1"/>
    </xf>
    <xf numFmtId="166" fontId="0" fillId="44" borderId="0" xfId="0" applyNumberFormat="1" applyFill="1"/>
    <xf numFmtId="166" fontId="5" fillId="44" borderId="0" xfId="0" applyNumberFormat="1" applyFont="1" applyFill="1"/>
    <xf numFmtId="166" fontId="5" fillId="28" borderId="0" xfId="0" applyNumberFormat="1" applyFont="1" applyFill="1"/>
    <xf numFmtId="2" fontId="90" fillId="0" borderId="0" xfId="0" applyNumberFormat="1" applyFont="1"/>
    <xf numFmtId="4" fontId="90" fillId="0" borderId="0" xfId="0" applyNumberFormat="1" applyFont="1"/>
    <xf numFmtId="166" fontId="90" fillId="0" borderId="0" xfId="0" applyNumberFormat="1" applyFont="1"/>
    <xf numFmtId="0" fontId="90" fillId="0" borderId="0" xfId="0" applyFont="1"/>
    <xf numFmtId="2" fontId="43" fillId="0" borderId="0" xfId="4" applyNumberFormat="1" applyFont="1" applyFill="1" applyAlignment="1">
      <alignment horizontal="center"/>
    </xf>
    <xf numFmtId="2" fontId="43" fillId="0" borderId="0" xfId="19" applyNumberFormat="1" applyFont="1" applyFill="1" applyAlignment="1">
      <alignment horizontal="center"/>
    </xf>
    <xf numFmtId="169" fontId="43" fillId="0" borderId="0" xfId="19" applyNumberFormat="1" applyFont="1" applyFill="1" applyAlignment="1">
      <alignment horizontal="center"/>
    </xf>
    <xf numFmtId="167" fontId="43" fillId="0" borderId="0" xfId="19" applyNumberFormat="1" applyFont="1" applyFill="1" applyAlignment="1">
      <alignment horizontal="center"/>
    </xf>
    <xf numFmtId="2" fontId="53" fillId="0" borderId="0" xfId="0" applyNumberFormat="1" applyFont="1"/>
    <xf numFmtId="2" fontId="91" fillId="0" borderId="0" xfId="0" applyNumberFormat="1" applyFont="1"/>
    <xf numFmtId="2" fontId="91" fillId="0" borderId="0" xfId="19" applyNumberFormat="1" applyFont="1" applyAlignment="1">
      <alignment horizontal="center"/>
    </xf>
    <xf numFmtId="2" fontId="92" fillId="0" borderId="0" xfId="0" applyNumberFormat="1" applyFont="1"/>
    <xf numFmtId="2" fontId="92" fillId="0" borderId="0" xfId="19" applyNumberFormat="1" applyFont="1" applyAlignment="1">
      <alignment horizontal="center"/>
    </xf>
    <xf numFmtId="2" fontId="39" fillId="0" borderId="0" xfId="19" applyNumberFormat="1" applyFont="1" applyFill="1" applyAlignment="1">
      <alignment horizontal="center"/>
    </xf>
    <xf numFmtId="0" fontId="38" fillId="0" borderId="0" xfId="0" applyFont="1" applyAlignment="1">
      <alignment horizontal="center"/>
    </xf>
    <xf numFmtId="2" fontId="2" fillId="18" borderId="0" xfId="0" applyNumberFormat="1" applyFont="1" applyFill="1"/>
    <xf numFmtId="2" fontId="39" fillId="10" borderId="0" xfId="0" applyNumberFormat="1" applyFont="1" applyFill="1"/>
    <xf numFmtId="169" fontId="54" fillId="0" borderId="0" xfId="32" applyNumberFormat="1"/>
    <xf numFmtId="0" fontId="54" fillId="48" borderId="0" xfId="32" applyFill="1"/>
    <xf numFmtId="0" fontId="80" fillId="48" borderId="0" xfId="32" applyFont="1" applyFill="1"/>
    <xf numFmtId="9" fontId="54" fillId="48" borderId="0" xfId="25" applyFont="1" applyFill="1"/>
    <xf numFmtId="2" fontId="54" fillId="0" borderId="0" xfId="32" applyNumberFormat="1" applyAlignment="1">
      <alignment wrapText="1"/>
    </xf>
    <xf numFmtId="0" fontId="54" fillId="14" borderId="3" xfId="32" applyFill="1" applyBorder="1"/>
    <xf numFmtId="2" fontId="54" fillId="0" borderId="3" xfId="32" applyNumberFormat="1" applyBorder="1" applyAlignment="1">
      <alignment wrapText="1"/>
    </xf>
    <xf numFmtId="0" fontId="54" fillId="48" borderId="3" xfId="32" applyFill="1" applyBorder="1"/>
    <xf numFmtId="0" fontId="54" fillId="14" borderId="27" xfId="32" applyFill="1" applyBorder="1"/>
    <xf numFmtId="2" fontId="54" fillId="0" borderId="27" xfId="32" applyNumberFormat="1" applyBorder="1" applyAlignment="1">
      <alignment wrapText="1"/>
    </xf>
    <xf numFmtId="0" fontId="54" fillId="48" borderId="27" xfId="32" applyFill="1" applyBorder="1"/>
    <xf numFmtId="0" fontId="93" fillId="0" borderId="0" xfId="0" applyFont="1"/>
    <xf numFmtId="0" fontId="2" fillId="31" borderId="0" xfId="0" applyFont="1" applyFill="1"/>
    <xf numFmtId="2" fontId="2" fillId="44" borderId="15" xfId="0" applyNumberFormat="1" applyFont="1" applyFill="1" applyBorder="1" applyAlignment="1">
      <alignment wrapText="1"/>
    </xf>
    <xf numFmtId="166" fontId="2" fillId="44" borderId="15" xfId="0" applyNumberFormat="1" applyFont="1" applyFill="1" applyBorder="1" applyAlignment="1">
      <alignment wrapText="1"/>
    </xf>
    <xf numFmtId="0" fontId="0" fillId="44" borderId="15" xfId="0" applyFill="1" applyBorder="1" applyAlignment="1">
      <alignment wrapText="1"/>
    </xf>
    <xf numFmtId="2" fontId="5" fillId="44" borderId="15" xfId="0" applyNumberFormat="1" applyFont="1" applyFill="1" applyBorder="1"/>
    <xf numFmtId="166" fontId="5" fillId="44" borderId="15" xfId="0" applyNumberFormat="1" applyFont="1" applyFill="1" applyBorder="1"/>
    <xf numFmtId="166" fontId="0" fillId="44" borderId="15" xfId="0" applyNumberFormat="1" applyFill="1" applyBorder="1"/>
    <xf numFmtId="0" fontId="0" fillId="44" borderId="15" xfId="0" applyFill="1" applyBorder="1"/>
    <xf numFmtId="166" fontId="2" fillId="44" borderId="15" xfId="0" applyNumberFormat="1" applyFont="1" applyFill="1" applyBorder="1"/>
    <xf numFmtId="167" fontId="2" fillId="44" borderId="15" xfId="0" applyNumberFormat="1" applyFont="1" applyFill="1" applyBorder="1"/>
    <xf numFmtId="0" fontId="2" fillId="44" borderId="15" xfId="0" applyFont="1" applyFill="1" applyBorder="1"/>
    <xf numFmtId="2" fontId="39" fillId="0" borderId="0" xfId="0" applyNumberFormat="1" applyFont="1"/>
    <xf numFmtId="166" fontId="39" fillId="44" borderId="15" xfId="0" applyNumberFormat="1" applyFont="1" applyFill="1" applyBorder="1"/>
    <xf numFmtId="0" fontId="5" fillId="3" borderId="23" xfId="0" applyFont="1" applyFill="1" applyBorder="1"/>
    <xf numFmtId="0" fontId="2" fillId="0" borderId="14" xfId="0" applyFont="1" applyBorder="1"/>
    <xf numFmtId="0" fontId="2" fillId="24" borderId="0" xfId="0" applyFont="1" applyFill="1" applyAlignment="1" applyProtection="1">
      <alignment horizontal="left"/>
      <protection locked="0"/>
    </xf>
    <xf numFmtId="0" fontId="43" fillId="24" borderId="0" xfId="0" applyFont="1" applyFill="1" applyAlignment="1" applyProtection="1">
      <alignment horizontal="left"/>
      <protection locked="0"/>
    </xf>
    <xf numFmtId="0" fontId="43" fillId="24" borderId="0" xfId="0" applyFont="1" applyFill="1" applyAlignment="1" applyProtection="1">
      <alignment horizontal="center"/>
      <protection locked="0"/>
    </xf>
    <xf numFmtId="2" fontId="43" fillId="24" borderId="0" xfId="19" applyNumberFormat="1" applyFont="1" applyFill="1" applyAlignment="1">
      <alignment horizontal="center"/>
    </xf>
    <xf numFmtId="0" fontId="43" fillId="24" borderId="0" xfId="0" applyFont="1" applyFill="1"/>
    <xf numFmtId="2" fontId="43" fillId="24" borderId="0" xfId="4" applyNumberFormat="1" applyFont="1" applyFill="1" applyAlignment="1">
      <alignment horizontal="center"/>
    </xf>
    <xf numFmtId="2" fontId="6" fillId="24" borderId="0" xfId="0" applyNumberFormat="1" applyFont="1" applyFill="1"/>
    <xf numFmtId="1" fontId="6" fillId="24" borderId="0" xfId="0" applyNumberFormat="1" applyFont="1" applyFill="1"/>
    <xf numFmtId="9" fontId="0" fillId="24" borderId="0" xfId="25" applyFont="1" applyFill="1"/>
    <xf numFmtId="168" fontId="0" fillId="24" borderId="0" xfId="25" applyNumberFormat="1" applyFont="1" applyFill="1"/>
    <xf numFmtId="0" fontId="8" fillId="24" borderId="0" xfId="0" applyFont="1" applyFill="1"/>
    <xf numFmtId="0" fontId="69" fillId="24" borderId="0" xfId="0" applyFont="1" applyFill="1" applyAlignment="1" applyProtection="1">
      <alignment horizontal="center"/>
      <protection locked="0"/>
    </xf>
    <xf numFmtId="166" fontId="43" fillId="24" borderId="0" xfId="19" applyNumberFormat="1" applyFont="1" applyFill="1" applyAlignment="1">
      <alignment horizontal="center"/>
    </xf>
    <xf numFmtId="0" fontId="2" fillId="25" borderId="0" xfId="0" applyFont="1" applyFill="1" applyAlignment="1" applyProtection="1">
      <alignment horizontal="left"/>
      <protection locked="0"/>
    </xf>
    <xf numFmtId="0" fontId="43" fillId="25" borderId="0" xfId="0" applyFont="1" applyFill="1" applyAlignment="1" applyProtection="1">
      <alignment horizontal="left"/>
      <protection locked="0"/>
    </xf>
    <xf numFmtId="0" fontId="43" fillId="25" borderId="0" xfId="0" applyFont="1" applyFill="1"/>
    <xf numFmtId="0" fontId="44" fillId="25" borderId="0" xfId="0" applyFont="1" applyFill="1" applyAlignment="1">
      <alignment horizontal="center" wrapText="1"/>
    </xf>
    <xf numFmtId="9" fontId="5" fillId="25" borderId="0" xfId="28" applyFont="1" applyFill="1" applyAlignment="1">
      <alignment horizontal="center" wrapText="1"/>
    </xf>
    <xf numFmtId="0" fontId="5" fillId="25" borderId="0" xfId="0" applyFont="1" applyFill="1" applyAlignment="1">
      <alignment horizontal="center" wrapText="1"/>
    </xf>
    <xf numFmtId="2" fontId="13" fillId="25" borderId="0" xfId="0" applyNumberFormat="1" applyFont="1" applyFill="1"/>
    <xf numFmtId="0" fontId="13" fillId="25" borderId="0" xfId="0" applyFont="1" applyFill="1"/>
    <xf numFmtId="0" fontId="6" fillId="25" borderId="0" xfId="0" applyFont="1" applyFill="1"/>
    <xf numFmtId="0" fontId="8" fillId="25" borderId="0" xfId="0" applyFont="1" applyFill="1"/>
    <xf numFmtId="0" fontId="43" fillId="25" borderId="0" xfId="0" applyFont="1" applyFill="1" applyAlignment="1" applyProtection="1">
      <alignment horizontal="center"/>
      <protection locked="0"/>
    </xf>
    <xf numFmtId="0" fontId="69" fillId="25" borderId="0" xfId="0" applyFont="1" applyFill="1" applyAlignment="1" applyProtection="1">
      <alignment horizontal="center"/>
      <protection locked="0"/>
    </xf>
    <xf numFmtId="2" fontId="43" fillId="25" borderId="0" xfId="19" applyNumberFormat="1" applyFont="1" applyFill="1" applyAlignment="1">
      <alignment horizontal="center"/>
    </xf>
    <xf numFmtId="166" fontId="43" fillId="25" borderId="0" xfId="19" applyNumberFormat="1" applyFont="1" applyFill="1" applyAlignment="1">
      <alignment horizontal="center"/>
    </xf>
    <xf numFmtId="2" fontId="43" fillId="25" borderId="0" xfId="4" applyNumberFormat="1" applyFont="1" applyFill="1" applyAlignment="1">
      <alignment horizontal="center"/>
    </xf>
    <xf numFmtId="2" fontId="6" fillId="25" borderId="0" xfId="0" applyNumberFormat="1" applyFont="1" applyFill="1"/>
    <xf numFmtId="1" fontId="6" fillId="25" borderId="0" xfId="0" applyNumberFormat="1" applyFont="1" applyFill="1"/>
    <xf numFmtId="9" fontId="0" fillId="25" borderId="0" xfId="25" applyFont="1" applyFill="1"/>
    <xf numFmtId="0" fontId="0" fillId="25" borderId="0" xfId="0" applyFill="1" applyAlignment="1" applyProtection="1">
      <alignment horizontal="left"/>
      <protection locked="0"/>
    </xf>
    <xf numFmtId="0" fontId="0" fillId="0" borderId="0" xfId="0" applyAlignment="1" applyProtection="1">
      <alignment horizontal="left"/>
      <protection locked="0"/>
    </xf>
    <xf numFmtId="2" fontId="46" fillId="0" borderId="0" xfId="19" applyNumberFormat="1" applyFont="1" applyFill="1" applyAlignment="1">
      <alignment horizontal="center"/>
    </xf>
    <xf numFmtId="166" fontId="46" fillId="0" borderId="0" xfId="19" applyNumberFormat="1" applyFont="1" applyFill="1" applyAlignment="1">
      <alignment horizontal="center"/>
    </xf>
    <xf numFmtId="0" fontId="0" fillId="49" borderId="0" xfId="0" applyFill="1" applyAlignment="1" applyProtection="1">
      <alignment horizontal="left"/>
      <protection locked="0"/>
    </xf>
    <xf numFmtId="0" fontId="43" fillId="49" borderId="0" xfId="0" applyFont="1" applyFill="1" applyAlignment="1" applyProtection="1">
      <alignment horizontal="left"/>
      <protection locked="0"/>
    </xf>
    <xf numFmtId="0" fontId="43" fillId="49" borderId="0" xfId="0" applyFont="1" applyFill="1" applyAlignment="1" applyProtection="1">
      <alignment horizontal="center"/>
      <protection locked="0"/>
    </xf>
    <xf numFmtId="2" fontId="43" fillId="49" borderId="0" xfId="19" applyNumberFormat="1" applyFont="1" applyFill="1" applyAlignment="1">
      <alignment horizontal="center"/>
    </xf>
    <xf numFmtId="0" fontId="43" fillId="49" borderId="0" xfId="0" applyFont="1" applyFill="1"/>
    <xf numFmtId="2" fontId="43" fillId="49" borderId="0" xfId="4" applyNumberFormat="1" applyFont="1" applyFill="1" applyAlignment="1">
      <alignment horizontal="center"/>
    </xf>
    <xf numFmtId="0" fontId="13" fillId="49" borderId="0" xfId="0" applyFont="1" applyFill="1"/>
    <xf numFmtId="2" fontId="6" fillId="49" borderId="0" xfId="0" applyNumberFormat="1" applyFont="1" applyFill="1"/>
    <xf numFmtId="1" fontId="6" fillId="49" borderId="0" xfId="0" applyNumberFormat="1" applyFont="1" applyFill="1"/>
    <xf numFmtId="9" fontId="0" fillId="49" borderId="0" xfId="25" applyFont="1" applyFill="1"/>
    <xf numFmtId="0" fontId="0" fillId="49" borderId="0" xfId="0" applyFill="1"/>
    <xf numFmtId="0" fontId="8" fillId="49" borderId="0" xfId="0" applyFont="1" applyFill="1"/>
    <xf numFmtId="0" fontId="2" fillId="49" borderId="0" xfId="0" applyFont="1" applyFill="1" applyAlignment="1" applyProtection="1">
      <alignment horizontal="left"/>
      <protection locked="0"/>
    </xf>
    <xf numFmtId="2" fontId="2" fillId="49" borderId="0" xfId="0" applyNumberFormat="1" applyFont="1" applyFill="1"/>
    <xf numFmtId="169" fontId="43" fillId="24" borderId="0" xfId="4" applyNumberFormat="1" applyFont="1" applyFill="1" applyAlignment="1">
      <alignment horizontal="center"/>
    </xf>
    <xf numFmtId="0" fontId="0" fillId="24" borderId="0" xfId="0" applyFill="1" applyAlignment="1" applyProtection="1">
      <alignment horizontal="left"/>
      <protection locked="0"/>
    </xf>
    <xf numFmtId="0" fontId="5" fillId="3" borderId="0" xfId="0" applyFont="1" applyFill="1"/>
    <xf numFmtId="167" fontId="46" fillId="0" borderId="0" xfId="19" applyNumberFormat="1" applyFont="1" applyFill="1" applyAlignment="1">
      <alignment horizontal="center"/>
    </xf>
    <xf numFmtId="167" fontId="43" fillId="24" borderId="0" xfId="19" applyNumberFormat="1" applyFont="1" applyFill="1" applyAlignment="1">
      <alignment horizontal="center"/>
    </xf>
    <xf numFmtId="167" fontId="43" fillId="25" borderId="0" xfId="19" applyNumberFormat="1" applyFont="1" applyFill="1" applyAlignment="1">
      <alignment horizontal="center"/>
    </xf>
    <xf numFmtId="167" fontId="43" fillId="49" borderId="0" xfId="19" applyNumberFormat="1" applyFont="1" applyFill="1" applyAlignment="1">
      <alignment horizontal="center"/>
    </xf>
    <xf numFmtId="0" fontId="8" fillId="0" borderId="0" xfId="21" applyFont="1"/>
    <xf numFmtId="0" fontId="94" fillId="0" borderId="0" xfId="21" applyFont="1"/>
    <xf numFmtId="0" fontId="45" fillId="0" borderId="0" xfId="21" applyFont="1" applyAlignment="1">
      <alignment horizontal="center" wrapText="1"/>
    </xf>
    <xf numFmtId="0" fontId="45" fillId="0" borderId="0" xfId="21" applyFont="1"/>
    <xf numFmtId="2" fontId="8" fillId="0" borderId="0" xfId="21" applyNumberFormat="1" applyFont="1"/>
    <xf numFmtId="0" fontId="7" fillId="0" borderId="0" xfId="21" applyFont="1" applyAlignment="1">
      <alignment horizontal="center" wrapText="1"/>
    </xf>
    <xf numFmtId="0" fontId="7" fillId="0" borderId="0" xfId="21" applyFont="1"/>
    <xf numFmtId="164" fontId="80" fillId="50" borderId="7" xfId="25" applyNumberFormat="1" applyFont="1" applyFill="1" applyBorder="1"/>
    <xf numFmtId="168" fontId="80" fillId="50" borderId="7" xfId="32" applyNumberFormat="1" applyFont="1" applyFill="1" applyBorder="1"/>
    <xf numFmtId="164" fontId="80" fillId="50" borderId="0" xfId="25" applyNumberFormat="1" applyFont="1" applyFill="1" applyBorder="1"/>
    <xf numFmtId="168" fontId="80" fillId="50" borderId="0" xfId="32" applyNumberFormat="1" applyFont="1" applyFill="1"/>
    <xf numFmtId="164" fontId="80" fillId="50" borderId="3" xfId="25" applyNumberFormat="1" applyFont="1" applyFill="1" applyBorder="1"/>
    <xf numFmtId="168" fontId="80" fillId="50" borderId="3" xfId="32" applyNumberFormat="1" applyFont="1" applyFill="1" applyBorder="1"/>
    <xf numFmtId="0" fontId="8" fillId="9" borderId="0" xfId="0" applyFont="1" applyFill="1" applyAlignment="1">
      <alignment wrapText="1"/>
    </xf>
    <xf numFmtId="0" fontId="8" fillId="9" borderId="25" xfId="0" applyFont="1" applyFill="1" applyBorder="1" applyAlignment="1">
      <alignment wrapText="1"/>
    </xf>
    <xf numFmtId="0" fontId="8" fillId="33" borderId="0" xfId="0" applyFont="1" applyFill="1" applyAlignment="1">
      <alignment wrapText="1"/>
    </xf>
    <xf numFmtId="168" fontId="0" fillId="25" borderId="0" xfId="25" applyNumberFormat="1" applyFont="1" applyFill="1"/>
    <xf numFmtId="168" fontId="0" fillId="49" borderId="0" xfId="25" applyNumberFormat="1" applyFont="1" applyFill="1"/>
    <xf numFmtId="10" fontId="8" fillId="9" borderId="0" xfId="25" applyNumberFormat="1" applyFont="1" applyFill="1" applyBorder="1"/>
    <xf numFmtId="10" fontId="54" fillId="9" borderId="0" xfId="25" applyNumberFormat="1" applyFont="1" applyFill="1"/>
    <xf numFmtId="10" fontId="54" fillId="32" borderId="0" xfId="25" applyNumberFormat="1" applyFont="1" applyFill="1"/>
    <xf numFmtId="10" fontId="0" fillId="51" borderId="0" xfId="25" applyNumberFormat="1" applyFont="1" applyFill="1"/>
    <xf numFmtId="10" fontId="0" fillId="24" borderId="0" xfId="25" applyNumberFormat="1" applyFont="1" applyFill="1"/>
    <xf numFmtId="167" fontId="6" fillId="51" borderId="0" xfId="0" applyNumberFormat="1" applyFont="1" applyFill="1"/>
    <xf numFmtId="2" fontId="39" fillId="0" borderId="0" xfId="4" applyNumberFormat="1" applyFont="1" applyFill="1" applyAlignment="1">
      <alignment horizontal="center"/>
    </xf>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72" fillId="40" borderId="15" xfId="0" applyFont="1" applyFill="1" applyBorder="1" applyAlignment="1">
      <alignment horizontal="center" vertical="center" wrapText="1"/>
    </xf>
    <xf numFmtId="0" fontId="66" fillId="41" borderId="15" xfId="0" applyFont="1" applyFill="1" applyBorder="1" applyAlignment="1">
      <alignment horizontal="center" vertical="center" wrapText="1"/>
    </xf>
    <xf numFmtId="0" fontId="2" fillId="2" borderId="16" xfId="263" applyAlignment="1">
      <alignment vertical="center" wrapText="1"/>
      <protection locked="0"/>
    </xf>
    <xf numFmtId="0" fontId="74" fillId="22" borderId="0" xfId="0" applyFont="1" applyFill="1" applyAlignment="1">
      <alignment horizontal="center" vertical="center" wrapText="1"/>
    </xf>
    <xf numFmtId="0" fontId="8" fillId="0" borderId="0" xfId="0" applyFont="1" applyAlignment="1">
      <alignment horizontal="center"/>
    </xf>
    <xf numFmtId="0" fontId="8" fillId="26" borderId="13" xfId="0" applyFont="1" applyFill="1" applyBorder="1" applyAlignment="1">
      <alignment horizontal="center"/>
    </xf>
    <xf numFmtId="0" fontId="8" fillId="26" borderId="16" xfId="0" applyFont="1" applyFill="1" applyBorder="1" applyAlignment="1">
      <alignment horizontal="center"/>
    </xf>
    <xf numFmtId="0" fontId="8" fillId="26" borderId="12" xfId="0" applyFont="1" applyFill="1" applyBorder="1" applyAlignment="1">
      <alignment horizontal="center"/>
    </xf>
    <xf numFmtId="0" fontId="79" fillId="34" borderId="27" xfId="23" applyFont="1" applyFill="1" applyBorder="1" applyAlignment="1">
      <alignment horizontal="center"/>
    </xf>
    <xf numFmtId="0" fontId="79" fillId="34" borderId="13" xfId="23" applyFont="1" applyFill="1" applyBorder="1" applyAlignment="1">
      <alignment horizontal="center" wrapText="1"/>
    </xf>
    <xf numFmtId="0" fontId="79" fillId="34" borderId="12" xfId="23" applyFont="1" applyFill="1" applyBorder="1" applyAlignment="1">
      <alignment horizontal="center" wrapText="1"/>
    </xf>
    <xf numFmtId="0" fontId="79" fillId="34" borderId="13" xfId="23" applyFont="1" applyFill="1" applyBorder="1" applyAlignment="1">
      <alignment horizontal="center"/>
    </xf>
    <xf numFmtId="0" fontId="79" fillId="34" borderId="12" xfId="23" applyFont="1" applyFill="1" applyBorder="1" applyAlignment="1">
      <alignment horizontal="center"/>
    </xf>
    <xf numFmtId="0" fontId="5" fillId="34" borderId="13" xfId="0" applyFont="1" applyFill="1" applyBorder="1" applyAlignment="1">
      <alignment horizontal="center"/>
    </xf>
    <xf numFmtId="0" fontId="5" fillId="34" borderId="12"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10" borderId="0" xfId="0" applyFill="1" applyAlignment="1">
      <alignment horizontal="center" wrapText="1"/>
    </xf>
    <xf numFmtId="0" fontId="0" fillId="0" borderId="15" xfId="0" applyBorder="1" applyAlignment="1">
      <alignment horizontal="left"/>
    </xf>
  </cellXfs>
  <cellStyles count="1160">
    <cellStyle name="Accent4" xfId="1" builtinId="41"/>
    <cellStyle name="Bad" xfId="2" builtinId="27"/>
    <cellStyle name="Bad 2" xfId="3" xr:uid="{00000000-0005-0000-0000-000003000000}"/>
    <cellStyle name="Calc" xfId="4" xr:uid="{00000000-0005-0000-0000-000004000000}"/>
    <cellStyle name="Calculation" xfId="5" builtinId="22"/>
    <cellStyle name="cells" xfId="262" xr:uid="{00000000-0005-0000-0000-000006000000}"/>
    <cellStyle name="column field" xfId="264" xr:uid="{00000000-0005-0000-0000-000007000000}"/>
    <cellStyle name="Comma" xfId="6" builtinId="3"/>
    <cellStyle name="Comma 2" xfId="7" xr:uid="{00000000-0005-0000-0000-000009000000}"/>
    <cellStyle name="Comma 3" xfId="8" xr:uid="{00000000-0005-0000-0000-00000A000000}"/>
    <cellStyle name="Comma 4" xfId="38" xr:uid="{00000000-0005-0000-0000-00000B000000}"/>
    <cellStyle name="Excel Built-in Normal" xfId="9" xr:uid="{00000000-0005-0000-0000-00000C000000}"/>
    <cellStyle name="Excel Built-in Normal 2" xfId="10" xr:uid="{00000000-0005-0000-0000-00000D000000}"/>
    <cellStyle name="Excel_BuiltIn_Comma" xfId="11" xr:uid="{00000000-0005-0000-0000-00000E000000}"/>
    <cellStyle name="External" xfId="12" xr:uid="{00000000-0005-0000-0000-00000F000000}"/>
    <cellStyle name="field" xfId="266" xr:uid="{00000000-0005-0000-0000-000010000000}"/>
    <cellStyle name="field names" xfId="265" xr:uid="{00000000-0005-0000-0000-000011000000}"/>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oter" xfId="267" xr:uid="{00000000-0005-0000-0000-00006A040000}"/>
    <cellStyle name="Heading" xfId="13" xr:uid="{00000000-0005-0000-0000-00006B040000}"/>
    <cellStyle name="Heading1" xfId="14" xr:uid="{00000000-0005-0000-0000-00006C040000}"/>
    <cellStyle name="Hyperlink" xfId="15" builtinId="8"/>
    <cellStyle name="Hyperlink 2" xfId="16" xr:uid="{00000000-0005-0000-0000-00006E040000}"/>
    <cellStyle name="Input" xfId="17" builtinId="20"/>
    <cellStyle name="Input 2" xfId="18" xr:uid="{00000000-0005-0000-0000-000070040000}"/>
    <cellStyle name="Linked" xfId="19" xr:uid="{00000000-0005-0000-0000-000071040000}"/>
    <cellStyle name="Normal" xfId="0" builtinId="0"/>
    <cellStyle name="Normal 2" xfId="20" xr:uid="{00000000-0005-0000-0000-000073040000}"/>
    <cellStyle name="Normal 2 2" xfId="21" xr:uid="{00000000-0005-0000-0000-000074040000}"/>
    <cellStyle name="Normal 3" xfId="22" xr:uid="{00000000-0005-0000-0000-000075040000}"/>
    <cellStyle name="Normal 3 2" xfId="23" xr:uid="{00000000-0005-0000-0000-000076040000}"/>
    <cellStyle name="Normal 4" xfId="24" xr:uid="{00000000-0005-0000-0000-000077040000}"/>
    <cellStyle name="Normal 5" xfId="32" xr:uid="{00000000-0005-0000-0000-000078040000}"/>
    <cellStyle name="Normal 6" xfId="261" xr:uid="{00000000-0005-0000-0000-000079040000}"/>
    <cellStyle name="Percent" xfId="25" builtinId="5"/>
    <cellStyle name="Percent 2" xfId="26" xr:uid="{00000000-0005-0000-0000-00007C040000}"/>
    <cellStyle name="Percent 2 2" xfId="27" xr:uid="{00000000-0005-0000-0000-00007D040000}"/>
    <cellStyle name="Percent 3" xfId="28" xr:uid="{00000000-0005-0000-0000-00007E040000}"/>
    <cellStyle name="Percent 4" xfId="37" xr:uid="{00000000-0005-0000-0000-00007F040000}"/>
    <cellStyle name="Percent 5" xfId="39" xr:uid="{00000000-0005-0000-0000-000080040000}"/>
    <cellStyle name="Result" xfId="29" xr:uid="{00000000-0005-0000-0000-000081040000}"/>
    <cellStyle name="Result2" xfId="30" xr:uid="{00000000-0005-0000-0000-000082040000}"/>
    <cellStyle name="rowfield" xfId="263" xr:uid="{00000000-0005-0000-0000-000083040000}"/>
    <cellStyle name="Style1" xfId="31" xr:uid="{00000000-0005-0000-0000-000084040000}"/>
    <cellStyle name="Style2" xfId="33" xr:uid="{00000000-0005-0000-0000-000085040000}"/>
    <cellStyle name="Style3" xfId="34" xr:uid="{00000000-0005-0000-0000-000086040000}"/>
    <cellStyle name="Style4" xfId="35" xr:uid="{00000000-0005-0000-0000-000087040000}"/>
    <cellStyle name="Style5" xfId="36" xr:uid="{00000000-0005-0000-0000-000088040000}"/>
    <cellStyle name="Test" xfId="268" xr:uid="{00000000-0005-0000-0000-000089040000}"/>
  </cellStyles>
  <dxfs count="5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ill>
        <patternFill>
          <bgColor rgb="FF92D050"/>
        </patternFill>
      </fill>
    </dxf>
    <dxf>
      <fill>
        <patternFill>
          <bgColor rgb="FFFF0000"/>
        </patternFill>
      </fill>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services'!$A$180</c:f>
          <c:strCache>
            <c:ptCount val="1"/>
            <c:pt idx="0">
              <c:v>SWH and HP High Income</c:v>
            </c:pt>
          </c:strCache>
        </c:strRef>
      </c:tx>
      <c:layout>
        <c:manualLayout>
          <c:xMode val="edge"/>
          <c:yMode val="edge"/>
          <c:x val="0.21005669781168501"/>
          <c:y val="0"/>
        </c:manualLayout>
      </c:layout>
      <c:overlay val="0"/>
      <c:txPr>
        <a:bodyPr/>
        <a:lstStyle/>
        <a:p>
          <a:pPr>
            <a:defRPr sz="1400"/>
          </a:pPr>
          <a:endParaRPr lang="en-US"/>
        </a:p>
      </c:txPr>
    </c:title>
    <c:autoTitleDeleted val="0"/>
    <c:plotArea>
      <c:layout>
        <c:manualLayout>
          <c:layoutTarget val="inner"/>
          <c:xMode val="edge"/>
          <c:yMode val="edge"/>
          <c:x val="8.4772694552421396E-2"/>
          <c:y val="0.16172839506172801"/>
          <c:w val="0.864209885156761"/>
          <c:h val="0.60773694954797297"/>
        </c:manualLayout>
      </c:layout>
      <c:lineChart>
        <c:grouping val="standard"/>
        <c:varyColors val="0"/>
        <c:ser>
          <c:idx val="0"/>
          <c:order val="0"/>
          <c:tx>
            <c:strRef>
              <c:f>'access to services'!$C$181</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services'!$D$181:$L$181</c:f>
              <c:numCache>
                <c:formatCode>General</c:formatCode>
                <c:ptCount val="9"/>
                <c:pt idx="0">
                  <c:v>27950</c:v>
                </c:pt>
                <c:pt idx="1">
                  <c:v>58857.570340177561</c:v>
                </c:pt>
                <c:pt idx="2">
                  <c:v>200435.52081881356</c:v>
                </c:pt>
                <c:pt idx="3">
                  <c:v>644835.81944953371</c:v>
                </c:pt>
                <c:pt idx="4">
                  <c:v>1767791.3285220149</c:v>
                </c:pt>
                <c:pt idx="5">
                  <c:v>3528078.5781210754</c:v>
                </c:pt>
                <c:pt idx="6">
                  <c:v>4936368.239469626</c:v>
                </c:pt>
                <c:pt idx="7">
                  <c:v>5573805.5052590463</c:v>
                </c:pt>
                <c:pt idx="8">
                  <c:v>5787939.5827813214</c:v>
                </c:pt>
              </c:numCache>
            </c:numRef>
          </c:val>
          <c:smooth val="0"/>
          <c:extLst>
            <c:ext xmlns:c16="http://schemas.microsoft.com/office/drawing/2014/chart" uri="{C3380CC4-5D6E-409C-BE32-E72D297353CC}">
              <c16:uniqueId val="{00000000-7451-4C66-BF1B-F7101A9AA09A}"/>
            </c:ext>
          </c:extLst>
        </c:ser>
        <c:ser>
          <c:idx val="1"/>
          <c:order val="1"/>
          <c:tx>
            <c:strRef>
              <c:f>'access to services'!$C$182</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services'!$D$182:$L$182</c:f>
              <c:numCache>
                <c:formatCode>General</c:formatCode>
                <c:ptCount val="9"/>
                <c:pt idx="0">
                  <c:v>27950</c:v>
                </c:pt>
                <c:pt idx="1">
                  <c:v>58548.275416055978</c:v>
                </c:pt>
                <c:pt idx="2">
                  <c:v>194695.64237629084</c:v>
                </c:pt>
                <c:pt idx="3">
                  <c:v>583330.4215300451</c:v>
                </c:pt>
                <c:pt idx="4">
                  <c:v>1362591.5828017865</c:v>
                </c:pt>
                <c:pt idx="5">
                  <c:v>2207472.8269972703</c:v>
                </c:pt>
                <c:pt idx="6">
                  <c:v>2684342.6181293325</c:v>
                </c:pt>
                <c:pt idx="7">
                  <c:v>2861443.845201401</c:v>
                </c:pt>
                <c:pt idx="8">
                  <c:v>2916573.9106388506</c:v>
                </c:pt>
              </c:numCache>
            </c:numRef>
          </c:val>
          <c:smooth val="0"/>
          <c:extLst>
            <c:ext xmlns:c16="http://schemas.microsoft.com/office/drawing/2014/chart" uri="{C3380CC4-5D6E-409C-BE32-E72D297353CC}">
              <c16:uniqueId val="{00000001-7451-4C66-BF1B-F7101A9AA09A}"/>
            </c:ext>
          </c:extLst>
        </c:ser>
        <c:ser>
          <c:idx val="2"/>
          <c:order val="2"/>
          <c:tx>
            <c:strRef>
              <c:f>'access to services'!$C$183</c:f>
              <c:strCache>
                <c:ptCount val="1"/>
                <c:pt idx="0">
                  <c:v>medium</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services'!$D$183:$L$183</c:f>
              <c:numCache>
                <c:formatCode>General</c:formatCode>
                <c:ptCount val="9"/>
                <c:pt idx="0">
                  <c:v>27950</c:v>
                </c:pt>
                <c:pt idx="1">
                  <c:v>58754.109576479277</c:v>
                </c:pt>
                <c:pt idx="2">
                  <c:v>198484.98972358942</c:v>
                </c:pt>
                <c:pt idx="3">
                  <c:v>622941.83284232824</c:v>
                </c:pt>
                <c:pt idx="4">
                  <c:v>1608362.7366748778</c:v>
                </c:pt>
                <c:pt idx="5">
                  <c:v>2941500.8811973915</c:v>
                </c:pt>
                <c:pt idx="6">
                  <c:v>3857593.8519480298</c:v>
                </c:pt>
                <c:pt idx="7">
                  <c:v>4235522.1606349265</c:v>
                </c:pt>
                <c:pt idx="8">
                  <c:v>4357841.8257824276</c:v>
                </c:pt>
              </c:numCache>
            </c:numRef>
          </c:val>
          <c:smooth val="0"/>
          <c:extLst>
            <c:ext xmlns:c16="http://schemas.microsoft.com/office/drawing/2014/chart" uri="{C3380CC4-5D6E-409C-BE32-E72D297353CC}">
              <c16:uniqueId val="{00000002-7451-4C66-BF1B-F7101A9AA09A}"/>
            </c:ext>
          </c:extLst>
        </c:ser>
        <c:ser>
          <c:idx val="3"/>
          <c:order val="3"/>
          <c:tx>
            <c:strRef>
              <c:f>'access to services'!$A$162</c:f>
              <c:strCache>
                <c:ptCount val="1"/>
                <c:pt idx="0">
                  <c:v>Households (total)</c:v>
                </c:pt>
              </c:strCache>
            </c:strRef>
          </c:tx>
          <c:marker>
            <c:symbol val="none"/>
          </c:marker>
          <c:val>
            <c:numRef>
              <c:f>'access to services'!$B$168:$J$168</c:f>
              <c:numCache>
                <c:formatCode>0</c:formatCode>
                <c:ptCount val="9"/>
                <c:pt idx="0">
                  <c:v>3185338.4707402596</c:v>
                </c:pt>
                <c:pt idx="1">
                  <c:v>3653624.9700503242</c:v>
                </c:pt>
                <c:pt idx="2">
                  <c:v>4390267.2455308652</c:v>
                </c:pt>
                <c:pt idx="3">
                  <c:v>5302514.9362184145</c:v>
                </c:pt>
                <c:pt idx="4">
                  <c:v>6365487.9370726608</c:v>
                </c:pt>
                <c:pt idx="5">
                  <c:v>6728224.0895701172</c:v>
                </c:pt>
                <c:pt idx="6">
                  <c:v>6781310.032564342</c:v>
                </c:pt>
                <c:pt idx="7">
                  <c:v>6921875.7482041614</c:v>
                </c:pt>
                <c:pt idx="8">
                  <c:v>6953276.0708328206</c:v>
                </c:pt>
              </c:numCache>
            </c:numRef>
          </c:val>
          <c:smooth val="0"/>
          <c:extLst>
            <c:ext xmlns:c16="http://schemas.microsoft.com/office/drawing/2014/chart" uri="{C3380CC4-5D6E-409C-BE32-E72D297353CC}">
              <c16:uniqueId val="{00000003-7451-4C66-BF1B-F7101A9AA09A}"/>
            </c:ext>
          </c:extLst>
        </c:ser>
        <c:ser>
          <c:idx val="4"/>
          <c:order val="4"/>
          <c:tx>
            <c:strRef>
              <c:f>'access to services'!$C$216</c:f>
              <c:strCache>
                <c:ptCount val="1"/>
                <c:pt idx="0">
                  <c:v>PAM HI</c:v>
                </c:pt>
              </c:strCache>
            </c:strRef>
          </c:tx>
          <c:spPr>
            <a:ln>
              <a:prstDash val="dash"/>
            </a:ln>
          </c:spPr>
          <c:marker>
            <c:symbol val="none"/>
          </c:marker>
          <c:val>
            <c:numRef>
              <c:f>'access to services'!$D$216:$L$216</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4-7451-4C66-BF1B-F7101A9AA09A}"/>
            </c:ext>
          </c:extLst>
        </c:ser>
        <c:dLbls>
          <c:showLegendKey val="0"/>
          <c:showVal val="0"/>
          <c:showCatName val="0"/>
          <c:showSerName val="0"/>
          <c:showPercent val="0"/>
          <c:showBubbleSize val="0"/>
        </c:dLbls>
        <c:smooth val="0"/>
        <c:axId val="143875808"/>
        <c:axId val="629546960"/>
      </c:lineChart>
      <c:catAx>
        <c:axId val="143875808"/>
        <c:scaling>
          <c:orientation val="minMax"/>
        </c:scaling>
        <c:delete val="0"/>
        <c:axPos val="b"/>
        <c:numFmt formatCode="General" sourceLinked="1"/>
        <c:majorTickMark val="out"/>
        <c:minorTickMark val="none"/>
        <c:tickLblPos val="nextTo"/>
        <c:crossAx val="629546960"/>
        <c:crosses val="autoZero"/>
        <c:auto val="1"/>
        <c:lblAlgn val="ctr"/>
        <c:lblOffset val="100"/>
        <c:noMultiLvlLbl val="0"/>
      </c:catAx>
      <c:valAx>
        <c:axId val="629546960"/>
        <c:scaling>
          <c:orientation val="minMax"/>
        </c:scaling>
        <c:delete val="0"/>
        <c:axPos val="l"/>
        <c:majorGridlines/>
        <c:numFmt formatCode="General" sourceLinked="1"/>
        <c:majorTickMark val="out"/>
        <c:minorTickMark val="none"/>
        <c:tickLblPos val="nextTo"/>
        <c:crossAx val="143875808"/>
        <c:crossesAt val="1"/>
        <c:crossBetween val="midCat"/>
        <c:dispUnits>
          <c:builtInUnit val="millions"/>
          <c:dispUnitsLbl/>
        </c:dispUnits>
      </c:valAx>
    </c:plotArea>
    <c:legend>
      <c:legendPos val="b"/>
      <c:layout>
        <c:manualLayout>
          <c:xMode val="edge"/>
          <c:yMode val="edge"/>
          <c:x val="3.7107988083768001E-2"/>
          <c:y val="0.85751288033440298"/>
          <c:w val="0.96289201191623197"/>
          <c:h val="0.13833947480702799"/>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services'!$A$184</c:f>
          <c:strCache>
            <c:ptCount val="1"/>
            <c:pt idx="0">
              <c:v>SWH Middle Income</c:v>
            </c:pt>
          </c:strCache>
        </c:strRef>
      </c:tx>
      <c:layout>
        <c:manualLayout>
          <c:xMode val="edge"/>
          <c:yMode val="edge"/>
          <c:x val="0.37602002281360403"/>
          <c:y val="1.47783251231527E-2"/>
        </c:manualLayout>
      </c:layout>
      <c:overlay val="0"/>
      <c:txPr>
        <a:bodyPr/>
        <a:lstStyle/>
        <a:p>
          <a:pPr>
            <a:defRPr sz="1400"/>
          </a:pPr>
          <a:endParaRPr lang="en-US"/>
        </a:p>
      </c:txPr>
    </c:title>
    <c:autoTitleDeleted val="0"/>
    <c:plotArea>
      <c:layout>
        <c:manualLayout>
          <c:layoutTarget val="inner"/>
          <c:xMode val="edge"/>
          <c:yMode val="edge"/>
          <c:x val="9.6024452639622504E-2"/>
          <c:y val="0.16172839506172801"/>
          <c:w val="0.85295812706955898"/>
          <c:h val="0.60773694954797297"/>
        </c:manualLayout>
      </c:layout>
      <c:lineChart>
        <c:grouping val="standard"/>
        <c:varyColors val="0"/>
        <c:ser>
          <c:idx val="0"/>
          <c:order val="0"/>
          <c:tx>
            <c:strRef>
              <c:f>'access to services'!$C$184</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services'!$D$184:$L$184</c:f>
              <c:numCache>
                <c:formatCode>General</c:formatCode>
                <c:ptCount val="9"/>
                <c:pt idx="0">
                  <c:v>138095</c:v>
                </c:pt>
                <c:pt idx="1">
                  <c:v>245822.29529794829</c:v>
                </c:pt>
                <c:pt idx="2">
                  <c:v>614262.76573844638</c:v>
                </c:pt>
                <c:pt idx="3">
                  <c:v>1369229.5320803381</c:v>
                </c:pt>
                <c:pt idx="4">
                  <c:v>2499262.1230827225</c:v>
                </c:pt>
                <c:pt idx="5">
                  <c:v>3588897.8226191034</c:v>
                </c:pt>
                <c:pt idx="6">
                  <c:v>4274477.7524382714</c:v>
                </c:pt>
                <c:pt idx="7">
                  <c:v>4597573.4665484382</c:v>
                </c:pt>
                <c:pt idx="8">
                  <c:v>4729074.700587227</c:v>
                </c:pt>
              </c:numCache>
            </c:numRef>
          </c:val>
          <c:smooth val="0"/>
          <c:extLst>
            <c:ext xmlns:c16="http://schemas.microsoft.com/office/drawing/2014/chart" uri="{C3380CC4-5D6E-409C-BE32-E72D297353CC}">
              <c16:uniqueId val="{00000000-0F57-4FF4-8B7A-D09E1F6A2118}"/>
            </c:ext>
          </c:extLst>
        </c:ser>
        <c:ser>
          <c:idx val="1"/>
          <c:order val="1"/>
          <c:tx>
            <c:strRef>
              <c:f>'access to services'!$C$185</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services'!$D$185:$L$185</c:f>
              <c:numCache>
                <c:formatCode>General</c:formatCode>
                <c:ptCount val="9"/>
                <c:pt idx="0">
                  <c:v>138095</c:v>
                </c:pt>
                <c:pt idx="1">
                  <c:v>240280.7372903153</c:v>
                </c:pt>
                <c:pt idx="2">
                  <c:v>557437.27795969637</c:v>
                </c:pt>
                <c:pt idx="3">
                  <c:v>1083621.5619265069</c:v>
                </c:pt>
                <c:pt idx="4">
                  <c:v>1660097.0793513348</c:v>
                </c:pt>
                <c:pt idx="5">
                  <c:v>2064047.9286188548</c:v>
                </c:pt>
                <c:pt idx="6">
                  <c:v>2266978.7469702698</c:v>
                </c:pt>
                <c:pt idx="7">
                  <c:v>2352049.4852583357</c:v>
                </c:pt>
                <c:pt idx="8">
                  <c:v>2384974.1950583998</c:v>
                </c:pt>
              </c:numCache>
            </c:numRef>
          </c:val>
          <c:smooth val="0"/>
          <c:extLst>
            <c:ext xmlns:c16="http://schemas.microsoft.com/office/drawing/2014/chart" uri="{C3380CC4-5D6E-409C-BE32-E72D297353CC}">
              <c16:uniqueId val="{00000001-0F57-4FF4-8B7A-D09E1F6A2118}"/>
            </c:ext>
          </c:extLst>
        </c:ser>
        <c:ser>
          <c:idx val="2"/>
          <c:order val="2"/>
          <c:tx>
            <c:strRef>
              <c:f>'access to services'!$C$186</c:f>
              <c:strCache>
                <c:ptCount val="1"/>
                <c:pt idx="0">
                  <c:v>medium</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services'!$D$186:$L$186</c:f>
              <c:numCache>
                <c:formatCode>General</c:formatCode>
                <c:ptCount val="9"/>
                <c:pt idx="0">
                  <c:v>138095</c:v>
                </c:pt>
                <c:pt idx="1">
                  <c:v>243946.9250522849</c:v>
                </c:pt>
                <c:pt idx="2">
                  <c:v>594075.94723062252</c:v>
                </c:pt>
                <c:pt idx="3">
                  <c:v>1258649.6109614698</c:v>
                </c:pt>
                <c:pt idx="4">
                  <c:v>2138868.7620435925</c:v>
                </c:pt>
                <c:pt idx="5">
                  <c:v>2879744.6612418857</c:v>
                </c:pt>
                <c:pt idx="6">
                  <c:v>3300296.800101405</c:v>
                </c:pt>
                <c:pt idx="7">
                  <c:v>3487669.6783072087</c:v>
                </c:pt>
                <c:pt idx="8">
                  <c:v>3562067.7051859237</c:v>
                </c:pt>
              </c:numCache>
            </c:numRef>
          </c:val>
          <c:smooth val="0"/>
          <c:extLst>
            <c:ext xmlns:c16="http://schemas.microsoft.com/office/drawing/2014/chart" uri="{C3380CC4-5D6E-409C-BE32-E72D297353CC}">
              <c16:uniqueId val="{00000002-0F57-4FF4-8B7A-D09E1F6A2118}"/>
            </c:ext>
          </c:extLst>
        </c:ser>
        <c:ser>
          <c:idx val="3"/>
          <c:order val="3"/>
          <c:tx>
            <c:strRef>
              <c:f>'access to services'!$A$162</c:f>
              <c:strCache>
                <c:ptCount val="1"/>
                <c:pt idx="0">
                  <c:v>Households (total)</c:v>
                </c:pt>
              </c:strCache>
            </c:strRef>
          </c:tx>
          <c:marker>
            <c:symbol val="none"/>
          </c:marker>
          <c:val>
            <c:numRef>
              <c:f>'access to services'!$B$167:$J$167</c:f>
              <c:numCache>
                <c:formatCode>0</c:formatCode>
                <c:ptCount val="9"/>
                <c:pt idx="0">
                  <c:v>4620056.2305681948</c:v>
                </c:pt>
                <c:pt idx="1">
                  <c:v>4797835.8427264709</c:v>
                </c:pt>
                <c:pt idx="2">
                  <c:v>5094322.3246639483</c:v>
                </c:pt>
                <c:pt idx="3">
                  <c:v>5617035.6751867672</c:v>
                </c:pt>
                <c:pt idx="4">
                  <c:v>6159626.4877027264</c:v>
                </c:pt>
                <c:pt idx="5">
                  <c:v>6301239.9006334394</c:v>
                </c:pt>
                <c:pt idx="6">
                  <c:v>6429145.157404528</c:v>
                </c:pt>
                <c:pt idx="7">
                  <c:v>6652068.5606946982</c:v>
                </c:pt>
                <c:pt idx="8">
                  <c:v>6872504.7429159805</c:v>
                </c:pt>
              </c:numCache>
            </c:numRef>
          </c:val>
          <c:smooth val="0"/>
          <c:extLst>
            <c:ext xmlns:c16="http://schemas.microsoft.com/office/drawing/2014/chart" uri="{C3380CC4-5D6E-409C-BE32-E72D297353CC}">
              <c16:uniqueId val="{00000003-0F57-4FF4-8B7A-D09E1F6A2118}"/>
            </c:ext>
          </c:extLst>
        </c:ser>
        <c:ser>
          <c:idx val="4"/>
          <c:order val="4"/>
          <c:tx>
            <c:strRef>
              <c:f>'access to services'!$C$217</c:f>
              <c:strCache>
                <c:ptCount val="1"/>
                <c:pt idx="0">
                  <c:v>PAM MI total</c:v>
                </c:pt>
              </c:strCache>
            </c:strRef>
          </c:tx>
          <c:spPr>
            <a:ln>
              <a:prstDash val="dash"/>
            </a:ln>
          </c:spPr>
          <c:marker>
            <c:symbol val="none"/>
          </c:marker>
          <c:val>
            <c:numRef>
              <c:f>'access to services'!$D$217:$L$217</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4-0F57-4FF4-8B7A-D09E1F6A2118}"/>
            </c:ext>
          </c:extLst>
        </c:ser>
        <c:ser>
          <c:idx val="5"/>
          <c:order val="5"/>
          <c:tx>
            <c:strRef>
              <c:f>'access to services'!$A$176</c:f>
              <c:strCache>
                <c:ptCount val="1"/>
                <c:pt idx="0">
                  <c:v>Middle income</c:v>
                </c:pt>
              </c:strCache>
            </c:strRef>
          </c:tx>
          <c:marker>
            <c:symbol val="none"/>
          </c:marker>
          <c:val>
            <c:numRef>
              <c:f>'access to services'!$B$177:$J$177</c:f>
              <c:numCache>
                <c:formatCode>0</c:formatCode>
                <c:ptCount val="9"/>
                <c:pt idx="0">
                  <c:v>2016719.6660011997</c:v>
                </c:pt>
                <c:pt idx="1">
                  <c:v>2135780.473503937</c:v>
                </c:pt>
                <c:pt idx="2">
                  <c:v>2341128.5773669267</c:v>
                </c:pt>
                <c:pt idx="3">
                  <c:v>3094832.4216475058</c:v>
                </c:pt>
                <c:pt idx="4">
                  <c:v>3900375.7022619294</c:v>
                </c:pt>
                <c:pt idx="5">
                  <c:v>4130918.3949422413</c:v>
                </c:pt>
                <c:pt idx="6">
                  <c:v>4257838.4519085344</c:v>
                </c:pt>
                <c:pt idx="7">
                  <c:v>4534683.8139502853</c:v>
                </c:pt>
                <c:pt idx="8">
                  <c:v>4809126.847871772</c:v>
                </c:pt>
              </c:numCache>
            </c:numRef>
          </c:val>
          <c:smooth val="0"/>
          <c:extLst>
            <c:ext xmlns:c16="http://schemas.microsoft.com/office/drawing/2014/chart" uri="{C3380CC4-5D6E-409C-BE32-E72D297353CC}">
              <c16:uniqueId val="{00000005-0F57-4FF4-8B7A-D09E1F6A2118}"/>
            </c:ext>
          </c:extLst>
        </c:ser>
        <c:dLbls>
          <c:showLegendKey val="0"/>
          <c:showVal val="0"/>
          <c:showCatName val="0"/>
          <c:showSerName val="0"/>
          <c:showPercent val="0"/>
          <c:showBubbleSize val="0"/>
        </c:dLbls>
        <c:smooth val="0"/>
        <c:axId val="629547744"/>
        <c:axId val="629548136"/>
      </c:lineChart>
      <c:catAx>
        <c:axId val="629547744"/>
        <c:scaling>
          <c:orientation val="minMax"/>
        </c:scaling>
        <c:delete val="0"/>
        <c:axPos val="b"/>
        <c:numFmt formatCode="General" sourceLinked="1"/>
        <c:majorTickMark val="out"/>
        <c:minorTickMark val="none"/>
        <c:tickLblPos val="nextTo"/>
        <c:crossAx val="629548136"/>
        <c:crosses val="autoZero"/>
        <c:auto val="1"/>
        <c:lblAlgn val="ctr"/>
        <c:lblOffset val="100"/>
        <c:noMultiLvlLbl val="0"/>
      </c:catAx>
      <c:valAx>
        <c:axId val="629548136"/>
        <c:scaling>
          <c:orientation val="minMax"/>
        </c:scaling>
        <c:delete val="0"/>
        <c:axPos val="l"/>
        <c:majorGridlines/>
        <c:numFmt formatCode="General" sourceLinked="1"/>
        <c:majorTickMark val="out"/>
        <c:minorTickMark val="none"/>
        <c:tickLblPos val="nextTo"/>
        <c:crossAx val="629547744"/>
        <c:crossesAt val="1"/>
        <c:crossBetween val="midCat"/>
        <c:dispUnits>
          <c:builtInUnit val="millions"/>
          <c:dispUnitsLbl/>
        </c:dispUnits>
      </c:valAx>
    </c:plotArea>
    <c:legend>
      <c:legendPos val="b"/>
      <c:layout>
        <c:manualLayout>
          <c:xMode val="edge"/>
          <c:yMode val="edge"/>
          <c:x val="3.7107988083768001E-2"/>
          <c:y val="0.80751460379025297"/>
          <c:w val="0.89459716269643497"/>
          <c:h val="0.192485396209747"/>
        </c:manualLayout>
      </c:layout>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services'!$A$194</c:f>
          <c:strCache>
            <c:ptCount val="1"/>
            <c:pt idx="0">
              <c:v>SWH Low Income</c:v>
            </c:pt>
          </c:strCache>
        </c:strRef>
      </c:tx>
      <c:layout>
        <c:manualLayout>
          <c:xMode val="edge"/>
          <c:yMode val="edge"/>
          <c:x val="0.29163183715959601"/>
          <c:y val="9.8522167487684695E-3"/>
        </c:manualLayout>
      </c:layout>
      <c:overlay val="0"/>
      <c:txPr>
        <a:bodyPr/>
        <a:lstStyle/>
        <a:p>
          <a:pPr>
            <a:defRPr sz="1400"/>
          </a:pPr>
          <a:endParaRPr lang="en-US"/>
        </a:p>
      </c:txPr>
    </c:title>
    <c:autoTitleDeleted val="0"/>
    <c:plotArea>
      <c:layout>
        <c:manualLayout>
          <c:layoutTarget val="inner"/>
          <c:xMode val="edge"/>
          <c:yMode val="edge"/>
          <c:x val="9.0398573596022005E-2"/>
          <c:y val="0.16172839506172801"/>
          <c:w val="0.85858400611315999"/>
          <c:h val="0.60773694954797297"/>
        </c:manualLayout>
      </c:layout>
      <c:lineChart>
        <c:grouping val="standard"/>
        <c:varyColors val="0"/>
        <c:ser>
          <c:idx val="0"/>
          <c:order val="0"/>
          <c:tx>
            <c:strRef>
              <c:f>'access to services'!$C$194</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services'!$D$194:$L$194</c:f>
              <c:numCache>
                <c:formatCode>0</c:formatCode>
                <c:ptCount val="9"/>
                <c:pt idx="0">
                  <c:v>1</c:v>
                </c:pt>
                <c:pt idx="1">
                  <c:v>1000</c:v>
                </c:pt>
                <c:pt idx="2" formatCode="General">
                  <c:v>2715.9633440993275</c:v>
                </c:pt>
                <c:pt idx="3" formatCode="General">
                  <c:v>13380.882990594493</c:v>
                </c:pt>
                <c:pt idx="4" formatCode="General">
                  <c:v>35962.22885997744</c:v>
                </c:pt>
                <c:pt idx="5" formatCode="General">
                  <c:v>94843.844357287977</c:v>
                </c:pt>
                <c:pt idx="6" formatCode="General">
                  <c:v>238502.31055409231</c:v>
                </c:pt>
                <c:pt idx="7" formatCode="General">
                  <c:v>538648.8354669346</c:v>
                </c:pt>
                <c:pt idx="8" formatCode="General">
                  <c:v>1003001.275816632</c:v>
                </c:pt>
              </c:numCache>
            </c:numRef>
          </c:val>
          <c:smooth val="0"/>
          <c:extLst>
            <c:ext xmlns:c16="http://schemas.microsoft.com/office/drawing/2014/chart" uri="{C3380CC4-5D6E-409C-BE32-E72D297353CC}">
              <c16:uniqueId val="{00000000-8933-427C-8D3C-0911BAA613AA}"/>
            </c:ext>
          </c:extLst>
        </c:ser>
        <c:ser>
          <c:idx val="1"/>
          <c:order val="1"/>
          <c:tx>
            <c:strRef>
              <c:f>'access to services'!$C$195</c:f>
              <c:strCache>
                <c:ptCount val="1"/>
                <c:pt idx="0">
                  <c:v>Middle</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services'!$D$195:$L$195</c:f>
              <c:numCache>
                <c:formatCode>0</c:formatCode>
                <c:ptCount val="9"/>
                <c:pt idx="0">
                  <c:v>1</c:v>
                </c:pt>
                <c:pt idx="1">
                  <c:v>1000</c:v>
                </c:pt>
                <c:pt idx="2" formatCode="General">
                  <c:v>4933.6541570118015</c:v>
                </c:pt>
                <c:pt idx="3" formatCode="General">
                  <c:v>13299.041479013369</c:v>
                </c:pt>
                <c:pt idx="4" formatCode="General">
                  <c:v>35347.950756263112</c:v>
                </c:pt>
                <c:pt idx="5" formatCode="General">
                  <c:v>90616.991662014232</c:v>
                </c:pt>
                <c:pt idx="6" formatCode="General">
                  <c:v>213319.71367365413</c:v>
                </c:pt>
                <c:pt idx="7" formatCode="General">
                  <c:v>425056.90767169988</c:v>
                </c:pt>
                <c:pt idx="8" formatCode="General">
                  <c:v>669539.44782187312</c:v>
                </c:pt>
              </c:numCache>
            </c:numRef>
          </c:val>
          <c:smooth val="0"/>
          <c:extLst>
            <c:ext xmlns:c16="http://schemas.microsoft.com/office/drawing/2014/chart" uri="{C3380CC4-5D6E-409C-BE32-E72D297353CC}">
              <c16:uniqueId val="{00000001-8933-427C-8D3C-0911BAA613AA}"/>
            </c:ext>
          </c:extLst>
        </c:ser>
        <c:ser>
          <c:idx val="2"/>
          <c:order val="2"/>
          <c:tx>
            <c:strRef>
              <c:f>'access to services'!$C$196</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services'!$D$196:$L$196</c:f>
              <c:numCache>
                <c:formatCode>0</c:formatCode>
                <c:ptCount val="9"/>
                <c:pt idx="0">
                  <c:v>1</c:v>
                </c:pt>
                <c:pt idx="1">
                  <c:v>1000</c:v>
                </c:pt>
                <c:pt idx="2" formatCode="General">
                  <c:v>4940.0967095556862</c:v>
                </c:pt>
                <c:pt idx="3" formatCode="General">
                  <c:v>13353.49079411678</c:v>
                </c:pt>
                <c:pt idx="4" formatCode="General">
                  <c:v>35755.110943393913</c:v>
                </c:pt>
                <c:pt idx="5" formatCode="General">
                  <c:v>93391.75034988916</c:v>
                </c:pt>
                <c:pt idx="6" formatCode="General">
                  <c:v>229472.49450212307</c:v>
                </c:pt>
                <c:pt idx="7" formatCode="General">
                  <c:v>494590.79603907018</c:v>
                </c:pt>
                <c:pt idx="8" formatCode="General">
                  <c:v>860195.47309881181</c:v>
                </c:pt>
              </c:numCache>
            </c:numRef>
          </c:val>
          <c:smooth val="0"/>
          <c:extLst>
            <c:ext xmlns:c16="http://schemas.microsoft.com/office/drawing/2014/chart" uri="{C3380CC4-5D6E-409C-BE32-E72D297353CC}">
              <c16:uniqueId val="{00000002-8933-427C-8D3C-0911BAA613AA}"/>
            </c:ext>
          </c:extLst>
        </c:ser>
        <c:ser>
          <c:idx val="3"/>
          <c:order val="3"/>
          <c:tx>
            <c:strRef>
              <c:f>'access to services'!$A$162</c:f>
              <c:strCache>
                <c:ptCount val="1"/>
                <c:pt idx="0">
                  <c:v>Households (total)</c:v>
                </c:pt>
              </c:strCache>
            </c:strRef>
          </c:tx>
          <c:marker>
            <c:symbol val="none"/>
          </c:marker>
          <c:val>
            <c:numRef>
              <c:f>'access to services'!$B$166:$J$166</c:f>
              <c:numCache>
                <c:formatCode>0</c:formatCode>
                <c:ptCount val="9"/>
                <c:pt idx="0">
                  <c:v>6368181.1185857709</c:v>
                </c:pt>
                <c:pt idx="1">
                  <c:v>6144952.3670335356</c:v>
                </c:pt>
                <c:pt idx="2">
                  <c:v>5511359.4073537886</c:v>
                </c:pt>
                <c:pt idx="3">
                  <c:v>4989118.1730445521</c:v>
                </c:pt>
                <c:pt idx="4">
                  <c:v>4283186.5586367166</c:v>
                </c:pt>
                <c:pt idx="5">
                  <c:v>3747340.3020167807</c:v>
                </c:pt>
                <c:pt idx="6">
                  <c:v>3561739.6042965455</c:v>
                </c:pt>
                <c:pt idx="7">
                  <c:v>3420979.7403724575</c:v>
                </c:pt>
                <c:pt idx="8">
                  <c:v>3401351.4152201749</c:v>
                </c:pt>
              </c:numCache>
            </c:numRef>
          </c:val>
          <c:smooth val="0"/>
          <c:extLst>
            <c:ext xmlns:c16="http://schemas.microsoft.com/office/drawing/2014/chart" uri="{C3380CC4-5D6E-409C-BE32-E72D297353CC}">
              <c16:uniqueId val="{00000003-8933-427C-8D3C-0911BAA613AA}"/>
            </c:ext>
          </c:extLst>
        </c:ser>
        <c:ser>
          <c:idx val="4"/>
          <c:order val="4"/>
          <c:tx>
            <c:strRef>
              <c:f>'access to services'!$C$220</c:f>
              <c:strCache>
                <c:ptCount val="1"/>
                <c:pt idx="0">
                  <c:v>PAM LI</c:v>
                </c:pt>
              </c:strCache>
            </c:strRef>
          </c:tx>
          <c:spPr>
            <a:ln>
              <a:prstDash val="dash"/>
            </a:ln>
          </c:spPr>
          <c:marker>
            <c:symbol val="none"/>
          </c:marker>
          <c:val>
            <c:numRef>
              <c:f>'access to services'!$D$220:$L$220</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4-8933-427C-8D3C-0911BAA613AA}"/>
            </c:ext>
          </c:extLst>
        </c:ser>
        <c:dLbls>
          <c:showLegendKey val="0"/>
          <c:showVal val="0"/>
          <c:showCatName val="0"/>
          <c:showSerName val="0"/>
          <c:showPercent val="0"/>
          <c:showBubbleSize val="0"/>
        </c:dLbls>
        <c:smooth val="0"/>
        <c:axId val="504415448"/>
        <c:axId val="504415840"/>
      </c:lineChart>
      <c:catAx>
        <c:axId val="504415448"/>
        <c:scaling>
          <c:orientation val="minMax"/>
        </c:scaling>
        <c:delete val="0"/>
        <c:axPos val="b"/>
        <c:numFmt formatCode="General" sourceLinked="1"/>
        <c:majorTickMark val="out"/>
        <c:minorTickMark val="none"/>
        <c:tickLblPos val="nextTo"/>
        <c:crossAx val="504415840"/>
        <c:crosses val="autoZero"/>
        <c:auto val="1"/>
        <c:lblAlgn val="ctr"/>
        <c:lblOffset val="100"/>
        <c:noMultiLvlLbl val="0"/>
      </c:catAx>
      <c:valAx>
        <c:axId val="504415840"/>
        <c:scaling>
          <c:orientation val="minMax"/>
        </c:scaling>
        <c:delete val="0"/>
        <c:axPos val="l"/>
        <c:majorGridlines/>
        <c:numFmt formatCode="0" sourceLinked="1"/>
        <c:majorTickMark val="out"/>
        <c:minorTickMark val="none"/>
        <c:tickLblPos val="nextTo"/>
        <c:crossAx val="504415448"/>
        <c:crossesAt val="1"/>
        <c:crossBetween val="midCat"/>
        <c:dispUnits>
          <c:builtInUnit val="millions"/>
          <c:dispUnitsLbl/>
        </c:dispUnits>
      </c:valAx>
    </c:plotArea>
    <c:legend>
      <c:legendPos val="b"/>
      <c:layout>
        <c:manualLayout>
          <c:xMode val="edge"/>
          <c:yMode val="edge"/>
          <c:x val="3.7107988083768001E-2"/>
          <c:y val="0.85751288033440298"/>
          <c:w val="0.96289201191623197"/>
          <c:h val="9.8930607811954493E-2"/>
        </c:manualLayout>
      </c:layout>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services'!$A$215</c:f>
          <c:strCache>
            <c:ptCount val="1"/>
            <c:pt idx="0">
              <c:v>Scenario 3 requires 1.25 million SWH by 2019</c:v>
            </c:pt>
          </c:strCache>
        </c:strRef>
      </c:tx>
      <c:overlay val="0"/>
      <c:txPr>
        <a:bodyPr/>
        <a:lstStyle/>
        <a:p>
          <a:pPr>
            <a:defRPr sz="1200"/>
          </a:pPr>
          <a:endParaRPr lang="en-US"/>
        </a:p>
      </c:txPr>
    </c:title>
    <c:autoTitleDeleted val="0"/>
    <c:plotArea>
      <c:layout>
        <c:manualLayout>
          <c:layoutTarget val="inner"/>
          <c:xMode val="edge"/>
          <c:yMode val="edge"/>
          <c:x val="9.2812554680664905E-2"/>
          <c:y val="6.0185185185185203E-2"/>
          <c:w val="0.87107633420822395"/>
          <c:h val="0.69245589093030002"/>
        </c:manualLayout>
      </c:layout>
      <c:lineChart>
        <c:grouping val="standard"/>
        <c:varyColors val="0"/>
        <c:ser>
          <c:idx val="0"/>
          <c:order val="0"/>
          <c:tx>
            <c:strRef>
              <c:f>'access to services'!$C$216</c:f>
              <c:strCache>
                <c:ptCount val="1"/>
                <c:pt idx="0">
                  <c:v>PAM HI</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services'!$D$216:$L$216</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0-BA38-443A-9417-4395B1A8976C}"/>
            </c:ext>
          </c:extLst>
        </c:ser>
        <c:ser>
          <c:idx val="1"/>
          <c:order val="1"/>
          <c:tx>
            <c:strRef>
              <c:f>'access to services'!#REF!</c:f>
              <c:strCache>
                <c:ptCount val="1"/>
                <c:pt idx="0">
                  <c:v>#REF!</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services'!$D$217:$L$217</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1-BA38-443A-9417-4395B1A8976C}"/>
            </c:ext>
          </c:extLst>
        </c:ser>
        <c:ser>
          <c:idx val="2"/>
          <c:order val="2"/>
          <c:tx>
            <c:strRef>
              <c:f>'access to services'!$C$220</c:f>
              <c:strCache>
                <c:ptCount val="1"/>
                <c:pt idx="0">
                  <c:v>PAM LI</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services'!$D$220:$L$220</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2-BA38-443A-9417-4395B1A8976C}"/>
            </c:ext>
          </c:extLst>
        </c:ser>
        <c:ser>
          <c:idx val="3"/>
          <c:order val="3"/>
          <c:tx>
            <c:strRef>
              <c:f>'access to services'!$C$221</c:f>
              <c:strCache>
                <c:ptCount val="1"/>
                <c:pt idx="0">
                  <c:v>Total</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services'!$D$221:$L$221</c:f>
              <c:numCache>
                <c:formatCode>General</c:formatCode>
                <c:ptCount val="9"/>
                <c:pt idx="0">
                  <c:v>304141</c:v>
                </c:pt>
                <c:pt idx="1">
                  <c:v>551502.1609360741</c:v>
                </c:pt>
                <c:pt idx="2">
                  <c:v>2364519.4243992153</c:v>
                </c:pt>
                <c:pt idx="3">
                  <c:v>6845161.8966388889</c:v>
                </c:pt>
                <c:pt idx="4">
                  <c:v>9828616.1575267073</c:v>
                </c:pt>
                <c:pt idx="5">
                  <c:v>12450011.614291897</c:v>
                </c:pt>
                <c:pt idx="6">
                  <c:v>14230534.368169675</c:v>
                </c:pt>
                <c:pt idx="7">
                  <c:v>15364291.470706658</c:v>
                </c:pt>
                <c:pt idx="8">
                  <c:v>16207311.408860965</c:v>
                </c:pt>
              </c:numCache>
            </c:numRef>
          </c:val>
          <c:smooth val="0"/>
          <c:extLst>
            <c:ext xmlns:c16="http://schemas.microsoft.com/office/drawing/2014/chart" uri="{C3380CC4-5D6E-409C-BE32-E72D297353CC}">
              <c16:uniqueId val="{00000003-BA38-443A-9417-4395B1A8976C}"/>
            </c:ext>
          </c:extLst>
        </c:ser>
        <c:dLbls>
          <c:showLegendKey val="0"/>
          <c:showVal val="0"/>
          <c:showCatName val="0"/>
          <c:showSerName val="0"/>
          <c:showPercent val="0"/>
          <c:showBubbleSize val="0"/>
        </c:dLbls>
        <c:smooth val="0"/>
        <c:axId val="504416624"/>
        <c:axId val="504417016"/>
      </c:lineChart>
      <c:catAx>
        <c:axId val="504416624"/>
        <c:scaling>
          <c:orientation val="minMax"/>
        </c:scaling>
        <c:delete val="0"/>
        <c:axPos val="b"/>
        <c:numFmt formatCode="General" sourceLinked="1"/>
        <c:majorTickMark val="out"/>
        <c:minorTickMark val="none"/>
        <c:tickLblPos val="nextTo"/>
        <c:crossAx val="504417016"/>
        <c:crosses val="autoZero"/>
        <c:auto val="1"/>
        <c:lblAlgn val="ctr"/>
        <c:lblOffset val="100"/>
        <c:noMultiLvlLbl val="0"/>
      </c:catAx>
      <c:valAx>
        <c:axId val="504417016"/>
        <c:scaling>
          <c:orientation val="minMax"/>
        </c:scaling>
        <c:delete val="0"/>
        <c:axPos val="l"/>
        <c:majorGridlines/>
        <c:numFmt formatCode="General" sourceLinked="1"/>
        <c:majorTickMark val="out"/>
        <c:minorTickMark val="none"/>
        <c:tickLblPos val="nextTo"/>
        <c:crossAx val="504416624"/>
        <c:crosses val="autoZero"/>
        <c:crossBetween val="between"/>
        <c:dispUnits>
          <c:builtInUnit val="millions"/>
          <c:dispUnitsLbl/>
        </c:dispUnits>
      </c:valAx>
    </c:plotArea>
    <c:legend>
      <c:legendPos val="b"/>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2011_17'!$A$111:$C$111</c:f>
              <c:strCache>
                <c:ptCount val="3"/>
                <c:pt idx="0">
                  <c:v>Cooking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2011_17'!$D$111:$O$111</c15:sqref>
                  </c15:fullRef>
                </c:ext>
              </c:extLst>
              <c:f>('Census 2011_17'!$F$111,'Census 2011_17'!$O$111)</c:f>
              <c:numCache>
                <c:formatCode>0</c:formatCode>
                <c:ptCount val="2"/>
                <c:pt idx="0" formatCode="_ * #,##0_ ;_ * \-#,##0_ ;_ * &quot;-&quot;??_ ;_ @_ ">
                  <c:v>4087821.0046737627</c:v>
                </c:pt>
                <c:pt idx="1" formatCode="General">
                  <c:v>5035376.3812507456</c:v>
                </c:pt>
              </c:numCache>
            </c:numRef>
          </c:val>
          <c:extLst>
            <c:ext xmlns:c16="http://schemas.microsoft.com/office/drawing/2014/chart" uri="{C3380CC4-5D6E-409C-BE32-E72D297353CC}">
              <c16:uniqueId val="{00000000-EF06-4615-A11F-5683D7DB4C1C}"/>
            </c:ext>
          </c:extLst>
        </c:ser>
        <c:ser>
          <c:idx val="1"/>
          <c:order val="1"/>
          <c:tx>
            <c:strRef>
              <c:f>'Census 2011_17'!$A$112:$C$112</c:f>
              <c:strCache>
                <c:ptCount val="3"/>
                <c:pt idx="0">
                  <c:v>Cooking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2011_17'!$D$112:$O$112</c15:sqref>
                  </c15:fullRef>
                </c:ext>
              </c:extLst>
              <c:f>('Census 2011_17'!$F$112,'Census 2011_17'!$O$112)</c:f>
              <c:numCache>
                <c:formatCode>General</c:formatCode>
                <c:ptCount val="2"/>
                <c:pt idx="0" formatCode="_ * #,##0_ ;_ * \-#,##0_ ;_ * &quot;-&quot;??_ ;_ @_ ">
                  <c:v>160273.27776203959</c:v>
                </c:pt>
                <c:pt idx="1">
                  <c:v>252083.25552862149</c:v>
                </c:pt>
              </c:numCache>
            </c:numRef>
          </c:val>
          <c:extLst>
            <c:ext xmlns:c16="http://schemas.microsoft.com/office/drawing/2014/chart" uri="{C3380CC4-5D6E-409C-BE32-E72D297353CC}">
              <c16:uniqueId val="{00000001-EF06-4615-A11F-5683D7DB4C1C}"/>
            </c:ext>
          </c:extLst>
        </c:ser>
        <c:ser>
          <c:idx val="2"/>
          <c:order val="2"/>
          <c:tx>
            <c:strRef>
              <c:f>'Census 2011_17'!$A$113:$C$113</c:f>
              <c:strCache>
                <c:ptCount val="3"/>
                <c:pt idx="0">
                  <c:v>Cooking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2011_17'!$D$113:$O$113</c15:sqref>
                  </c15:fullRef>
                </c:ext>
              </c:extLst>
              <c:f>('Census 2011_17'!$F$113,'Census 2011_17'!$O$113)</c:f>
              <c:numCache>
                <c:formatCode>General</c:formatCode>
                <c:ptCount val="2"/>
                <c:pt idx="0" formatCode="_ * #,##0_ ;_ * \-#,##0_ ;_ * &quot;-&quot;??_ ;_ @_ ">
                  <c:v>812481.36042408273</c:v>
                </c:pt>
                <c:pt idx="1">
                  <c:v>955332.09294816176</c:v>
                </c:pt>
              </c:numCache>
            </c:numRef>
          </c:val>
          <c:extLst>
            <c:ext xmlns:c16="http://schemas.microsoft.com/office/drawing/2014/chart" uri="{C3380CC4-5D6E-409C-BE32-E72D297353CC}">
              <c16:uniqueId val="{00000002-EF06-4615-A11F-5683D7DB4C1C}"/>
            </c:ext>
          </c:extLst>
        </c:ser>
        <c:ser>
          <c:idx val="3"/>
          <c:order val="3"/>
          <c:tx>
            <c:strRef>
              <c:f>'Census 2011_17'!$A$114:$C$114</c:f>
              <c:strCache>
                <c:ptCount val="3"/>
                <c:pt idx="0">
                  <c:v>Cooking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2011_17'!$D$114:$O$114</c15:sqref>
                  </c15:fullRef>
                </c:ext>
              </c:extLst>
              <c:f>('Census 2011_17'!$F$114,'Census 2011_17'!$O$114)</c:f>
              <c:numCache>
                <c:formatCode>General</c:formatCode>
                <c:ptCount val="2"/>
                <c:pt idx="0" formatCode="_ * #,##0_ ;_ * \-#,##0_ ;_ * &quot;-&quot;??_ ;_ @_ ">
                  <c:v>1153870.361664877</c:v>
                </c:pt>
                <c:pt idx="1">
                  <c:v>1372344.095683275</c:v>
                </c:pt>
              </c:numCache>
            </c:numRef>
          </c:val>
          <c:extLst>
            <c:ext xmlns:c16="http://schemas.microsoft.com/office/drawing/2014/chart" uri="{C3380CC4-5D6E-409C-BE32-E72D297353CC}">
              <c16:uniqueId val="{00000003-EF06-4615-A11F-5683D7DB4C1C}"/>
            </c:ext>
          </c:extLst>
        </c:ser>
        <c:ser>
          <c:idx val="4"/>
          <c:order val="4"/>
          <c:tx>
            <c:strRef>
              <c:f>'Census 2011_17'!$A$115:$C$115</c:f>
              <c:strCache>
                <c:ptCount val="3"/>
                <c:pt idx="0">
                  <c:v>Cooking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2011_17'!$D$115:$O$115</c15:sqref>
                  </c15:fullRef>
                </c:ext>
              </c:extLst>
              <c:f>('Census 2011_17'!$F$115,'Census 2011_17'!$O$115)</c:f>
              <c:numCache>
                <c:formatCode>General</c:formatCode>
                <c:ptCount val="2"/>
                <c:pt idx="0" formatCode="_ * #,##0_ ;_ * \-#,##0_ ;_ * &quot;-&quot;??_ ;_ @_ ">
                  <c:v>54263.078515796238</c:v>
                </c:pt>
                <c:pt idx="1">
                  <c:v>40194.30393457281</c:v>
                </c:pt>
              </c:numCache>
            </c:numRef>
          </c:val>
          <c:extLst>
            <c:ext xmlns:c16="http://schemas.microsoft.com/office/drawing/2014/chart" uri="{C3380CC4-5D6E-409C-BE32-E72D297353CC}">
              <c16:uniqueId val="{00000004-EF06-4615-A11F-5683D7DB4C1C}"/>
            </c:ext>
          </c:extLst>
        </c:ser>
        <c:ser>
          <c:idx val="5"/>
          <c:order val="5"/>
          <c:tx>
            <c:strRef>
              <c:f>'Census 2011_17'!$A$116:$C$116</c:f>
              <c:strCache>
                <c:ptCount val="3"/>
                <c:pt idx="0">
                  <c:v>Cooking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2011_17'!$D$116:$O$116</c15:sqref>
                  </c15:fullRef>
                </c:ext>
              </c:extLst>
              <c:f>('Census 2011_17'!$F$116,'Census 2011_17'!$O$116)</c:f>
              <c:numCache>
                <c:formatCode>General</c:formatCode>
                <c:ptCount val="2"/>
                <c:pt idx="0" formatCode="_ * #,##0_ ;_ * \-#,##0_ ;_ * &quot;-&quot;??_ ;_ @_ ">
                  <c:v>28061.148597041283</c:v>
                </c:pt>
                <c:pt idx="1">
                  <c:v>8342.4438237741979</c:v>
                </c:pt>
              </c:numCache>
            </c:numRef>
          </c:val>
          <c:extLst>
            <c:ext xmlns:c16="http://schemas.microsoft.com/office/drawing/2014/chart" uri="{C3380CC4-5D6E-409C-BE32-E72D297353CC}">
              <c16:uniqueId val="{00000005-EF06-4615-A11F-5683D7DB4C1C}"/>
            </c:ext>
          </c:extLst>
        </c:ser>
        <c:ser>
          <c:idx val="6"/>
          <c:order val="6"/>
          <c:tx>
            <c:strRef>
              <c:f>'Census 2011_17'!$A$117:$C$117</c:f>
              <c:strCache>
                <c:ptCount val="3"/>
                <c:pt idx="0">
                  <c:v>Cooking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2011_17'!$D$117:$O$117</c15:sqref>
                  </c15:fullRef>
                </c:ext>
              </c:extLst>
              <c:f>('Census 2011_17'!$F$117,'Census 2011_17'!$O$117)</c:f>
              <c:numCache>
                <c:formatCode>General</c:formatCode>
                <c:ptCount val="2"/>
                <c:pt idx="0" formatCode="_ * #,##0_ ;_ * \-#,##0_ ;_ * &quot;-&quot;??_ ;_ @_ ">
                  <c:v>9076.1259727888028</c:v>
                </c:pt>
                <c:pt idx="1">
                  <c:v>7802.7506175123835</c:v>
                </c:pt>
              </c:numCache>
            </c:numRef>
          </c:val>
          <c:extLst>
            <c:ext xmlns:c16="http://schemas.microsoft.com/office/drawing/2014/chart" uri="{C3380CC4-5D6E-409C-BE32-E72D297353CC}">
              <c16:uniqueId val="{00000006-EF06-4615-A11F-5683D7DB4C1C}"/>
            </c:ext>
          </c:extLst>
        </c:ser>
        <c:ser>
          <c:idx val="7"/>
          <c:order val="7"/>
          <c:tx>
            <c:strRef>
              <c:f>'Census 2011_17'!$A$118:$C$118</c:f>
              <c:strCache>
                <c:ptCount val="3"/>
                <c:pt idx="0">
                  <c:v>Cooking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2011_17'!$D$118:$O$118</c15:sqref>
                  </c15:fullRef>
                </c:ext>
              </c:extLst>
              <c:f>('Census 2011_17'!$F$118,'Census 2011_17'!$O$118)</c:f>
              <c:numCache>
                <c:formatCode>General</c:formatCode>
                <c:ptCount val="2"/>
                <c:pt idx="0" formatCode="_ * #,##0_ ;_ * \-#,##0_ ;_ * &quot;-&quot;??_ ;_ @_ ">
                  <c:v>9757.2617573359421</c:v>
                </c:pt>
                <c:pt idx="1">
                  <c:v>10363.928491492848</c:v>
                </c:pt>
              </c:numCache>
            </c:numRef>
          </c:val>
          <c:extLst>
            <c:ext xmlns:c16="http://schemas.microsoft.com/office/drawing/2014/chart" uri="{C3380CC4-5D6E-409C-BE32-E72D297353CC}">
              <c16:uniqueId val="{00000007-EF06-4615-A11F-5683D7DB4C1C}"/>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2011_17'!$A$121:$C$121</c:f>
              <c:strCache>
                <c:ptCount val="3"/>
                <c:pt idx="0">
                  <c:v>Cooking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2011_17'!$D$121:$O$121</c15:sqref>
                  </c15:fullRef>
                </c:ext>
              </c:extLst>
              <c:f>('Census 2011_17'!$F$121,'Census 2011_17'!$O$121)</c:f>
              <c:numCache>
                <c:formatCode>0</c:formatCode>
                <c:ptCount val="2"/>
                <c:pt idx="0" formatCode="_ * #,##0_ ;_ * \-#,##0_ ;_ * &quot;-&quot;??_ ;_ @_ ">
                  <c:v>3435830.5027295714</c:v>
                </c:pt>
                <c:pt idx="1" formatCode="General">
                  <c:v>4197062.3111257274</c:v>
                </c:pt>
              </c:numCache>
            </c:numRef>
          </c:val>
          <c:extLst>
            <c:ext xmlns:c16="http://schemas.microsoft.com/office/drawing/2014/chart" uri="{C3380CC4-5D6E-409C-BE32-E72D297353CC}">
              <c16:uniqueId val="{00000000-34B4-4283-826C-9A5657DCE530}"/>
            </c:ext>
          </c:extLst>
        </c:ser>
        <c:ser>
          <c:idx val="1"/>
          <c:order val="1"/>
          <c:tx>
            <c:strRef>
              <c:f>'Census 2011_17'!$A$122:$C$122</c:f>
              <c:strCache>
                <c:ptCount val="3"/>
                <c:pt idx="0">
                  <c:v>Cooking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2011_17'!$D$122:$O$122</c15:sqref>
                  </c15:fullRef>
                </c:ext>
              </c:extLst>
              <c:f>('Census 2011_17'!$F$122,'Census 2011_17'!$O$122)</c:f>
              <c:numCache>
                <c:formatCode>General</c:formatCode>
                <c:ptCount val="2"/>
                <c:pt idx="0" formatCode="_ * #,##0_ ;_ * \-#,##0_ ;_ * &quot;-&quot;??_ ;_ @_ ">
                  <c:v>131714.17393537625</c:v>
                </c:pt>
                <c:pt idx="1">
                  <c:v>205441.89434393408</c:v>
                </c:pt>
              </c:numCache>
            </c:numRef>
          </c:val>
          <c:extLst>
            <c:ext xmlns:c16="http://schemas.microsoft.com/office/drawing/2014/chart" uri="{C3380CC4-5D6E-409C-BE32-E72D297353CC}">
              <c16:uniqueId val="{00000001-34B4-4283-826C-9A5657DCE530}"/>
            </c:ext>
          </c:extLst>
        </c:ser>
        <c:ser>
          <c:idx val="2"/>
          <c:order val="2"/>
          <c:tx>
            <c:strRef>
              <c:f>'Census 2011_17'!$A$123:$C$123</c:f>
              <c:strCache>
                <c:ptCount val="3"/>
                <c:pt idx="0">
                  <c:v>Cooking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2011_17'!$D$123:$O$123</c15:sqref>
                  </c15:fullRef>
                </c:ext>
              </c:extLst>
              <c:f>('Census 2011_17'!$F$123,'Census 2011_17'!$O$123)</c:f>
              <c:numCache>
                <c:formatCode>General</c:formatCode>
                <c:ptCount val="2"/>
                <c:pt idx="0" formatCode="_ * #,##0_ ;_ * \-#,##0_ ;_ * &quot;-&quot;??_ ;_ @_ ">
                  <c:v>368197.45285899984</c:v>
                </c:pt>
                <c:pt idx="1">
                  <c:v>429334.07571922371</c:v>
                </c:pt>
              </c:numCache>
            </c:numRef>
          </c:val>
          <c:extLst>
            <c:ext xmlns:c16="http://schemas.microsoft.com/office/drawing/2014/chart" uri="{C3380CC4-5D6E-409C-BE32-E72D297353CC}">
              <c16:uniqueId val="{00000002-34B4-4283-826C-9A5657DCE530}"/>
            </c:ext>
          </c:extLst>
        </c:ser>
        <c:ser>
          <c:idx val="3"/>
          <c:order val="3"/>
          <c:tx>
            <c:strRef>
              <c:f>'Census 2011_17'!$A$124:$C$124</c:f>
              <c:strCache>
                <c:ptCount val="3"/>
                <c:pt idx="0">
                  <c:v>Cooking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2011_17'!$D$124:$O$124</c15:sqref>
                  </c15:fullRef>
                </c:ext>
              </c:extLst>
              <c:f>('Census 2011_17'!$F$124,'Census 2011_17'!$O$124)</c:f>
              <c:numCache>
                <c:formatCode>General</c:formatCode>
                <c:ptCount val="2"/>
                <c:pt idx="0" formatCode="_ * #,##0_ ;_ * \-#,##0_ ;_ * &quot;-&quot;??_ ;_ @_ ">
                  <c:v>588016.51650784316</c:v>
                </c:pt>
                <c:pt idx="1">
                  <c:v>693536.2139641809</c:v>
                </c:pt>
              </c:numCache>
            </c:numRef>
          </c:val>
          <c:extLst>
            <c:ext xmlns:c16="http://schemas.microsoft.com/office/drawing/2014/chart" uri="{C3380CC4-5D6E-409C-BE32-E72D297353CC}">
              <c16:uniqueId val="{00000003-34B4-4283-826C-9A5657DCE530}"/>
            </c:ext>
          </c:extLst>
        </c:ser>
        <c:ser>
          <c:idx val="4"/>
          <c:order val="4"/>
          <c:tx>
            <c:strRef>
              <c:f>'Census 2011_17'!$A$125:$C$125</c:f>
              <c:strCache>
                <c:ptCount val="3"/>
                <c:pt idx="0">
                  <c:v>Cooking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2011_17'!$D$125:$O$125</c15:sqref>
                  </c15:fullRef>
                </c:ext>
              </c:extLst>
              <c:f>('Census 2011_17'!$F$125,'Census 2011_17'!$O$125)</c:f>
              <c:numCache>
                <c:formatCode>General</c:formatCode>
                <c:ptCount val="2"/>
                <c:pt idx="0" formatCode="_ * #,##0_ ;_ * \-#,##0_ ;_ * &quot;-&quot;??_ ;_ @_ ">
                  <c:v>41330.752947390385</c:v>
                </c:pt>
                <c:pt idx="1">
                  <c:v>30360.367114407229</c:v>
                </c:pt>
              </c:numCache>
            </c:numRef>
          </c:val>
          <c:extLst>
            <c:ext xmlns:c16="http://schemas.microsoft.com/office/drawing/2014/chart" uri="{C3380CC4-5D6E-409C-BE32-E72D297353CC}">
              <c16:uniqueId val="{00000004-34B4-4283-826C-9A5657DCE530}"/>
            </c:ext>
          </c:extLst>
        </c:ser>
        <c:ser>
          <c:idx val="5"/>
          <c:order val="5"/>
          <c:tx>
            <c:strRef>
              <c:f>'Census 2011_17'!$A$126:$C$126</c:f>
              <c:strCache>
                <c:ptCount val="3"/>
                <c:pt idx="0">
                  <c:v>Cooking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2011_17'!$D$126:$O$126</c15:sqref>
                  </c15:fullRef>
                </c:ext>
              </c:extLst>
              <c:f>('Census 2011_17'!$F$126,'Census 2011_17'!$O$126)</c:f>
              <c:numCache>
                <c:formatCode>General</c:formatCode>
                <c:ptCount val="2"/>
                <c:pt idx="0" formatCode="_ * #,##0_ ;_ * \-#,##0_ ;_ * &quot;-&quot;??_ ;_ @_ ">
                  <c:v>15177.720459499902</c:v>
                </c:pt>
                <c:pt idx="1">
                  <c:v>4474.7421571461582</c:v>
                </c:pt>
              </c:numCache>
            </c:numRef>
          </c:val>
          <c:extLst>
            <c:ext xmlns:c16="http://schemas.microsoft.com/office/drawing/2014/chart" uri="{C3380CC4-5D6E-409C-BE32-E72D297353CC}">
              <c16:uniqueId val="{00000005-34B4-4283-826C-9A5657DCE530}"/>
            </c:ext>
          </c:extLst>
        </c:ser>
        <c:ser>
          <c:idx val="6"/>
          <c:order val="6"/>
          <c:tx>
            <c:strRef>
              <c:f>'Census 2011_17'!$A$127:$C$127</c:f>
              <c:strCache>
                <c:ptCount val="3"/>
                <c:pt idx="0">
                  <c:v>Cooking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2011_17'!$D$127:$O$127</c15:sqref>
                  </c15:fullRef>
                </c:ext>
              </c:extLst>
              <c:f>('Census 2011_17'!$F$127,'Census 2011_17'!$O$127)</c:f>
              <c:numCache>
                <c:formatCode>General</c:formatCode>
                <c:ptCount val="2"/>
                <c:pt idx="0" formatCode="_ * #,##0_ ;_ * \-#,##0_ ;_ * &quot;-&quot;??_ ;_ @_ ">
                  <c:v>6772.1065546283799</c:v>
                </c:pt>
                <c:pt idx="1">
                  <c:v>5773.5723558002755</c:v>
                </c:pt>
              </c:numCache>
            </c:numRef>
          </c:val>
          <c:extLst>
            <c:ext xmlns:c16="http://schemas.microsoft.com/office/drawing/2014/chart" uri="{C3380CC4-5D6E-409C-BE32-E72D297353CC}">
              <c16:uniqueId val="{00000006-34B4-4283-826C-9A5657DCE530}"/>
            </c:ext>
          </c:extLst>
        </c:ser>
        <c:ser>
          <c:idx val="7"/>
          <c:order val="7"/>
          <c:tx>
            <c:strRef>
              <c:f>'Census 2011_17'!$A$128:$C$128</c:f>
              <c:strCache>
                <c:ptCount val="3"/>
                <c:pt idx="0">
                  <c:v>Cooking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2011_17'!$D$128:$O$128</c15:sqref>
                  </c15:fullRef>
                </c:ext>
              </c:extLst>
              <c:f>('Census 2011_17'!$F$128,'Census 2011_17'!$O$128)</c:f>
              <c:numCache>
                <c:formatCode>General</c:formatCode>
                <c:ptCount val="2"/>
                <c:pt idx="0" formatCode="_ * #,##0_ ;_ * \-#,##0_ ;_ * &quot;-&quot;??_ ;_ @_ ">
                  <c:v>6759.2602874594422</c:v>
                </c:pt>
                <c:pt idx="1">
                  <c:v>7119.8237185132712</c:v>
                </c:pt>
              </c:numCache>
            </c:numRef>
          </c:val>
          <c:extLst>
            <c:ext xmlns:c16="http://schemas.microsoft.com/office/drawing/2014/chart" uri="{C3380CC4-5D6E-409C-BE32-E72D297353CC}">
              <c16:uniqueId val="{00000007-34B4-4283-826C-9A5657DCE530}"/>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2011_17'!$A$131:$C$131</c:f>
              <c:strCache>
                <c:ptCount val="3"/>
                <c:pt idx="0">
                  <c:v>Cooking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2011_17'!$D$131:$O$131</c15:sqref>
                  </c15:fullRef>
                </c:ext>
              </c:extLst>
              <c:f>('Census 2011_17'!$F$131,'Census 2011_17'!$O$131)</c:f>
              <c:numCache>
                <c:formatCode>0</c:formatCode>
                <c:ptCount val="2"/>
                <c:pt idx="0" formatCode="_ * #,##0_ ;_ * \-#,##0_ ;_ * &quot;-&quot;??_ ;_ @_ ">
                  <c:v>3087798.6671653627</c:v>
                </c:pt>
                <c:pt idx="1" formatCode="General">
                  <c:v>3692349.1126473104</c:v>
                </c:pt>
              </c:numCache>
            </c:numRef>
          </c:val>
          <c:extLst>
            <c:ext xmlns:c16="http://schemas.microsoft.com/office/drawing/2014/chart" uri="{C3380CC4-5D6E-409C-BE32-E72D297353CC}">
              <c16:uniqueId val="{00000000-C45F-4088-BB52-371E9F8F5BFE}"/>
            </c:ext>
          </c:extLst>
        </c:ser>
        <c:ser>
          <c:idx val="1"/>
          <c:order val="1"/>
          <c:tx>
            <c:strRef>
              <c:f>'Census 2011_17'!$A$132:$C$132</c:f>
              <c:strCache>
                <c:ptCount val="3"/>
                <c:pt idx="0">
                  <c:v>Cooking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2011_17'!$D$132:$O$132</c15:sqref>
                  </c15:fullRef>
                </c:ext>
              </c:extLst>
              <c:f>('Census 2011_17'!$F$132,'Census 2011_17'!$O$132)</c:f>
              <c:numCache>
                <c:formatCode>General</c:formatCode>
                <c:ptCount val="2"/>
                <c:pt idx="0" formatCode="_ * #,##0_ ;_ * \-#,##0_ ;_ * &quot;-&quot;??_ ;_ @_ ">
                  <c:v>215628.23639258422</c:v>
                </c:pt>
                <c:pt idx="1">
                  <c:v>329232.13998518517</c:v>
                </c:pt>
              </c:numCache>
            </c:numRef>
          </c:val>
          <c:extLst>
            <c:ext xmlns:c16="http://schemas.microsoft.com/office/drawing/2014/chart" uri="{C3380CC4-5D6E-409C-BE32-E72D297353CC}">
              <c16:uniqueId val="{00000001-C45F-4088-BB52-371E9F8F5BFE}"/>
            </c:ext>
          </c:extLst>
        </c:ser>
        <c:ser>
          <c:idx val="2"/>
          <c:order val="2"/>
          <c:tx>
            <c:strRef>
              <c:f>'Census 2011_17'!$A$133:$C$133</c:f>
              <c:strCache>
                <c:ptCount val="3"/>
                <c:pt idx="0">
                  <c:v>Cooking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2011_17'!$D$133:$O$133</c15:sqref>
                  </c15:fullRef>
                </c:ext>
              </c:extLst>
              <c:f>('Census 2011_17'!$F$133,'Census 2011_17'!$O$133)</c:f>
              <c:numCache>
                <c:formatCode>General</c:formatCode>
                <c:ptCount val="2"/>
                <c:pt idx="0" formatCode="_ * #,##0_ ;_ * \-#,##0_ ;_ * &quot;-&quot;??_ ;_ @_ ">
                  <c:v>46658.228266917657</c:v>
                </c:pt>
                <c:pt idx="1">
                  <c:v>53257.762733822565</c:v>
                </c:pt>
              </c:numCache>
            </c:numRef>
          </c:val>
          <c:extLst>
            <c:ext xmlns:c16="http://schemas.microsoft.com/office/drawing/2014/chart" uri="{C3380CC4-5D6E-409C-BE32-E72D297353CC}">
              <c16:uniqueId val="{00000002-C45F-4088-BB52-371E9F8F5BFE}"/>
            </c:ext>
          </c:extLst>
        </c:ser>
        <c:ser>
          <c:idx val="3"/>
          <c:order val="3"/>
          <c:tx>
            <c:strRef>
              <c:f>'Census 2011_17'!$A$134:$C$134</c:f>
              <c:strCache>
                <c:ptCount val="3"/>
                <c:pt idx="0">
                  <c:v>Cooking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2011_17'!$D$134:$O$134</c15:sqref>
                  </c15:fullRef>
                </c:ext>
              </c:extLst>
              <c:f>('Census 2011_17'!$F$134,'Census 2011_17'!$O$134)</c:f>
              <c:numCache>
                <c:formatCode>General</c:formatCode>
                <c:ptCount val="2"/>
                <c:pt idx="0" formatCode="_ * #,##0_ ;_ * \-#,##0_ ;_ * &quot;-&quot;??_ ;_ @_ ">
                  <c:v>65718.702627079838</c:v>
                </c:pt>
                <c:pt idx="1">
                  <c:v>75876.745559416202</c:v>
                </c:pt>
              </c:numCache>
            </c:numRef>
          </c:val>
          <c:extLst>
            <c:ext xmlns:c16="http://schemas.microsoft.com/office/drawing/2014/chart" uri="{C3380CC4-5D6E-409C-BE32-E72D297353CC}">
              <c16:uniqueId val="{00000003-C45F-4088-BB52-371E9F8F5BFE}"/>
            </c:ext>
          </c:extLst>
        </c:ser>
        <c:ser>
          <c:idx val="4"/>
          <c:order val="4"/>
          <c:tx>
            <c:strRef>
              <c:f>'Census 2011_17'!$A$135:$C$135</c:f>
              <c:strCache>
                <c:ptCount val="3"/>
                <c:pt idx="0">
                  <c:v>Cooking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2011_17'!$D$135:$O$135</c15:sqref>
                  </c15:fullRef>
                </c:ext>
              </c:extLst>
              <c:f>('Census 2011_17'!$F$135,'Census 2011_17'!$O$135)</c:f>
              <c:numCache>
                <c:formatCode>General</c:formatCode>
                <c:ptCount val="2"/>
                <c:pt idx="0" formatCode="_ * #,##0_ ;_ * \-#,##0_ ;_ * &quot;-&quot;??_ ;_ @_ ">
                  <c:v>8577.4895668133522</c:v>
                </c:pt>
                <c:pt idx="1">
                  <c:v>6167.8527309642832</c:v>
                </c:pt>
              </c:numCache>
            </c:numRef>
          </c:val>
          <c:extLst>
            <c:ext xmlns:c16="http://schemas.microsoft.com/office/drawing/2014/chart" uri="{C3380CC4-5D6E-409C-BE32-E72D297353CC}">
              <c16:uniqueId val="{00000004-C45F-4088-BB52-371E9F8F5BFE}"/>
            </c:ext>
          </c:extLst>
        </c:ser>
        <c:ser>
          <c:idx val="5"/>
          <c:order val="5"/>
          <c:tx>
            <c:strRef>
              <c:f>'Census 2011_17'!$A$136:$C$136</c:f>
              <c:strCache>
                <c:ptCount val="3"/>
                <c:pt idx="0">
                  <c:v>Cooking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2011_17'!$D$136:$O$136</c15:sqref>
                  </c15:fullRef>
                </c:ext>
              </c:extLst>
              <c:f>('Census 2011_17'!$F$136,'Census 2011_17'!$O$136)</c:f>
              <c:numCache>
                <c:formatCode>General</c:formatCode>
                <c:ptCount val="2"/>
                <c:pt idx="0" formatCode="_ * #,##0_ ;_ * \-#,##0_ ;_ * &quot;-&quot;??_ ;_ @_ ">
                  <c:v>2110.4762134588191</c:v>
                </c:pt>
                <c:pt idx="1">
                  <c:v>609.09077648709797</c:v>
                </c:pt>
              </c:numCache>
            </c:numRef>
          </c:val>
          <c:extLst>
            <c:ext xmlns:c16="http://schemas.microsoft.com/office/drawing/2014/chart" uri="{C3380CC4-5D6E-409C-BE32-E72D297353CC}">
              <c16:uniqueId val="{00000005-C45F-4088-BB52-371E9F8F5BFE}"/>
            </c:ext>
          </c:extLst>
        </c:ser>
        <c:ser>
          <c:idx val="6"/>
          <c:order val="6"/>
          <c:tx>
            <c:strRef>
              <c:f>'Census 2011_17'!$A$137:$C$137</c:f>
              <c:strCache>
                <c:ptCount val="3"/>
                <c:pt idx="0">
                  <c:v>Cooking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2011_17'!$D$137:$O$137</c15:sqref>
                  </c15:fullRef>
                </c:ext>
              </c:extLst>
              <c:f>('Census 2011_17'!$F$137,'Census 2011_17'!$O$137)</c:f>
              <c:numCache>
                <c:formatCode>General</c:formatCode>
                <c:ptCount val="2"/>
                <c:pt idx="0" formatCode="_ * #,##0_ ;_ * \-#,##0_ ;_ * &quot;-&quot;??_ ;_ @_ ">
                  <c:v>6406.9930225828166</c:v>
                </c:pt>
                <c:pt idx="1">
                  <c:v>5347.0614679686996</c:v>
                </c:pt>
              </c:numCache>
            </c:numRef>
          </c:val>
          <c:extLst>
            <c:ext xmlns:c16="http://schemas.microsoft.com/office/drawing/2014/chart" uri="{C3380CC4-5D6E-409C-BE32-E72D297353CC}">
              <c16:uniqueId val="{00000006-C45F-4088-BB52-371E9F8F5BFE}"/>
            </c:ext>
          </c:extLst>
        </c:ser>
        <c:ser>
          <c:idx val="7"/>
          <c:order val="7"/>
          <c:tx>
            <c:strRef>
              <c:f>'Census 2011_17'!$A$138:$C$138</c:f>
              <c:strCache>
                <c:ptCount val="3"/>
                <c:pt idx="0">
                  <c:v>Cooking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2011_17'!$D$138:$O$138</c15:sqref>
                  </c15:fullRef>
                </c:ext>
              </c:extLst>
              <c:f>('Census 2011_17'!$F$138,'Census 2011_17'!$O$138)</c:f>
              <c:numCache>
                <c:formatCode>General</c:formatCode>
                <c:ptCount val="2"/>
                <c:pt idx="0" formatCode="_ * #,##0_ ;_ * \-#,##0_ ;_ * &quot;-&quot;??_ ;_ @_ ">
                  <c:v>12827.044605204619</c:v>
                </c:pt>
                <c:pt idx="1">
                  <c:v>13226.251321754638</c:v>
                </c:pt>
              </c:numCache>
            </c:numRef>
          </c:val>
          <c:extLst>
            <c:ext xmlns:c16="http://schemas.microsoft.com/office/drawing/2014/chart" uri="{C3380CC4-5D6E-409C-BE32-E72D297353CC}">
              <c16:uniqueId val="{00000007-C45F-4088-BB52-371E9F8F5BFE}"/>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2011_17'!$A$142:$C$142</c:f>
              <c:strCache>
                <c:ptCount val="3"/>
                <c:pt idx="0">
                  <c:v>Space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2011_17'!$D$142:$O$142</c15:sqref>
                  </c15:fullRef>
                </c:ext>
              </c:extLst>
              <c:f>('Census 2011_17'!$F$142,'Census 2011_17'!$O$142)</c:f>
              <c:numCache>
                <c:formatCode>0</c:formatCode>
                <c:ptCount val="2"/>
                <c:pt idx="0" formatCode="_ * #,##0_ ;_ * \-#,##0_ ;_ * &quot;-&quot;??_ ;_ @_ ">
                  <c:v>3081508.5867071724</c:v>
                </c:pt>
                <c:pt idx="1" formatCode="General">
                  <c:v>4291349.1386891333</c:v>
                </c:pt>
              </c:numCache>
            </c:numRef>
          </c:val>
          <c:extLst>
            <c:ext xmlns:c16="http://schemas.microsoft.com/office/drawing/2014/chart" uri="{C3380CC4-5D6E-409C-BE32-E72D297353CC}">
              <c16:uniqueId val="{00000000-9454-4FDA-BB02-3144C424A9E4}"/>
            </c:ext>
          </c:extLst>
        </c:ser>
        <c:ser>
          <c:idx val="1"/>
          <c:order val="1"/>
          <c:tx>
            <c:strRef>
              <c:f>'Census 2011_17'!$A$143:$C$143</c:f>
              <c:strCache>
                <c:ptCount val="3"/>
                <c:pt idx="0">
                  <c:v>Space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2011_17'!$D$143:$O$143</c15:sqref>
                  </c15:fullRef>
                </c:ext>
              </c:extLst>
              <c:f>('Census 2011_17'!$F$143,'Census 2011_17'!$O$143)</c:f>
              <c:numCache>
                <c:formatCode>General</c:formatCode>
                <c:ptCount val="2"/>
                <c:pt idx="0" formatCode="_ * #,##0_ ;_ * \-#,##0_ ;_ * &quot;-&quot;??_ ;_ @_ ">
                  <c:v>94123.381456433897</c:v>
                </c:pt>
                <c:pt idx="1">
                  <c:v>62818.775225126206</c:v>
                </c:pt>
              </c:numCache>
            </c:numRef>
          </c:val>
          <c:extLst>
            <c:ext xmlns:c16="http://schemas.microsoft.com/office/drawing/2014/chart" uri="{C3380CC4-5D6E-409C-BE32-E72D297353CC}">
              <c16:uniqueId val="{00000001-9454-4FDA-BB02-3144C424A9E4}"/>
            </c:ext>
          </c:extLst>
        </c:ser>
        <c:ser>
          <c:idx val="2"/>
          <c:order val="2"/>
          <c:tx>
            <c:strRef>
              <c:f>'Census 2011_17'!$A$144:$C$144</c:f>
              <c:strCache>
                <c:ptCount val="3"/>
                <c:pt idx="0">
                  <c:v>Space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2011_17'!$D$144:$O$144</c15:sqref>
                  </c15:fullRef>
                </c:ext>
              </c:extLst>
              <c:f>('Census 2011_17'!$F$144,'Census 2011_17'!$O$144)</c:f>
              <c:numCache>
                <c:formatCode>General</c:formatCode>
                <c:ptCount val="2"/>
                <c:pt idx="0" formatCode="_ * #,##0_ ;_ * \-#,##0_ ;_ * &quot;-&quot;??_ ;_ @_ ">
                  <c:v>685694.49919708585</c:v>
                </c:pt>
                <c:pt idx="1">
                  <c:v>647712.94436239137</c:v>
                </c:pt>
              </c:numCache>
            </c:numRef>
          </c:val>
          <c:extLst>
            <c:ext xmlns:c16="http://schemas.microsoft.com/office/drawing/2014/chart" uri="{C3380CC4-5D6E-409C-BE32-E72D297353CC}">
              <c16:uniqueId val="{00000002-9454-4FDA-BB02-3144C424A9E4}"/>
            </c:ext>
          </c:extLst>
        </c:ser>
        <c:ser>
          <c:idx val="3"/>
          <c:order val="3"/>
          <c:tx>
            <c:strRef>
              <c:f>'Census 2011_17'!$A$145:$C$145</c:f>
              <c:strCache>
                <c:ptCount val="3"/>
                <c:pt idx="0">
                  <c:v>Space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2011_17'!$D$145:$O$145</c15:sqref>
                  </c15:fullRef>
                </c:ext>
              </c:extLst>
              <c:f>('Census 2011_17'!$F$145,'Census 2011_17'!$O$145)</c:f>
              <c:numCache>
                <c:formatCode>General</c:formatCode>
                <c:ptCount val="2"/>
                <c:pt idx="0" formatCode="_ * #,##0_ ;_ * \-#,##0_ ;_ * &quot;-&quot;??_ ;_ @_ ">
                  <c:v>1355061.8881845069</c:v>
                </c:pt>
                <c:pt idx="1">
                  <c:v>1250150.8461852802</c:v>
                </c:pt>
              </c:numCache>
            </c:numRef>
          </c:val>
          <c:extLst>
            <c:ext xmlns:c16="http://schemas.microsoft.com/office/drawing/2014/chart" uri="{C3380CC4-5D6E-409C-BE32-E72D297353CC}">
              <c16:uniqueId val="{00000003-9454-4FDA-BB02-3144C424A9E4}"/>
            </c:ext>
          </c:extLst>
        </c:ser>
        <c:ser>
          <c:idx val="4"/>
          <c:order val="4"/>
          <c:tx>
            <c:strRef>
              <c:f>'Census 2011_17'!$A$146:$C$146</c:f>
              <c:strCache>
                <c:ptCount val="3"/>
                <c:pt idx="0">
                  <c:v>Space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2011_17'!$D$146:$O$146</c15:sqref>
                  </c15:fullRef>
                </c:ext>
              </c:extLst>
              <c:f>('Census 2011_17'!$F$146,'Census 2011_17'!$O$146)</c:f>
              <c:numCache>
                <c:formatCode>General</c:formatCode>
                <c:ptCount val="2"/>
                <c:pt idx="0" formatCode="_ * #,##0_ ;_ * \-#,##0_ ;_ * &quot;-&quot;??_ ;_ @_ ">
                  <c:v>151676.8164678452</c:v>
                </c:pt>
                <c:pt idx="1">
                  <c:v>104957.6396032787</c:v>
                </c:pt>
              </c:numCache>
            </c:numRef>
          </c:val>
          <c:extLst>
            <c:ext xmlns:c16="http://schemas.microsoft.com/office/drawing/2014/chart" uri="{C3380CC4-5D6E-409C-BE32-E72D297353CC}">
              <c16:uniqueId val="{00000004-9454-4FDA-BB02-3144C424A9E4}"/>
            </c:ext>
          </c:extLst>
        </c:ser>
        <c:ser>
          <c:idx val="5"/>
          <c:order val="5"/>
          <c:tx>
            <c:strRef>
              <c:f>'Census 2011_17'!$A$147:$C$147</c:f>
              <c:strCache>
                <c:ptCount val="3"/>
                <c:pt idx="0">
                  <c:v>Space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2011_17'!$D$147:$O$147</c15:sqref>
                  </c15:fullRef>
                </c:ext>
              </c:extLst>
              <c:f>('Census 2011_17'!$F$147,'Census 2011_17'!$O$147)</c:f>
              <c:numCache>
                <c:formatCode>General</c:formatCode>
                <c:ptCount val="2"/>
                <c:pt idx="0" formatCode="_ * #,##0_ ;_ * \-#,##0_ ;_ * &quot;-&quot;??_ ;_ @_ ">
                  <c:v>28609.435607041258</c:v>
                </c:pt>
                <c:pt idx="1">
                  <c:v>10828.001135017636</c:v>
                </c:pt>
              </c:numCache>
            </c:numRef>
          </c:val>
          <c:extLst>
            <c:ext xmlns:c16="http://schemas.microsoft.com/office/drawing/2014/chart" uri="{C3380CC4-5D6E-409C-BE32-E72D297353CC}">
              <c16:uniqueId val="{00000005-9454-4FDA-BB02-3144C424A9E4}"/>
            </c:ext>
          </c:extLst>
        </c:ser>
        <c:ser>
          <c:idx val="6"/>
          <c:order val="6"/>
          <c:tx>
            <c:strRef>
              <c:f>'Census 2011_17'!$A$148:$C$148</c:f>
              <c:strCache>
                <c:ptCount val="3"/>
                <c:pt idx="0">
                  <c:v>Space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2011_17'!$D$148:$O$148</c15:sqref>
                  </c15:fullRef>
                </c:ext>
              </c:extLst>
              <c:f>('Census 2011_17'!$F$148,'Census 2011_17'!$O$148)</c:f>
              <c:numCache>
                <c:formatCode>General</c:formatCode>
                <c:ptCount val="2"/>
                <c:pt idx="0" formatCode="_ * #,##0_ ;_ * \-#,##0_ ;_ * &quot;-&quot;??_ ;_ @_ ">
                  <c:v>12587.568865749339</c:v>
                </c:pt>
                <c:pt idx="1">
                  <c:v>7093.8272695773594</c:v>
                </c:pt>
              </c:numCache>
            </c:numRef>
          </c:val>
          <c:extLst>
            <c:ext xmlns:c16="http://schemas.microsoft.com/office/drawing/2014/chart" uri="{C3380CC4-5D6E-409C-BE32-E72D297353CC}">
              <c16:uniqueId val="{00000006-9454-4FDA-BB02-3144C424A9E4}"/>
            </c:ext>
          </c:extLst>
        </c:ser>
        <c:ser>
          <c:idx val="7"/>
          <c:order val="7"/>
          <c:tx>
            <c:strRef>
              <c:f>'Census 2011_17'!$A$149:$C$149</c:f>
              <c:strCache>
                <c:ptCount val="3"/>
                <c:pt idx="0">
                  <c:v>Space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2011_17'!$D$149:$O$149</c15:sqref>
                  </c15:fullRef>
                </c:ext>
              </c:extLst>
              <c:f>('Census 2011_17'!$F$149,'Census 2011_17'!$O$149)</c:f>
              <c:numCache>
                <c:formatCode>General</c:formatCode>
                <c:ptCount val="2"/>
                <c:pt idx="0" formatCode="_ * #,##0_ ;_ * \-#,##0_ ;_ * &quot;-&quot;??_ ;_ @_ ">
                  <c:v>1100.5935699999995</c:v>
                </c:pt>
                <c:pt idx="1">
                  <c:v>131606.67420979385</c:v>
                </c:pt>
              </c:numCache>
            </c:numRef>
          </c:val>
          <c:extLst>
            <c:ext xmlns:c16="http://schemas.microsoft.com/office/drawing/2014/chart" uri="{C3380CC4-5D6E-409C-BE32-E72D297353CC}">
              <c16:uniqueId val="{00000007-9454-4FDA-BB02-3144C424A9E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2011_17'!$A$152:$C$152</c:f>
              <c:strCache>
                <c:ptCount val="3"/>
                <c:pt idx="0">
                  <c:v>Space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2011_17'!$D$152:$O$152</c15:sqref>
                  </c15:fullRef>
                </c:ext>
              </c:extLst>
              <c:f>('Census 2011_17'!$F$152,'Census 2011_17'!$O$152)</c:f>
              <c:numCache>
                <c:formatCode>0</c:formatCode>
                <c:ptCount val="2"/>
                <c:pt idx="0" formatCode="_ * #,##0_ ;_ * \-#,##0_ ;_ * &quot;-&quot;??_ ;_ @_ ">
                  <c:v>2656996.5305898534</c:v>
                </c:pt>
                <c:pt idx="1" formatCode="General">
                  <c:v>3511590.8771485593</c:v>
                </c:pt>
              </c:numCache>
            </c:numRef>
          </c:val>
          <c:extLst>
            <c:ext xmlns:c16="http://schemas.microsoft.com/office/drawing/2014/chart" uri="{C3380CC4-5D6E-409C-BE32-E72D297353CC}">
              <c16:uniqueId val="{00000000-5CFE-443A-BBAE-F429B1833118}"/>
            </c:ext>
          </c:extLst>
        </c:ser>
        <c:ser>
          <c:idx val="1"/>
          <c:order val="1"/>
          <c:tx>
            <c:strRef>
              <c:f>'Census 2011_17'!$A$153:$C$153</c:f>
              <c:strCache>
                <c:ptCount val="3"/>
                <c:pt idx="0">
                  <c:v>Space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2011_17'!$D$153:$O$153</c15:sqref>
                  </c15:fullRef>
                </c:ext>
              </c:extLst>
              <c:f>('Census 2011_17'!$F$153,'Census 2011_17'!$O$153)</c:f>
              <c:numCache>
                <c:formatCode>General</c:formatCode>
                <c:ptCount val="2"/>
                <c:pt idx="0" formatCode="_ * #,##0_ ;_ * \-#,##0_ ;_ * &quot;-&quot;??_ ;_ @_ ">
                  <c:v>72914.466729936423</c:v>
                </c:pt>
                <c:pt idx="1">
                  <c:v>46183.634219135638</c:v>
                </c:pt>
              </c:numCache>
            </c:numRef>
          </c:val>
          <c:extLst>
            <c:ext xmlns:c16="http://schemas.microsoft.com/office/drawing/2014/chart" uri="{C3380CC4-5D6E-409C-BE32-E72D297353CC}">
              <c16:uniqueId val="{00000001-5CFE-443A-BBAE-F429B1833118}"/>
            </c:ext>
          </c:extLst>
        </c:ser>
        <c:ser>
          <c:idx val="2"/>
          <c:order val="2"/>
          <c:tx>
            <c:strRef>
              <c:f>'Census 2011_17'!$A$154:$C$154</c:f>
              <c:strCache>
                <c:ptCount val="3"/>
                <c:pt idx="0">
                  <c:v>Space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2011_17'!$D$154:$O$154</c15:sqref>
                  </c15:fullRef>
                </c:ext>
              </c:extLst>
              <c:f>('Census 2011_17'!$F$154,'Census 2011_17'!$O$154)</c:f>
              <c:numCache>
                <c:formatCode>General</c:formatCode>
                <c:ptCount val="2"/>
                <c:pt idx="0" formatCode="_ * #,##0_ ;_ * \-#,##0_ ;_ * &quot;-&quot;??_ ;_ @_ ">
                  <c:v>414965.12518417882</c:v>
                </c:pt>
                <c:pt idx="1">
                  <c:v>372002.59314277355</c:v>
                </c:pt>
              </c:numCache>
            </c:numRef>
          </c:val>
          <c:extLst>
            <c:ext xmlns:c16="http://schemas.microsoft.com/office/drawing/2014/chart" uri="{C3380CC4-5D6E-409C-BE32-E72D297353CC}">
              <c16:uniqueId val="{00000002-5CFE-443A-BBAE-F429B1833118}"/>
            </c:ext>
          </c:extLst>
        </c:ser>
        <c:ser>
          <c:idx val="3"/>
          <c:order val="3"/>
          <c:tx>
            <c:strRef>
              <c:f>'Census 2011_17'!$A$155:$C$155</c:f>
              <c:strCache>
                <c:ptCount val="3"/>
                <c:pt idx="0">
                  <c:v>Space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2011_17'!$D$155:$O$155</c15:sqref>
                  </c15:fullRef>
                </c:ext>
              </c:extLst>
              <c:f>('Census 2011_17'!$F$155,'Census 2011_17'!$O$155)</c:f>
              <c:numCache>
                <c:formatCode>General</c:formatCode>
                <c:ptCount val="2"/>
                <c:pt idx="0" formatCode="_ * #,##0_ ;_ * \-#,##0_ ;_ * &quot;-&quot;??_ ;_ @_ ">
                  <c:v>722136.4443125386</c:v>
                </c:pt>
                <c:pt idx="1">
                  <c:v>632273.5424742758</c:v>
                </c:pt>
              </c:numCache>
            </c:numRef>
          </c:val>
          <c:extLst>
            <c:ext xmlns:c16="http://schemas.microsoft.com/office/drawing/2014/chart" uri="{C3380CC4-5D6E-409C-BE32-E72D297353CC}">
              <c16:uniqueId val="{00000003-5CFE-443A-BBAE-F429B1833118}"/>
            </c:ext>
          </c:extLst>
        </c:ser>
        <c:ser>
          <c:idx val="4"/>
          <c:order val="4"/>
          <c:tx>
            <c:strRef>
              <c:f>'Census 2011_17'!$A$156:$C$156</c:f>
              <c:strCache>
                <c:ptCount val="3"/>
                <c:pt idx="0">
                  <c:v>Space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2011_17'!$D$156:$O$156</c15:sqref>
                  </c15:fullRef>
                </c:ext>
              </c:extLst>
              <c:f>('Census 2011_17'!$F$156,'Census 2011_17'!$O$156)</c:f>
              <c:numCache>
                <c:formatCode>General</c:formatCode>
                <c:ptCount val="2"/>
                <c:pt idx="0" formatCode="_ * #,##0_ ;_ * \-#,##0_ ;_ * &quot;-&quot;??_ ;_ @_ ">
                  <c:v>111741.86941747647</c:v>
                </c:pt>
                <c:pt idx="1">
                  <c:v>73382.624605018456</c:v>
                </c:pt>
              </c:numCache>
            </c:numRef>
          </c:val>
          <c:extLst>
            <c:ext xmlns:c16="http://schemas.microsoft.com/office/drawing/2014/chart" uri="{C3380CC4-5D6E-409C-BE32-E72D297353CC}">
              <c16:uniqueId val="{00000004-5CFE-443A-BBAE-F429B1833118}"/>
            </c:ext>
          </c:extLst>
        </c:ser>
        <c:ser>
          <c:idx val="5"/>
          <c:order val="5"/>
          <c:tx>
            <c:strRef>
              <c:f>'Census 2011_17'!$A$157:$C$157</c:f>
              <c:strCache>
                <c:ptCount val="3"/>
                <c:pt idx="0">
                  <c:v>Space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2011_17'!$D$157:$O$157</c15:sqref>
                  </c15:fullRef>
                </c:ext>
              </c:extLst>
              <c:f>('Census 2011_17'!$F$157,'Census 2011_17'!$O$157)</c:f>
              <c:numCache>
                <c:formatCode>General</c:formatCode>
                <c:ptCount val="2"/>
                <c:pt idx="0" formatCode="_ * #,##0_ ;_ * \-#,##0_ ;_ * &quot;-&quot;??_ ;_ @_ ">
                  <c:v>15762.225579499907</c:v>
                </c:pt>
                <c:pt idx="1">
                  <c:v>5661.5975967862987</c:v>
                </c:pt>
              </c:numCache>
            </c:numRef>
          </c:val>
          <c:extLst>
            <c:ext xmlns:c16="http://schemas.microsoft.com/office/drawing/2014/chart" uri="{C3380CC4-5D6E-409C-BE32-E72D297353CC}">
              <c16:uniqueId val="{00000005-5CFE-443A-BBAE-F429B1833118}"/>
            </c:ext>
          </c:extLst>
        </c:ser>
        <c:ser>
          <c:idx val="6"/>
          <c:order val="6"/>
          <c:tx>
            <c:strRef>
              <c:f>'Census 2011_17'!$A$158:$C$158</c:f>
              <c:strCache>
                <c:ptCount val="3"/>
                <c:pt idx="0">
                  <c:v>Space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2011_17'!$D$158:$O$158</c15:sqref>
                  </c15:fullRef>
                </c:ext>
              </c:extLst>
              <c:f>('Census 2011_17'!$F$158,'Census 2011_17'!$O$158)</c:f>
              <c:numCache>
                <c:formatCode>General</c:formatCode>
                <c:ptCount val="2"/>
                <c:pt idx="0" formatCode="_ * #,##0_ ;_ * \-#,##0_ ;_ * &quot;-&quot;??_ ;_ @_ ">
                  <c:v>10014.361500741161</c:v>
                </c:pt>
                <c:pt idx="1">
                  <c:v>5356.0481413393936</c:v>
                </c:pt>
              </c:numCache>
            </c:numRef>
          </c:val>
          <c:extLst>
            <c:ext xmlns:c16="http://schemas.microsoft.com/office/drawing/2014/chart" uri="{C3380CC4-5D6E-409C-BE32-E72D297353CC}">
              <c16:uniqueId val="{00000006-5CFE-443A-BBAE-F429B1833118}"/>
            </c:ext>
          </c:extLst>
        </c:ser>
        <c:ser>
          <c:idx val="7"/>
          <c:order val="7"/>
          <c:tx>
            <c:strRef>
              <c:f>'Census 2011_17'!$A$159:$C$159</c:f>
              <c:strCache>
                <c:ptCount val="3"/>
                <c:pt idx="0">
                  <c:v>Space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2011_17'!$D$159:$O$159</c15:sqref>
                  </c15:fullRef>
                </c:ext>
              </c:extLst>
              <c:f>('Census 2011_17'!$F$159,'Census 2011_17'!$O$159)</c:f>
              <c:numCache>
                <c:formatCode>General</c:formatCode>
                <c:ptCount val="2"/>
                <c:pt idx="0" formatCode="_ * #,##0_ ;_ * \-#,##0_ ;_ * &quot;-&quot;??_ ;_ @_ ">
                  <c:v>651.78822000000002</c:v>
                </c:pt>
                <c:pt idx="1">
                  <c:v>73967.32409470767</c:v>
                </c:pt>
              </c:numCache>
            </c:numRef>
          </c:val>
          <c:extLst>
            <c:ext xmlns:c16="http://schemas.microsoft.com/office/drawing/2014/chart" uri="{C3380CC4-5D6E-409C-BE32-E72D297353CC}">
              <c16:uniqueId val="{00000007-5CFE-443A-BBAE-F429B183311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0889719639740834"/>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2011_17'!$A$162:$C$162</c:f>
              <c:strCache>
                <c:ptCount val="3"/>
                <c:pt idx="0">
                  <c:v>Space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2011_17'!$D$162:$O$162</c15:sqref>
                  </c15:fullRef>
                </c:ext>
              </c:extLst>
              <c:f>('Census 2011_17'!$F$162,'Census 2011_17'!$O$162)</c:f>
              <c:numCache>
                <c:formatCode>0</c:formatCode>
                <c:ptCount val="2"/>
                <c:pt idx="0" formatCode="_ * #,##0_ ;_ * \-#,##0_ ;_ * &quot;-&quot;??_ ;_ @_ ">
                  <c:v>2716677.6504021734</c:v>
                </c:pt>
                <c:pt idx="1" formatCode="General">
                  <c:v>3139161.2606434813</c:v>
                </c:pt>
              </c:numCache>
            </c:numRef>
          </c:val>
          <c:extLst>
            <c:ext xmlns:c16="http://schemas.microsoft.com/office/drawing/2014/chart" uri="{C3380CC4-5D6E-409C-BE32-E72D297353CC}">
              <c16:uniqueId val="{00000000-F7B4-4D98-81AF-AB3AE1F77471}"/>
            </c:ext>
          </c:extLst>
        </c:ser>
        <c:ser>
          <c:idx val="1"/>
          <c:order val="1"/>
          <c:tx>
            <c:strRef>
              <c:f>'Census 2011_17'!$A$163:$C$163</c:f>
              <c:strCache>
                <c:ptCount val="3"/>
                <c:pt idx="0">
                  <c:v>Space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2011_17'!$D$163:$O$163</c15:sqref>
                  </c15:fullRef>
                </c:ext>
              </c:extLst>
              <c:f>('Census 2011_17'!$F$163,'Census 2011_17'!$O$163)</c:f>
              <c:numCache>
                <c:formatCode>General</c:formatCode>
                <c:ptCount val="2"/>
                <c:pt idx="0" formatCode="_ * #,##0_ ;_ * \-#,##0_ ;_ * &quot;-&quot;??_ ;_ @_ ">
                  <c:v>190024.35272362945</c:v>
                </c:pt>
                <c:pt idx="1">
                  <c:v>105231.61955599848</c:v>
                </c:pt>
              </c:numCache>
            </c:numRef>
          </c:val>
          <c:extLst>
            <c:ext xmlns:c16="http://schemas.microsoft.com/office/drawing/2014/chart" uri="{C3380CC4-5D6E-409C-BE32-E72D297353CC}">
              <c16:uniqueId val="{00000001-F7B4-4D98-81AF-AB3AE1F77471}"/>
            </c:ext>
          </c:extLst>
        </c:ser>
        <c:ser>
          <c:idx val="2"/>
          <c:order val="2"/>
          <c:tx>
            <c:strRef>
              <c:f>'Census 2011_17'!$A$164:$C$164</c:f>
              <c:strCache>
                <c:ptCount val="3"/>
                <c:pt idx="0">
                  <c:v>Space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2011_17'!$D$164:$O$164</c15:sqref>
                  </c15:fullRef>
                </c:ext>
              </c:extLst>
              <c:f>('Census 2011_17'!$F$164,'Census 2011_17'!$O$164)</c:f>
              <c:numCache>
                <c:formatCode>General</c:formatCode>
                <c:ptCount val="2"/>
                <c:pt idx="0" formatCode="_ * #,##0_ ;_ * \-#,##0_ ;_ * &quot;-&quot;??_ ;_ @_ ">
                  <c:v>129563.31966873548</c:v>
                </c:pt>
                <c:pt idx="1">
                  <c:v>101549.78934897445</c:v>
                </c:pt>
              </c:numCache>
            </c:numRef>
          </c:val>
          <c:extLst>
            <c:ext xmlns:c16="http://schemas.microsoft.com/office/drawing/2014/chart" uri="{C3380CC4-5D6E-409C-BE32-E72D297353CC}">
              <c16:uniqueId val="{00000002-F7B4-4D98-81AF-AB3AE1F77471}"/>
            </c:ext>
          </c:extLst>
        </c:ser>
        <c:ser>
          <c:idx val="3"/>
          <c:order val="3"/>
          <c:tx>
            <c:strRef>
              <c:f>'Census 2011_17'!$A$165:$C$165</c:f>
              <c:strCache>
                <c:ptCount val="3"/>
                <c:pt idx="0">
                  <c:v>Space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2011_17'!$D$165:$O$165</c15:sqref>
                  </c15:fullRef>
                </c:ext>
              </c:extLst>
              <c:f>('Census 2011_17'!$F$165,'Census 2011_17'!$O$165)</c:f>
              <c:numCache>
                <c:formatCode>General</c:formatCode>
                <c:ptCount val="2"/>
                <c:pt idx="0" formatCode="_ * #,##0_ ;_ * \-#,##0_ ;_ * &quot;-&quot;??_ ;_ @_ ">
                  <c:v>126183.99040275536</c:v>
                </c:pt>
                <c:pt idx="1">
                  <c:v>96594.543577338511</c:v>
                </c:pt>
              </c:numCache>
            </c:numRef>
          </c:val>
          <c:extLst>
            <c:ext xmlns:c16="http://schemas.microsoft.com/office/drawing/2014/chart" uri="{C3380CC4-5D6E-409C-BE32-E72D297353CC}">
              <c16:uniqueId val="{00000003-F7B4-4D98-81AF-AB3AE1F77471}"/>
            </c:ext>
          </c:extLst>
        </c:ser>
        <c:ser>
          <c:idx val="4"/>
          <c:order val="4"/>
          <c:tx>
            <c:strRef>
              <c:f>'Census 2011_17'!$A$166:$C$166</c:f>
              <c:strCache>
                <c:ptCount val="3"/>
                <c:pt idx="0">
                  <c:v>Space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2011_17'!$D$166:$O$166</c15:sqref>
                  </c15:fullRef>
                </c:ext>
              </c:extLst>
              <c:f>('Census 2011_17'!$F$166,'Census 2011_17'!$O$166)</c:f>
              <c:numCache>
                <c:formatCode>General</c:formatCode>
                <c:ptCount val="2"/>
                <c:pt idx="0" formatCode="_ * #,##0_ ;_ * \-#,##0_ ;_ * &quot;-&quot;??_ ;_ @_ ">
                  <c:v>30530.003644678345</c:v>
                </c:pt>
                <c:pt idx="1">
                  <c:v>17529.388070357491</c:v>
                </c:pt>
              </c:numCache>
            </c:numRef>
          </c:val>
          <c:extLst>
            <c:ext xmlns:c16="http://schemas.microsoft.com/office/drawing/2014/chart" uri="{C3380CC4-5D6E-409C-BE32-E72D297353CC}">
              <c16:uniqueId val="{00000004-F7B4-4D98-81AF-AB3AE1F77471}"/>
            </c:ext>
          </c:extLst>
        </c:ser>
        <c:ser>
          <c:idx val="5"/>
          <c:order val="5"/>
          <c:tx>
            <c:strRef>
              <c:f>'Census 2011_17'!$A$167:$C$167</c:f>
              <c:strCache>
                <c:ptCount val="3"/>
                <c:pt idx="0">
                  <c:v>Space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2011_17'!$D$167:$O$167</c15:sqref>
                  </c15:fullRef>
                </c:ext>
              </c:extLst>
              <c:f>('Census 2011_17'!$F$167,'Census 2011_17'!$O$167)</c:f>
              <c:numCache>
                <c:formatCode>General</c:formatCode>
                <c:ptCount val="2"/>
                <c:pt idx="0" formatCode="_ * #,##0_ ;_ * \-#,##0_ ;_ * &quot;-&quot;??_ ;_ @_ ">
                  <c:v>3878.8686534588192</c:v>
                </c:pt>
                <c:pt idx="1">
                  <c:v>1218.1173386736302</c:v>
                </c:pt>
              </c:numCache>
            </c:numRef>
          </c:val>
          <c:extLst>
            <c:ext xmlns:c16="http://schemas.microsoft.com/office/drawing/2014/chart" uri="{C3380CC4-5D6E-409C-BE32-E72D297353CC}">
              <c16:uniqueId val="{00000005-F7B4-4D98-81AF-AB3AE1F77471}"/>
            </c:ext>
          </c:extLst>
        </c:ser>
        <c:ser>
          <c:idx val="6"/>
          <c:order val="6"/>
          <c:tx>
            <c:strRef>
              <c:f>'Census 2011_17'!$A$168:$C$168</c:f>
              <c:strCache>
                <c:ptCount val="3"/>
                <c:pt idx="0">
                  <c:v>Space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2011_17'!$D$168:$O$168</c15:sqref>
                  </c15:fullRef>
                </c:ext>
              </c:extLst>
              <c:f>('Census 2011_17'!$F$168,'Census 2011_17'!$O$168)</c:f>
              <c:numCache>
                <c:formatCode>General</c:formatCode>
                <c:ptCount val="2"/>
                <c:pt idx="0" formatCode="_ * #,##0_ ;_ * \-#,##0_ ;_ * &quot;-&quot;??_ ;_ @_ ">
                  <c:v>15768.357783509498</c:v>
                </c:pt>
                <c:pt idx="1">
                  <c:v>7373.4419313753015</c:v>
                </c:pt>
              </c:numCache>
            </c:numRef>
          </c:val>
          <c:extLst>
            <c:ext xmlns:c16="http://schemas.microsoft.com/office/drawing/2014/chart" uri="{C3380CC4-5D6E-409C-BE32-E72D297353CC}">
              <c16:uniqueId val="{00000006-F7B4-4D98-81AF-AB3AE1F77471}"/>
            </c:ext>
          </c:extLst>
        </c:ser>
        <c:ser>
          <c:idx val="7"/>
          <c:order val="7"/>
          <c:tx>
            <c:strRef>
              <c:f>'Census 2011_17'!$A$169:$C$169</c:f>
              <c:strCache>
                <c:ptCount val="3"/>
                <c:pt idx="0">
                  <c:v>Space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2011_17'!$D$169:$O$169</c15:sqref>
                  </c15:fullRef>
                </c:ext>
              </c:extLst>
              <c:f>('Census 2011_17'!$F$169,'Census 2011_17'!$O$169)</c:f>
              <c:numCache>
                <c:formatCode>General</c:formatCode>
                <c:ptCount val="2"/>
                <c:pt idx="0" formatCode="_ * #,##0_ ;_ * \-#,##0_ ;_ * &quot;-&quot;??_ ;_ @_ ">
                  <c:v>690.08531999999991</c:v>
                </c:pt>
                <c:pt idx="1">
                  <c:v>68469.756121604354</c:v>
                </c:pt>
              </c:numCache>
            </c:numRef>
          </c:val>
          <c:extLst>
            <c:ext xmlns:c16="http://schemas.microsoft.com/office/drawing/2014/chart" uri="{C3380CC4-5D6E-409C-BE32-E72D297353CC}">
              <c16:uniqueId val="{00000007-F7B4-4D98-81AF-AB3AE1F7747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2011_17'!$A$175:$C$175</c:f>
              <c:strCache>
                <c:ptCount val="3"/>
                <c:pt idx="0">
                  <c:v>Water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2011_17'!$D$175:$O$175</c15:sqref>
                  </c15:fullRef>
                </c:ext>
              </c:extLst>
              <c:f>('Census 2011_17'!$F$175,'Census 2011_17'!$O$175)</c:f>
              <c:numCache>
                <c:formatCode>0</c:formatCode>
                <c:ptCount val="2"/>
                <c:pt idx="0" formatCode="_ * #,##0_ ;_ * \-#,##0_ ;_ * &quot;-&quot;??_ ;_ @_ ">
                  <c:v>3081508.5867071724</c:v>
                </c:pt>
                <c:pt idx="1" formatCode="General">
                  <c:v>5110484.7120281458</c:v>
                </c:pt>
              </c:numCache>
            </c:numRef>
          </c:val>
          <c:extLst>
            <c:ext xmlns:c16="http://schemas.microsoft.com/office/drawing/2014/chart" uri="{C3380CC4-5D6E-409C-BE32-E72D297353CC}">
              <c16:uniqueId val="{00000000-12C5-4222-843C-1BD8D4A11DDF}"/>
            </c:ext>
          </c:extLst>
        </c:ser>
        <c:ser>
          <c:idx val="1"/>
          <c:order val="1"/>
          <c:tx>
            <c:strRef>
              <c:f>'Census 2011_17'!$A$176:$C$176</c:f>
              <c:strCache>
                <c:ptCount val="3"/>
                <c:pt idx="0">
                  <c:v>Water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2011_17'!$D$176:$O$176</c15:sqref>
                  </c15:fullRef>
                </c:ext>
              </c:extLst>
              <c:f>('Census 2011_17'!$F$176,'Census 2011_17'!$O$176)</c:f>
              <c:numCache>
                <c:formatCode>General</c:formatCode>
                <c:ptCount val="2"/>
                <c:pt idx="0" formatCode="_ * #,##0_ ;_ * \-#,##0_ ;_ * &quot;-&quot;??_ ;_ @_ ">
                  <c:v>94123.381456433897</c:v>
                </c:pt>
                <c:pt idx="1">
                  <c:v>222053.8309117771</c:v>
                </c:pt>
              </c:numCache>
            </c:numRef>
          </c:val>
          <c:extLst>
            <c:ext xmlns:c16="http://schemas.microsoft.com/office/drawing/2014/chart" uri="{C3380CC4-5D6E-409C-BE32-E72D297353CC}">
              <c16:uniqueId val="{00000001-12C5-4222-843C-1BD8D4A11DDF}"/>
            </c:ext>
          </c:extLst>
        </c:ser>
        <c:ser>
          <c:idx val="2"/>
          <c:order val="2"/>
          <c:tx>
            <c:strRef>
              <c:f>'Census 2011_17'!$A$177:$C$177</c:f>
              <c:strCache>
                <c:ptCount val="3"/>
                <c:pt idx="0">
                  <c:v>Water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2011_17'!$D$177:$O$177</c15:sqref>
                  </c15:fullRef>
                </c:ext>
              </c:extLst>
              <c:f>('Census 2011_17'!$F$177,'Census 2011_17'!$O$177)</c:f>
              <c:numCache>
                <c:formatCode>General</c:formatCode>
                <c:ptCount val="2"/>
                <c:pt idx="0" formatCode="_ * #,##0_ ;_ * \-#,##0_ ;_ * &quot;-&quot;??_ ;_ @_ ">
                  <c:v>685694.49919708585</c:v>
                </c:pt>
                <c:pt idx="1">
                  <c:v>820853.99802213954</c:v>
                </c:pt>
              </c:numCache>
            </c:numRef>
          </c:val>
          <c:extLst>
            <c:ext xmlns:c16="http://schemas.microsoft.com/office/drawing/2014/chart" uri="{C3380CC4-5D6E-409C-BE32-E72D297353CC}">
              <c16:uniqueId val="{00000002-12C5-4222-843C-1BD8D4A11DDF}"/>
            </c:ext>
          </c:extLst>
        </c:ser>
        <c:ser>
          <c:idx val="3"/>
          <c:order val="3"/>
          <c:tx>
            <c:strRef>
              <c:f>'Census 2011_17'!$A$178:$C$178</c:f>
              <c:strCache>
                <c:ptCount val="3"/>
                <c:pt idx="0">
                  <c:v>Water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2011_17'!$D$178:$O$178</c15:sqref>
                  </c15:fullRef>
                </c:ext>
              </c:extLst>
              <c:f>('Census 2011_17'!$F$178,'Census 2011_17'!$O$178)</c:f>
              <c:numCache>
                <c:formatCode>General</c:formatCode>
                <c:ptCount val="2"/>
                <c:pt idx="0" formatCode="_ * #,##0_ ;_ * \-#,##0_ ;_ * &quot;-&quot;??_ ;_ @_ ">
                  <c:v>1355061.8881845069</c:v>
                </c:pt>
                <c:pt idx="1">
                  <c:v>1343358.7342037922</c:v>
                </c:pt>
              </c:numCache>
            </c:numRef>
          </c:val>
          <c:extLst>
            <c:ext xmlns:c16="http://schemas.microsoft.com/office/drawing/2014/chart" uri="{C3380CC4-5D6E-409C-BE32-E72D297353CC}">
              <c16:uniqueId val="{00000003-12C5-4222-843C-1BD8D4A11DDF}"/>
            </c:ext>
          </c:extLst>
        </c:ser>
        <c:ser>
          <c:idx val="4"/>
          <c:order val="4"/>
          <c:tx>
            <c:strRef>
              <c:f>'Census 2011_17'!$A$179:$C$179</c:f>
              <c:strCache>
                <c:ptCount val="3"/>
                <c:pt idx="0">
                  <c:v>Water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2011_17'!$D$179:$O$179</c15:sqref>
                  </c15:fullRef>
                </c:ext>
              </c:extLst>
              <c:f>('Census 2011_17'!$F$179,'Census 2011_17'!$O$179)</c:f>
              <c:numCache>
                <c:formatCode>General</c:formatCode>
                <c:ptCount val="2"/>
                <c:pt idx="0" formatCode="_ * #,##0_ ;_ * \-#,##0_ ;_ * &quot;-&quot;??_ ;_ @_ ">
                  <c:v>151676.8164678452</c:v>
                </c:pt>
                <c:pt idx="1">
                  <c:v>40645.77102283053</c:v>
                </c:pt>
              </c:numCache>
            </c:numRef>
          </c:val>
          <c:extLst>
            <c:ext xmlns:c16="http://schemas.microsoft.com/office/drawing/2014/chart" uri="{C3380CC4-5D6E-409C-BE32-E72D297353CC}">
              <c16:uniqueId val="{00000004-12C5-4222-843C-1BD8D4A11DDF}"/>
            </c:ext>
          </c:extLst>
        </c:ser>
        <c:ser>
          <c:idx val="5"/>
          <c:order val="5"/>
          <c:tx>
            <c:strRef>
              <c:f>'Census 2011_17'!$A$180:$C$180</c:f>
              <c:strCache>
                <c:ptCount val="3"/>
                <c:pt idx="0">
                  <c:v>Water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2011_17'!$D$180:$O$180</c15:sqref>
                  </c15:fullRef>
                </c:ext>
              </c:extLst>
              <c:f>('Census 2011_17'!$F$180,'Census 2011_17'!$O$180)</c:f>
              <c:numCache>
                <c:formatCode>General</c:formatCode>
                <c:ptCount val="2"/>
                <c:pt idx="0" formatCode="_ * #,##0_ ;_ * \-#,##0_ ;_ * &quot;-&quot;??_ ;_ @_ ">
                  <c:v>28609.435607041258</c:v>
                </c:pt>
                <c:pt idx="1">
                  <c:v>8137.7481299188585</c:v>
                </c:pt>
              </c:numCache>
            </c:numRef>
          </c:val>
          <c:extLst>
            <c:ext xmlns:c16="http://schemas.microsoft.com/office/drawing/2014/chart" uri="{C3380CC4-5D6E-409C-BE32-E72D297353CC}">
              <c16:uniqueId val="{00000005-12C5-4222-843C-1BD8D4A11DDF}"/>
            </c:ext>
          </c:extLst>
        </c:ser>
        <c:ser>
          <c:idx val="6"/>
          <c:order val="6"/>
          <c:tx>
            <c:strRef>
              <c:f>'Census 2011_17'!$A$181:$C$181</c:f>
              <c:strCache>
                <c:ptCount val="3"/>
                <c:pt idx="0">
                  <c:v>Water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2011_17'!$D$181:$O$181</c15:sqref>
                  </c15:fullRef>
                </c:ext>
              </c:extLst>
              <c:f>('Census 2011_17'!$F$181,'Census 2011_17'!$O$181)</c:f>
              <c:numCache>
                <c:formatCode>General</c:formatCode>
                <c:ptCount val="2"/>
                <c:pt idx="0" formatCode="_ * #,##0_ ;_ * \-#,##0_ ;_ * &quot;-&quot;??_ ;_ @_ ">
                  <c:v>12587.568865749339</c:v>
                </c:pt>
                <c:pt idx="1">
                  <c:v>6561.8401659665033</c:v>
                </c:pt>
              </c:numCache>
            </c:numRef>
          </c:val>
          <c:extLst>
            <c:ext xmlns:c16="http://schemas.microsoft.com/office/drawing/2014/chart" uri="{C3380CC4-5D6E-409C-BE32-E72D297353CC}">
              <c16:uniqueId val="{00000006-12C5-4222-843C-1BD8D4A11DDF}"/>
            </c:ext>
          </c:extLst>
        </c:ser>
        <c:ser>
          <c:idx val="7"/>
          <c:order val="7"/>
          <c:tx>
            <c:strRef>
              <c:f>'Census 2011_17'!$A$182:$C$182</c:f>
              <c:strCache>
                <c:ptCount val="3"/>
                <c:pt idx="0">
                  <c:v>Water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2011_17'!$D$182:$O$182</c15:sqref>
                  </c15:fullRef>
                </c:ext>
              </c:extLst>
              <c:f>('Census 2011_17'!$F$182,'Census 2011_17'!$O$182)</c:f>
              <c:numCache>
                <c:formatCode>General</c:formatCode>
                <c:ptCount val="2"/>
                <c:pt idx="0" formatCode="_ * #,##0_ ;_ * \-#,##0_ ;_ * &quot;-&quot;??_ ;_ @_ ">
                  <c:v>1100.5935699999995</c:v>
                </c:pt>
                <c:pt idx="1">
                  <c:v>14515.029009412428</c:v>
                </c:pt>
              </c:numCache>
            </c:numRef>
          </c:val>
          <c:extLst>
            <c:ext xmlns:c16="http://schemas.microsoft.com/office/drawing/2014/chart" uri="{C3380CC4-5D6E-409C-BE32-E72D297353CC}">
              <c16:uniqueId val="{00000007-12C5-4222-843C-1BD8D4A11DDF}"/>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396364129254158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2011_17'!$A$185:$C$185</c:f>
              <c:strCache>
                <c:ptCount val="3"/>
                <c:pt idx="0">
                  <c:v>Water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2011_17'!$D$185:$O$185</c15:sqref>
                  </c15:fullRef>
                </c:ext>
              </c:extLst>
              <c:f>('Census 2011_17'!$F$185,'Census 2011_17'!$O$185)</c:f>
              <c:numCache>
                <c:formatCode>0</c:formatCode>
                <c:ptCount val="2"/>
                <c:pt idx="0" formatCode="_ * #,##0_ ;_ * \-#,##0_ ;_ * &quot;-&quot;??_ ;_ @_ ">
                  <c:v>2656996.5305898534</c:v>
                </c:pt>
                <c:pt idx="1" formatCode="General">
                  <c:v>4128464.5647394336</c:v>
                </c:pt>
              </c:numCache>
            </c:numRef>
          </c:val>
          <c:extLst>
            <c:ext xmlns:c16="http://schemas.microsoft.com/office/drawing/2014/chart" uri="{C3380CC4-5D6E-409C-BE32-E72D297353CC}">
              <c16:uniqueId val="{00000000-3003-4B47-A34C-F103C1AC1EA4}"/>
            </c:ext>
          </c:extLst>
        </c:ser>
        <c:ser>
          <c:idx val="1"/>
          <c:order val="1"/>
          <c:tx>
            <c:strRef>
              <c:f>'Census 2011_17'!$A$186:$C$186</c:f>
              <c:strCache>
                <c:ptCount val="3"/>
                <c:pt idx="0">
                  <c:v>Water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2011_17'!$D$186:$O$186</c15:sqref>
                  </c15:fullRef>
                </c:ext>
              </c:extLst>
              <c:f>('Census 2011_17'!$F$186,'Census 2011_17'!$O$186)</c:f>
              <c:numCache>
                <c:formatCode>General</c:formatCode>
                <c:ptCount val="2"/>
                <c:pt idx="0" formatCode="_ * #,##0_ ;_ * \-#,##0_ ;_ * &quot;-&quot;??_ ;_ @_ ">
                  <c:v>72914.466729936423</c:v>
                </c:pt>
                <c:pt idx="1">
                  <c:v>163389.19727450685</c:v>
                </c:pt>
              </c:numCache>
            </c:numRef>
          </c:val>
          <c:extLst>
            <c:ext xmlns:c16="http://schemas.microsoft.com/office/drawing/2014/chart" uri="{C3380CC4-5D6E-409C-BE32-E72D297353CC}">
              <c16:uniqueId val="{00000001-3003-4B47-A34C-F103C1AC1EA4}"/>
            </c:ext>
          </c:extLst>
        </c:ser>
        <c:ser>
          <c:idx val="2"/>
          <c:order val="2"/>
          <c:tx>
            <c:strRef>
              <c:f>'Census 2011_17'!$A$187:$C$187</c:f>
              <c:strCache>
                <c:ptCount val="3"/>
                <c:pt idx="0">
                  <c:v>Water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2011_17'!$D$187:$O$187</c15:sqref>
                  </c15:fullRef>
                </c:ext>
              </c:extLst>
              <c:f>('Census 2011_17'!$F$187,'Census 2011_17'!$O$187)</c:f>
              <c:numCache>
                <c:formatCode>General</c:formatCode>
                <c:ptCount val="2"/>
                <c:pt idx="0" formatCode="_ * #,##0_ ;_ * \-#,##0_ ;_ * &quot;-&quot;??_ ;_ @_ ">
                  <c:v>414965.12518417882</c:v>
                </c:pt>
                <c:pt idx="1">
                  <c:v>471841.06726770819</c:v>
                </c:pt>
              </c:numCache>
            </c:numRef>
          </c:val>
          <c:extLst>
            <c:ext xmlns:c16="http://schemas.microsoft.com/office/drawing/2014/chart" uri="{C3380CC4-5D6E-409C-BE32-E72D297353CC}">
              <c16:uniqueId val="{00000002-3003-4B47-A34C-F103C1AC1EA4}"/>
            </c:ext>
          </c:extLst>
        </c:ser>
        <c:ser>
          <c:idx val="3"/>
          <c:order val="3"/>
          <c:tx>
            <c:strRef>
              <c:f>'Census 2011_17'!$A$188:$C$188</c:f>
              <c:strCache>
                <c:ptCount val="3"/>
                <c:pt idx="0">
                  <c:v>Water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2011_17'!$D$188:$O$188</c15:sqref>
                  </c15:fullRef>
                </c:ext>
              </c:extLst>
              <c:f>('Census 2011_17'!$F$188,'Census 2011_17'!$O$188)</c:f>
              <c:numCache>
                <c:formatCode>General</c:formatCode>
                <c:ptCount val="2"/>
                <c:pt idx="0" formatCode="_ * #,##0_ ;_ * \-#,##0_ ;_ * &quot;-&quot;??_ ;_ @_ ">
                  <c:v>722136.4443125386</c:v>
                </c:pt>
                <c:pt idx="1">
                  <c:v>679987.64546150831</c:v>
                </c:pt>
              </c:numCache>
            </c:numRef>
          </c:val>
          <c:extLst>
            <c:ext xmlns:c16="http://schemas.microsoft.com/office/drawing/2014/chart" uri="{C3380CC4-5D6E-409C-BE32-E72D297353CC}">
              <c16:uniqueId val="{00000003-3003-4B47-A34C-F103C1AC1EA4}"/>
            </c:ext>
          </c:extLst>
        </c:ser>
        <c:ser>
          <c:idx val="4"/>
          <c:order val="4"/>
          <c:tx>
            <c:strRef>
              <c:f>'Census 2011_17'!$A$189:$C$189</c:f>
              <c:strCache>
                <c:ptCount val="3"/>
                <c:pt idx="0">
                  <c:v>Water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2011_17'!$D$189:$O$189</c15:sqref>
                  </c15:fullRef>
                </c:ext>
              </c:extLst>
              <c:f>('Census 2011_17'!$F$189,'Census 2011_17'!$O$189)</c:f>
              <c:numCache>
                <c:formatCode>General</c:formatCode>
                <c:ptCount val="2"/>
                <c:pt idx="0" formatCode="_ * #,##0_ ;_ * \-#,##0_ ;_ * &quot;-&quot;??_ ;_ @_ ">
                  <c:v>111741.86941747647</c:v>
                </c:pt>
                <c:pt idx="1">
                  <c:v>28442.055566113097</c:v>
                </c:pt>
              </c:numCache>
            </c:numRef>
          </c:val>
          <c:extLst>
            <c:ext xmlns:c16="http://schemas.microsoft.com/office/drawing/2014/chart" uri="{C3380CC4-5D6E-409C-BE32-E72D297353CC}">
              <c16:uniqueId val="{00000004-3003-4B47-A34C-F103C1AC1EA4}"/>
            </c:ext>
          </c:extLst>
        </c:ser>
        <c:ser>
          <c:idx val="5"/>
          <c:order val="5"/>
          <c:tx>
            <c:strRef>
              <c:f>'Census 2011_17'!$A$190:$C$190</c:f>
              <c:strCache>
                <c:ptCount val="3"/>
                <c:pt idx="0">
                  <c:v>Water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2011_17'!$D$190:$O$190</c15:sqref>
                  </c15:fullRef>
                </c:ext>
              </c:extLst>
              <c:f>('Census 2011_17'!$F$190,'Census 2011_17'!$O$190)</c:f>
              <c:numCache>
                <c:formatCode>General</c:formatCode>
                <c:ptCount val="2"/>
                <c:pt idx="0" formatCode="_ * #,##0_ ;_ * \-#,##0_ ;_ * &quot;-&quot;??_ ;_ @_ ">
                  <c:v>15762.225579499907</c:v>
                </c:pt>
                <c:pt idx="1">
                  <c:v>4258.5463500945662</c:v>
                </c:pt>
              </c:numCache>
            </c:numRef>
          </c:val>
          <c:extLst>
            <c:ext xmlns:c16="http://schemas.microsoft.com/office/drawing/2014/chart" uri="{C3380CC4-5D6E-409C-BE32-E72D297353CC}">
              <c16:uniqueId val="{00000005-3003-4B47-A34C-F103C1AC1EA4}"/>
            </c:ext>
          </c:extLst>
        </c:ser>
        <c:ser>
          <c:idx val="6"/>
          <c:order val="6"/>
          <c:tx>
            <c:strRef>
              <c:f>'Census 2011_17'!$A$191:$C$191</c:f>
              <c:strCache>
                <c:ptCount val="3"/>
                <c:pt idx="0">
                  <c:v>Water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2011_17'!$D$191:$O$191</c15:sqref>
                  </c15:fullRef>
                </c:ext>
              </c:extLst>
              <c:f>('Census 2011_17'!$F$191,'Census 2011_17'!$O$191)</c:f>
              <c:numCache>
                <c:formatCode>General</c:formatCode>
                <c:ptCount val="2"/>
                <c:pt idx="0" formatCode="_ * #,##0_ ;_ * \-#,##0_ ;_ * &quot;-&quot;??_ ;_ @_ ">
                  <c:v>10014.361500741161</c:v>
                </c:pt>
                <c:pt idx="1">
                  <c:v>4958.5641814599803</c:v>
                </c:pt>
              </c:numCache>
            </c:numRef>
          </c:val>
          <c:extLst>
            <c:ext xmlns:c16="http://schemas.microsoft.com/office/drawing/2014/chart" uri="{C3380CC4-5D6E-409C-BE32-E72D297353CC}">
              <c16:uniqueId val="{00000006-3003-4B47-A34C-F103C1AC1EA4}"/>
            </c:ext>
          </c:extLst>
        </c:ser>
        <c:ser>
          <c:idx val="7"/>
          <c:order val="7"/>
          <c:tx>
            <c:strRef>
              <c:f>'Census 2011_17'!$A$192:$C$192</c:f>
              <c:strCache>
                <c:ptCount val="3"/>
                <c:pt idx="0">
                  <c:v>Water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2011_17'!$D$192:$O$192</c15:sqref>
                  </c15:fullRef>
                </c:ext>
              </c:extLst>
              <c:f>('Census 2011_17'!$F$192,'Census 2011_17'!$O$192)</c:f>
              <c:numCache>
                <c:formatCode>General</c:formatCode>
                <c:ptCount val="2"/>
                <c:pt idx="0" formatCode="_ * #,##0_ ;_ * \-#,##0_ ;_ * &quot;-&quot;??_ ;_ @_ ">
                  <c:v>651.78822000000002</c:v>
                </c:pt>
                <c:pt idx="1">
                  <c:v>8164.8146506239509</c:v>
                </c:pt>
              </c:numCache>
            </c:numRef>
          </c:val>
          <c:extLst>
            <c:ext xmlns:c16="http://schemas.microsoft.com/office/drawing/2014/chart" uri="{C3380CC4-5D6E-409C-BE32-E72D297353CC}">
              <c16:uniqueId val="{00000007-3003-4B47-A34C-F103C1AC1EA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2011_17'!$A$195:$C$195</c:f>
              <c:strCache>
                <c:ptCount val="3"/>
                <c:pt idx="0">
                  <c:v>Water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2011_17'!$D$195:$O$195</c15:sqref>
                  </c15:fullRef>
                </c:ext>
              </c:extLst>
              <c:f>('Census 2011_17'!$F$195,'Census 2011_17'!$O$195)</c:f>
              <c:numCache>
                <c:formatCode>0</c:formatCode>
                <c:ptCount val="2"/>
                <c:pt idx="0" formatCode="_ * #,##0_ ;_ * \-#,##0_ ;_ * &quot;-&quot;??_ ;_ @_ ">
                  <c:v>2716677.6504021734</c:v>
                </c:pt>
                <c:pt idx="1" formatCode="General">
                  <c:v>3472894.3210074115</c:v>
                </c:pt>
              </c:numCache>
            </c:numRef>
          </c:val>
          <c:extLst>
            <c:ext xmlns:c16="http://schemas.microsoft.com/office/drawing/2014/chart" uri="{C3380CC4-5D6E-409C-BE32-E72D297353CC}">
              <c16:uniqueId val="{00000000-F71E-4737-84E8-B7C2FFB07991}"/>
            </c:ext>
          </c:extLst>
        </c:ser>
        <c:ser>
          <c:idx val="1"/>
          <c:order val="1"/>
          <c:tx>
            <c:strRef>
              <c:f>'Census 2011_17'!$A$196:$C$196</c:f>
              <c:strCache>
                <c:ptCount val="3"/>
                <c:pt idx="0">
                  <c:v>Water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2011_17'!$D$196:$O$196</c15:sqref>
                  </c15:fullRef>
                </c:ext>
              </c:extLst>
              <c:f>('Census 2011_17'!$F$196,'Census 2011_17'!$O$196)</c:f>
              <c:numCache>
                <c:formatCode>General</c:formatCode>
                <c:ptCount val="2"/>
                <c:pt idx="0" formatCode="_ * #,##0_ ;_ * \-#,##0_ ;_ * &quot;-&quot;??_ ;_ @_ ">
                  <c:v>190024.35272362945</c:v>
                </c:pt>
                <c:pt idx="1">
                  <c:v>380280.16356051847</c:v>
                </c:pt>
              </c:numCache>
            </c:numRef>
          </c:val>
          <c:extLst>
            <c:ext xmlns:c16="http://schemas.microsoft.com/office/drawing/2014/chart" uri="{C3380CC4-5D6E-409C-BE32-E72D297353CC}">
              <c16:uniqueId val="{00000001-F71E-4737-84E8-B7C2FFB07991}"/>
            </c:ext>
          </c:extLst>
        </c:ser>
        <c:ser>
          <c:idx val="2"/>
          <c:order val="2"/>
          <c:tx>
            <c:strRef>
              <c:f>'Census 2011_17'!$A$197:$C$197</c:f>
              <c:strCache>
                <c:ptCount val="3"/>
                <c:pt idx="0">
                  <c:v>Water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2011_17'!$D$197:$O$197</c15:sqref>
                  </c15:fullRef>
                </c:ext>
              </c:extLst>
              <c:f>('Census 2011_17'!$F$197,'Census 2011_17'!$O$197)</c:f>
              <c:numCache>
                <c:formatCode>General</c:formatCode>
                <c:ptCount val="2"/>
                <c:pt idx="0" formatCode="_ * #,##0_ ;_ * \-#,##0_ ;_ * &quot;-&quot;??_ ;_ @_ ">
                  <c:v>129563.31966873548</c:v>
                </c:pt>
                <c:pt idx="1">
                  <c:v>131568.21435853455</c:v>
                </c:pt>
              </c:numCache>
            </c:numRef>
          </c:val>
          <c:extLst>
            <c:ext xmlns:c16="http://schemas.microsoft.com/office/drawing/2014/chart" uri="{C3380CC4-5D6E-409C-BE32-E72D297353CC}">
              <c16:uniqueId val="{00000002-F71E-4737-84E8-B7C2FFB07991}"/>
            </c:ext>
          </c:extLst>
        </c:ser>
        <c:ser>
          <c:idx val="3"/>
          <c:order val="3"/>
          <c:tx>
            <c:strRef>
              <c:f>'Census 2011_17'!$A$198:$C$198</c:f>
              <c:strCache>
                <c:ptCount val="3"/>
                <c:pt idx="0">
                  <c:v>Water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2011_17'!$D$198:$O$198</c15:sqref>
                  </c15:fullRef>
                </c:ext>
              </c:extLst>
              <c:f>('Census 2011_17'!$F$198,'Census 2011_17'!$O$198)</c:f>
              <c:numCache>
                <c:formatCode>General</c:formatCode>
                <c:ptCount val="2"/>
                <c:pt idx="0" formatCode="_ * #,##0_ ;_ * \-#,##0_ ;_ * &quot;-&quot;??_ ;_ @_ ">
                  <c:v>126183.99040275536</c:v>
                </c:pt>
                <c:pt idx="1">
                  <c:v>106113.53708848105</c:v>
                </c:pt>
              </c:numCache>
            </c:numRef>
          </c:val>
          <c:extLst>
            <c:ext xmlns:c16="http://schemas.microsoft.com/office/drawing/2014/chart" uri="{C3380CC4-5D6E-409C-BE32-E72D297353CC}">
              <c16:uniqueId val="{00000003-F71E-4737-84E8-B7C2FFB07991}"/>
            </c:ext>
          </c:extLst>
        </c:ser>
        <c:ser>
          <c:idx val="4"/>
          <c:order val="4"/>
          <c:tx>
            <c:strRef>
              <c:f>'Census 2011_17'!$A$199:$C$199</c:f>
              <c:strCache>
                <c:ptCount val="3"/>
                <c:pt idx="0">
                  <c:v>Water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2011_17'!$D$199:$O$199</c15:sqref>
                  </c15:fullRef>
                </c:ext>
              </c:extLst>
              <c:f>('Census 2011_17'!$F$199,'Census 2011_17'!$O$199)</c:f>
              <c:numCache>
                <c:formatCode>General</c:formatCode>
                <c:ptCount val="2"/>
                <c:pt idx="0" formatCode="_ * #,##0_ ;_ * \-#,##0_ ;_ * &quot;-&quot;??_ ;_ @_ ">
                  <c:v>30530.003644678345</c:v>
                </c:pt>
                <c:pt idx="1">
                  <c:v>6939.9553908544667</c:v>
                </c:pt>
              </c:numCache>
            </c:numRef>
          </c:val>
          <c:extLst>
            <c:ext xmlns:c16="http://schemas.microsoft.com/office/drawing/2014/chart" uri="{C3380CC4-5D6E-409C-BE32-E72D297353CC}">
              <c16:uniqueId val="{00000004-F71E-4737-84E8-B7C2FFB07991}"/>
            </c:ext>
          </c:extLst>
        </c:ser>
        <c:ser>
          <c:idx val="5"/>
          <c:order val="5"/>
          <c:tx>
            <c:strRef>
              <c:f>'Census 2011_17'!$A$200:$C$200</c:f>
              <c:strCache>
                <c:ptCount val="3"/>
                <c:pt idx="0">
                  <c:v>Water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2011_17'!$D$200:$O$200</c15:sqref>
                  </c15:fullRef>
                </c:ext>
              </c:extLst>
              <c:f>('Census 2011_17'!$F$200,'Census 2011_17'!$O$200)</c:f>
              <c:numCache>
                <c:formatCode>General</c:formatCode>
                <c:ptCount val="2"/>
                <c:pt idx="0" formatCode="_ * #,##0_ ;_ * \-#,##0_ ;_ * &quot;-&quot;??_ ;_ @_ ">
                  <c:v>3878.8686534588192</c:v>
                </c:pt>
                <c:pt idx="1">
                  <c:v>935.909139952391</c:v>
                </c:pt>
              </c:numCache>
            </c:numRef>
          </c:val>
          <c:extLst>
            <c:ext xmlns:c16="http://schemas.microsoft.com/office/drawing/2014/chart" uri="{C3380CC4-5D6E-409C-BE32-E72D297353CC}">
              <c16:uniqueId val="{00000005-F71E-4737-84E8-B7C2FFB07991}"/>
            </c:ext>
          </c:extLst>
        </c:ser>
        <c:ser>
          <c:idx val="6"/>
          <c:order val="6"/>
          <c:tx>
            <c:strRef>
              <c:f>'Census 2011_17'!$A$201:$C$201</c:f>
              <c:strCache>
                <c:ptCount val="3"/>
                <c:pt idx="0">
                  <c:v>Water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2011_17'!$D$201:$O$201</c15:sqref>
                  </c15:fullRef>
                </c:ext>
              </c:extLst>
              <c:f>('Census 2011_17'!$F$201,'Census 2011_17'!$O$201)</c:f>
              <c:numCache>
                <c:formatCode>General</c:formatCode>
                <c:ptCount val="2"/>
                <c:pt idx="0" formatCode="_ * #,##0_ ;_ * \-#,##0_ ;_ * &quot;-&quot;??_ ;_ @_ ">
                  <c:v>15768.357783509498</c:v>
                </c:pt>
                <c:pt idx="1">
                  <c:v>6972.7471162832944</c:v>
                </c:pt>
              </c:numCache>
            </c:numRef>
          </c:val>
          <c:extLst>
            <c:ext xmlns:c16="http://schemas.microsoft.com/office/drawing/2014/chart" uri="{C3380CC4-5D6E-409C-BE32-E72D297353CC}">
              <c16:uniqueId val="{00000006-F71E-4737-84E8-B7C2FFB07991}"/>
            </c:ext>
          </c:extLst>
        </c:ser>
        <c:ser>
          <c:idx val="7"/>
          <c:order val="7"/>
          <c:tx>
            <c:strRef>
              <c:f>'Census 2011_17'!$A$202:$C$202</c:f>
              <c:strCache>
                <c:ptCount val="3"/>
                <c:pt idx="0">
                  <c:v>Water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2011_17'!$D$202:$O$202</c15:sqref>
                  </c15:fullRef>
                </c:ext>
              </c:extLst>
              <c:f>('Census 2011_17'!$F$202,'Census 2011_17'!$O$202)</c:f>
              <c:numCache>
                <c:formatCode>General</c:formatCode>
                <c:ptCount val="2"/>
                <c:pt idx="0" formatCode="_ * #,##0_ ;_ * \-#,##0_ ;_ * &quot;-&quot;??_ ;_ @_ ">
                  <c:v>690.08531999999991</c:v>
                </c:pt>
                <c:pt idx="1">
                  <c:v>7720.1793025290399</c:v>
                </c:pt>
              </c:numCache>
            </c:numRef>
          </c:val>
          <c:extLst>
            <c:ext xmlns:c16="http://schemas.microsoft.com/office/drawing/2014/chart" uri="{C3380CC4-5D6E-409C-BE32-E72D297353CC}">
              <c16:uniqueId val="{00000007-F71E-4737-84E8-B7C2FFB0799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2011_17'!$A$213:$C$213</c:f>
              <c:strCache>
                <c:ptCount val="3"/>
                <c:pt idx="0">
                  <c:v>Lighting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2011_17'!$D$213:$O$213</c15:sqref>
                  </c15:fullRef>
                </c:ext>
              </c:extLst>
              <c:f>('Census 2011_17'!$F$213,'Census 2011_17'!$O$213)</c:f>
              <c:numCache>
                <c:formatCode>General</c:formatCode>
                <c:ptCount val="2"/>
                <c:pt idx="0" formatCode="_ * #,##0_ ;_ * \-#,##0_ ;_ * &quot;-&quot;??_ ;_ @_ ">
                  <c:v>4934382.4149125442</c:v>
                </c:pt>
                <c:pt idx="1">
                  <c:v>5952269.8577147471</c:v>
                </c:pt>
              </c:numCache>
            </c:numRef>
          </c:val>
          <c:extLst>
            <c:ext xmlns:c16="http://schemas.microsoft.com/office/drawing/2014/chart" uri="{C3380CC4-5D6E-409C-BE32-E72D297353CC}">
              <c16:uniqueId val="{00000000-9334-4D18-AF12-F4527732CAED}"/>
            </c:ext>
          </c:extLst>
        </c:ser>
        <c:ser>
          <c:idx val="1"/>
          <c:order val="1"/>
          <c:tx>
            <c:strRef>
              <c:f>'Census 2011_17'!$A$214:$C$214</c:f>
              <c:strCache>
                <c:ptCount val="3"/>
                <c:pt idx="0">
                  <c:v>Lighting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2011_17'!$D$214:$O$214</c15:sqref>
                  </c15:fullRef>
                </c:ext>
              </c:extLst>
              <c:f>('Census 2011_17'!$F$214,'Census 2011_17'!$O$214)</c:f>
              <c:numCache>
                <c:formatCode>General</c:formatCode>
                <c:ptCount val="2"/>
                <c:pt idx="0" formatCode="_ * #,##0_ ;_ * \-#,##0_ ;_ * &quot;-&quot;??_ ;_ @_ ">
                  <c:v>17869.826769999992</c:v>
                </c:pt>
                <c:pt idx="1">
                  <c:v>21556.098068969837</c:v>
                </c:pt>
              </c:numCache>
            </c:numRef>
          </c:val>
          <c:extLst>
            <c:ext xmlns:c16="http://schemas.microsoft.com/office/drawing/2014/chart" uri="{C3380CC4-5D6E-409C-BE32-E72D297353CC}">
              <c16:uniqueId val="{00000001-9334-4D18-AF12-F4527732CAED}"/>
            </c:ext>
          </c:extLst>
        </c:ser>
        <c:ser>
          <c:idx val="2"/>
          <c:order val="2"/>
          <c:tx>
            <c:strRef>
              <c:f>'Census 2011_17'!$A$215:$C$215</c:f>
              <c:strCache>
                <c:ptCount val="3"/>
                <c:pt idx="0">
                  <c:v>Lighting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2011_17'!$D$215:$O$215</c15:sqref>
                  </c15:fullRef>
                </c:ext>
              </c:extLst>
              <c:f>('Census 2011_17'!$F$215,'Census 2011_17'!$O$215)</c:f>
              <c:numCache>
                <c:formatCode>General</c:formatCode>
                <c:ptCount val="2"/>
                <c:pt idx="0" formatCode="_ * #,##0_ ;_ * \-#,##0_ ;_ * &quot;-&quot;??_ ;_ @_ ">
                  <c:v>274321.35216982913</c:v>
                </c:pt>
                <c:pt idx="1">
                  <c:v>330909.64148083073</c:v>
                </c:pt>
              </c:numCache>
            </c:numRef>
          </c:val>
          <c:extLst>
            <c:ext xmlns:c16="http://schemas.microsoft.com/office/drawing/2014/chart" uri="{C3380CC4-5D6E-409C-BE32-E72D297353CC}">
              <c16:uniqueId val="{00000002-9334-4D18-AF12-F4527732CAED}"/>
            </c:ext>
          </c:extLst>
        </c:ser>
        <c:ser>
          <c:idx val="3"/>
          <c:order val="3"/>
          <c:tx>
            <c:strRef>
              <c:f>'Census 2011_17'!$A$216:$C$216</c:f>
              <c:strCache>
                <c:ptCount val="3"/>
                <c:pt idx="0">
                  <c:v>Lighting</c:v>
                </c:pt>
                <c:pt idx="1">
                  <c:v>Low income</c:v>
                </c:pt>
                <c:pt idx="2">
                  <c:v>Candles</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2011_17'!$D$216:$O$216</c15:sqref>
                  </c15:fullRef>
                </c:ext>
              </c:extLst>
              <c:f>('Census 2011_17'!$F$216,'Census 2011_17'!$O$216)</c:f>
              <c:numCache>
                <c:formatCode>General</c:formatCode>
                <c:ptCount val="2"/>
                <c:pt idx="0" formatCode="_ * #,##0_ ;_ * \-#,##0_ ;_ * &quot;-&quot;??_ ;_ @_ ">
                  <c:v>1088744.5315500766</c:v>
                </c:pt>
                <c:pt idx="1">
                  <c:v>1313335.8367831614</c:v>
                </c:pt>
              </c:numCache>
            </c:numRef>
          </c:val>
          <c:extLst>
            <c:ext xmlns:c16="http://schemas.microsoft.com/office/drawing/2014/chart" uri="{C3380CC4-5D6E-409C-BE32-E72D297353CC}">
              <c16:uniqueId val="{00000003-9334-4D18-AF12-F4527732CAED}"/>
            </c:ext>
          </c:extLst>
        </c:ser>
        <c:ser>
          <c:idx val="4"/>
          <c:order val="4"/>
          <c:tx>
            <c:strRef>
              <c:f>'Census 2011_17'!$A$217:$C$217</c:f>
              <c:strCache>
                <c:ptCount val="3"/>
                <c:pt idx="0">
                  <c:v>Lighting</c:v>
                </c:pt>
                <c:pt idx="1">
                  <c:v>Low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2011_17'!$D$217:$O$217</c15:sqref>
                  </c15:fullRef>
                </c:ext>
              </c:extLst>
              <c:f>('Census 2011_17'!$F$217,'Census 2011_17'!$O$217)</c:f>
              <c:numCache>
                <c:formatCode>General</c:formatCode>
                <c:ptCount val="2"/>
                <c:pt idx="0" formatCode="_ * #,##0_ ;_ * \-#,##0_ ;_ * &quot;-&quot;??_ ;_ @_ ">
                  <c:v>24110.493553320201</c:v>
                </c:pt>
                <c:pt idx="1">
                  <c:v>29084.118733549178</c:v>
                </c:pt>
              </c:numCache>
            </c:numRef>
          </c:val>
          <c:extLst>
            <c:ext xmlns:c16="http://schemas.microsoft.com/office/drawing/2014/chart" uri="{C3380CC4-5D6E-409C-BE32-E72D297353CC}">
              <c16:uniqueId val="{00000004-9334-4D18-AF12-F4527732CAED}"/>
            </c:ext>
          </c:extLst>
        </c:ser>
        <c:ser>
          <c:idx val="5"/>
          <c:order val="5"/>
          <c:tx>
            <c:strRef>
              <c:f>'Census 2011_17'!$A$218:$C$218</c:f>
              <c:strCache>
                <c:ptCount val="3"/>
                <c:pt idx="0">
                  <c:v>Lighting</c:v>
                </c:pt>
                <c:pt idx="1">
                  <c:v>Low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2011_17'!$D$218:$O$218</c15:sqref>
                  </c15:fullRef>
                </c:ext>
              </c:extLst>
              <c:f>('Census 2011_17'!$F$218,'Census 2011_17'!$O$218)</c:f>
              <c:numCache>
                <c:formatCode>General</c:formatCode>
                <c:ptCount val="2"/>
                <c:pt idx="0" formatCode="_ * #,##0_ ;_ * \-#,##0_ ;_ * &quot;-&quot;??_ ;_ @_ ">
                  <c:v>28752.499630000002</c:v>
                </c:pt>
                <c:pt idx="1">
                  <c:v>34683.699496897767</c:v>
                </c:pt>
              </c:numCache>
            </c:numRef>
          </c:val>
          <c:extLst>
            <c:ext xmlns:c16="http://schemas.microsoft.com/office/drawing/2014/chart" uri="{C3380CC4-5D6E-409C-BE32-E72D297353CC}">
              <c16:uniqueId val="{00000005-9334-4D18-AF12-F4527732CAED}"/>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2011_17'!$A$222:$C$222</c:f>
              <c:strCache>
                <c:ptCount val="3"/>
                <c:pt idx="0">
                  <c:v>Lighting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2011_17'!$D$222:$O$222</c15:sqref>
                  </c15:fullRef>
                </c:ext>
              </c:extLst>
              <c:f>('Census 2011_17'!$F$222,'Census 2011_17'!$O$222)</c:f>
              <c:numCache>
                <c:formatCode>General</c:formatCode>
                <c:ptCount val="2"/>
                <c:pt idx="0" formatCode="_ * #,##0_ ;_ * \-#,##0_ ;_ * &quot;-&quot;??_ ;_ @_ ">
                  <c:v>3949564.3702698089</c:v>
                </c:pt>
                <c:pt idx="1">
                  <c:v>4889772.97049936</c:v>
                </c:pt>
              </c:numCache>
            </c:numRef>
          </c:val>
          <c:extLst>
            <c:ext xmlns:c16="http://schemas.microsoft.com/office/drawing/2014/chart" uri="{C3380CC4-5D6E-409C-BE32-E72D297353CC}">
              <c16:uniqueId val="{00000000-64D8-4835-8443-DE5B0278BEE8}"/>
            </c:ext>
          </c:extLst>
        </c:ser>
        <c:ser>
          <c:idx val="1"/>
          <c:order val="1"/>
          <c:tx>
            <c:strRef>
              <c:f>'Census 2011_17'!$A$223:$C$223</c:f>
              <c:strCache>
                <c:ptCount val="3"/>
                <c:pt idx="0">
                  <c:v>Lighting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2011_17'!$D$223:$O$223</c15:sqref>
                  </c15:fullRef>
                </c:ext>
              </c:extLst>
              <c:f>('Census 2011_17'!$F$223,'Census 2011_17'!$O$223)</c:f>
              <c:numCache>
                <c:formatCode>General</c:formatCode>
                <c:ptCount val="2"/>
                <c:pt idx="0" formatCode="_ * #,##0_ ;_ * \-#,##0_ ;_ * &quot;-&quot;??_ ;_ @_ ">
                  <c:v>10358.532200000003</c:v>
                </c:pt>
                <c:pt idx="1">
                  <c:v>27974.421399870589</c:v>
                </c:pt>
              </c:numCache>
            </c:numRef>
          </c:val>
          <c:extLst>
            <c:ext xmlns:c16="http://schemas.microsoft.com/office/drawing/2014/chart" uri="{C3380CC4-5D6E-409C-BE32-E72D297353CC}">
              <c16:uniqueId val="{00000001-64D8-4835-8443-DE5B0278BEE8}"/>
            </c:ext>
          </c:extLst>
        </c:ser>
        <c:ser>
          <c:idx val="2"/>
          <c:order val="2"/>
          <c:tx>
            <c:strRef>
              <c:f>'Census 2011_17'!$A$224:$C$224</c:f>
              <c:strCache>
                <c:ptCount val="3"/>
                <c:pt idx="0">
                  <c:v>Lighting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2011_17'!$D$224:$O$224</c15:sqref>
                  </c15:fullRef>
                </c:ext>
              </c:extLst>
              <c:f>('Census 2011_17'!$F$224,'Census 2011_17'!$O$224)</c:f>
              <c:numCache>
                <c:formatCode>General</c:formatCode>
                <c:ptCount val="2"/>
                <c:pt idx="0" formatCode="_ * #,##0_ ;_ * \-#,##0_ ;_ * &quot;-&quot;??_ ;_ @_ ">
                  <c:v>132993.16558246015</c:v>
                </c:pt>
                <c:pt idx="1">
                  <c:v>508610.99261242774</c:v>
                </c:pt>
              </c:numCache>
            </c:numRef>
          </c:val>
          <c:extLst>
            <c:ext xmlns:c16="http://schemas.microsoft.com/office/drawing/2014/chart" uri="{C3380CC4-5D6E-409C-BE32-E72D297353CC}">
              <c16:uniqueId val="{00000002-64D8-4835-8443-DE5B0278BEE8}"/>
            </c:ext>
          </c:extLst>
        </c:ser>
        <c:ser>
          <c:idx val="3"/>
          <c:order val="3"/>
          <c:tx>
            <c:strRef>
              <c:f>'Census 2011_17'!$A$225:$C$225</c:f>
              <c:strCache>
                <c:ptCount val="3"/>
                <c:pt idx="0">
                  <c:v>Lighting</c:v>
                </c:pt>
                <c:pt idx="1">
                  <c:v>Middle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2011_17'!$D$225:$O$225</c15:sqref>
                  </c15:fullRef>
                </c:ext>
              </c:extLst>
              <c:f>('Census 2011_17'!$F$225,'Census 2011_17'!$O$225)</c:f>
              <c:numCache>
                <c:formatCode>General</c:formatCode>
                <c:ptCount val="2"/>
                <c:pt idx="0" formatCode="_ * #,##0_ ;_ * \-#,##0_ ;_ * &quot;-&quot;??_ ;_ @_ ">
                  <c:v>497730.81376470451</c:v>
                </c:pt>
                <c:pt idx="1">
                  <c:v>0</c:v>
                </c:pt>
              </c:numCache>
            </c:numRef>
          </c:val>
          <c:extLst>
            <c:ext xmlns:c16="http://schemas.microsoft.com/office/drawing/2014/chart" uri="{C3380CC4-5D6E-409C-BE32-E72D297353CC}">
              <c16:uniqueId val="{00000003-64D8-4835-8443-DE5B0278BEE8}"/>
            </c:ext>
          </c:extLst>
        </c:ser>
        <c:ser>
          <c:idx val="4"/>
          <c:order val="4"/>
          <c:tx>
            <c:strRef>
              <c:f>'Census 2011_17'!$A$226:$C$226</c:f>
              <c:strCache>
                <c:ptCount val="3"/>
                <c:pt idx="0">
                  <c:v>Lighting</c:v>
                </c:pt>
                <c:pt idx="1">
                  <c:v>Middle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2011_17'!$D$226:$O$226</c15:sqref>
                  </c15:fullRef>
                </c:ext>
              </c:extLst>
              <c:f>('Census 2011_17'!$F$226,'Census 2011_17'!$O$226)</c:f>
              <c:numCache>
                <c:formatCode>General</c:formatCode>
                <c:ptCount val="2"/>
                <c:pt idx="0" formatCode="_ * #,##0_ ;_ * \-#,##0_ ;_ * &quot;-&quot;??_ ;_ @_ ">
                  <c:v>16413.321691221048</c:v>
                </c:pt>
                <c:pt idx="1">
                  <c:v>111029.11829117012</c:v>
                </c:pt>
              </c:numCache>
            </c:numRef>
          </c:val>
          <c:extLst>
            <c:ext xmlns:c16="http://schemas.microsoft.com/office/drawing/2014/chart" uri="{C3380CC4-5D6E-409C-BE32-E72D297353CC}">
              <c16:uniqueId val="{00000004-64D8-4835-8443-DE5B0278BEE8}"/>
            </c:ext>
          </c:extLst>
        </c:ser>
        <c:ser>
          <c:idx val="5"/>
          <c:order val="5"/>
          <c:tx>
            <c:strRef>
              <c:f>'Census 2011_17'!$A$227:$C$227</c:f>
              <c:strCache>
                <c:ptCount val="3"/>
                <c:pt idx="0">
                  <c:v>Lighting</c:v>
                </c:pt>
                <c:pt idx="1">
                  <c:v>Middle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2011_17'!$D$227:$O$227</c15:sqref>
                  </c15:fullRef>
                </c:ext>
              </c:extLst>
              <c:f>('Census 2011_17'!$F$227,'Census 2011_17'!$O$227)</c:f>
              <c:numCache>
                <c:formatCode>General</c:formatCode>
                <c:ptCount val="2"/>
                <c:pt idx="0" formatCode="_ * #,##0_ ;_ * \-#,##0_ ;_ * &quot;-&quot;??_ ;_ @_ ">
                  <c:v>12996.027060000002</c:v>
                </c:pt>
                <c:pt idx="1">
                  <c:v>35715.497696104692</c:v>
                </c:pt>
              </c:numCache>
            </c:numRef>
          </c:val>
          <c:extLst>
            <c:ext xmlns:c16="http://schemas.microsoft.com/office/drawing/2014/chart" uri="{C3380CC4-5D6E-409C-BE32-E72D297353CC}">
              <c16:uniqueId val="{00000005-64D8-4835-8443-DE5B0278BEE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2011_17'!$A$231:$C$231</c:f>
              <c:strCache>
                <c:ptCount val="3"/>
                <c:pt idx="0">
                  <c:v>Lighting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2011_17'!$D$231:$O$231</c15:sqref>
                  </c15:fullRef>
                </c:ext>
              </c:extLst>
              <c:f>('Census 2011_17'!$F$231,'Census 2011_17'!$O$231)</c:f>
              <c:numCache>
                <c:formatCode>General</c:formatCode>
                <c:ptCount val="2"/>
                <c:pt idx="0" formatCode="_ * #,##0_ ;_ * \-#,##0_ ;_ * &quot;-&quot;??_ ;_ @_ ">
                  <c:v>3358454.6919761435</c:v>
                </c:pt>
                <c:pt idx="1">
                  <c:v>4006070.0953151626</c:v>
                </c:pt>
              </c:numCache>
            </c:numRef>
          </c:val>
          <c:extLst>
            <c:ext xmlns:c16="http://schemas.microsoft.com/office/drawing/2014/chart" uri="{C3380CC4-5D6E-409C-BE32-E72D297353CC}">
              <c16:uniqueId val="{00000000-19E4-4164-B40B-4265ADD20F05}"/>
            </c:ext>
          </c:extLst>
        </c:ser>
        <c:ser>
          <c:idx val="1"/>
          <c:order val="1"/>
          <c:tx>
            <c:strRef>
              <c:f>'Census 2011_17'!$A$232:$C$232</c:f>
              <c:strCache>
                <c:ptCount val="3"/>
                <c:pt idx="0">
                  <c:v>Lighting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2011_17'!$D$232:$O$232</c15:sqref>
                  </c15:fullRef>
                </c:ext>
              </c:extLst>
              <c:f>('Census 2011_17'!$F$232,'Census 2011_17'!$O$232)</c:f>
              <c:numCache>
                <c:formatCode>General</c:formatCode>
                <c:ptCount val="2"/>
                <c:pt idx="0" formatCode="_ * #,##0_ ;_ * \-#,##0_ ;_ * &quot;-&quot;??_ ;_ @_ ">
                  <c:v>6118.5712100000001</c:v>
                </c:pt>
                <c:pt idx="1">
                  <c:v>15920.344539764041</c:v>
                </c:pt>
              </c:numCache>
            </c:numRef>
          </c:val>
          <c:extLst>
            <c:ext xmlns:c16="http://schemas.microsoft.com/office/drawing/2014/chart" uri="{C3380CC4-5D6E-409C-BE32-E72D297353CC}">
              <c16:uniqueId val="{00000001-19E4-4164-B40B-4265ADD20F05}"/>
            </c:ext>
          </c:extLst>
        </c:ser>
        <c:ser>
          <c:idx val="2"/>
          <c:order val="2"/>
          <c:tx>
            <c:strRef>
              <c:f>'Census 2011_17'!$A$233:$C$233</c:f>
              <c:strCache>
                <c:ptCount val="3"/>
                <c:pt idx="0">
                  <c:v>Lighting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2011_17'!$D$233:$O$233</c15:sqref>
                  </c15:fullRef>
                </c:ext>
              </c:extLst>
              <c:f>('Census 2011_17'!$F$233,'Census 2011_17'!$O$233)</c:f>
              <c:numCache>
                <c:formatCode>General</c:formatCode>
                <c:ptCount val="2"/>
                <c:pt idx="0" formatCode="_ * #,##0_ ;_ * \-#,##0_ ;_ * &quot;-&quot;??_ ;_ @_ ">
                  <c:v>18890.571727710707</c:v>
                </c:pt>
                <c:pt idx="1">
                  <c:v>69605.101665427894</c:v>
                </c:pt>
              </c:numCache>
            </c:numRef>
          </c:val>
          <c:extLst>
            <c:ext xmlns:c16="http://schemas.microsoft.com/office/drawing/2014/chart" uri="{C3380CC4-5D6E-409C-BE32-E72D297353CC}">
              <c16:uniqueId val="{00000002-19E4-4164-B40B-4265ADD20F05}"/>
            </c:ext>
          </c:extLst>
        </c:ser>
        <c:ser>
          <c:idx val="3"/>
          <c:order val="3"/>
          <c:tx>
            <c:strRef>
              <c:f>'Census 2011_17'!$A$234:$C$234</c:f>
              <c:strCache>
                <c:ptCount val="3"/>
                <c:pt idx="0">
                  <c:v>Lighting</c:v>
                </c:pt>
                <c:pt idx="1">
                  <c:v>High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2011_17'!$D$234:$O$234</c15:sqref>
                  </c15:fullRef>
                </c:ext>
              </c:extLst>
              <c:f>('Census 2011_17'!$F$234,'Census 2011_17'!$O$234)</c:f>
              <c:numCache>
                <c:formatCode>General</c:formatCode>
                <c:ptCount val="2"/>
                <c:pt idx="0" formatCode="_ * #,##0_ ;_ * \-#,##0_ ;_ * &quot;-&quot;??_ ;_ @_ ">
                  <c:v>62606.783145218884</c:v>
                </c:pt>
                <c:pt idx="1">
                  <c:v>0</c:v>
                </c:pt>
              </c:numCache>
            </c:numRef>
          </c:val>
          <c:extLst>
            <c:ext xmlns:c16="http://schemas.microsoft.com/office/drawing/2014/chart" uri="{C3380CC4-5D6E-409C-BE32-E72D297353CC}">
              <c16:uniqueId val="{00000003-19E4-4164-B40B-4265ADD20F05}"/>
            </c:ext>
          </c:extLst>
        </c:ser>
        <c:ser>
          <c:idx val="4"/>
          <c:order val="4"/>
          <c:tx>
            <c:strRef>
              <c:f>'Census 2011_17'!$A$235:$C$235</c:f>
              <c:strCache>
                <c:ptCount val="3"/>
                <c:pt idx="0">
                  <c:v>Lighting</c:v>
                </c:pt>
                <c:pt idx="1">
                  <c:v>High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2011_17'!$D$235:$O$235</c15:sqref>
                  </c15:fullRef>
                </c:ext>
              </c:extLst>
              <c:f>('Census 2011_17'!$F$235,'Census 2011_17'!$O$235)</c:f>
              <c:numCache>
                <c:formatCode>General</c:formatCode>
                <c:ptCount val="2"/>
                <c:pt idx="0" formatCode="_ * #,##0_ ;_ * \-#,##0_ ;_ * &quot;-&quot;??_ ;_ @_ ">
                  <c:v>10981.130155458752</c:v>
                </c:pt>
                <c:pt idx="1">
                  <c:v>71569.337938231431</c:v>
                </c:pt>
              </c:numCache>
            </c:numRef>
          </c:val>
          <c:extLst>
            <c:ext xmlns:c16="http://schemas.microsoft.com/office/drawing/2014/chart" uri="{C3380CC4-5D6E-409C-BE32-E72D297353CC}">
              <c16:uniqueId val="{00000004-19E4-4164-B40B-4265ADD20F05}"/>
            </c:ext>
          </c:extLst>
        </c:ser>
        <c:ser>
          <c:idx val="5"/>
          <c:order val="5"/>
          <c:tx>
            <c:strRef>
              <c:f>'Census 2011_17'!$A$236:$C$236</c:f>
              <c:strCache>
                <c:ptCount val="3"/>
                <c:pt idx="0">
                  <c:v>Lighting</c:v>
                </c:pt>
                <c:pt idx="1">
                  <c:v>High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2011_17'!$D$236:$O$236</c15:sqref>
                  </c15:fullRef>
                </c:ext>
              </c:extLst>
              <c:f>('Census 2011_17'!$F$236,'Census 2011_17'!$O$236)</c:f>
              <c:numCache>
                <c:formatCode>General</c:formatCode>
                <c:ptCount val="2"/>
                <c:pt idx="0" formatCode="_ * #,##0_ ;_ * \-#,##0_ ;_ * &quot;-&quot;??_ ;_ @_ ">
                  <c:v>4872.3935799999999</c:v>
                </c:pt>
                <c:pt idx="1">
                  <c:v>12901.137764323084</c:v>
                </c:pt>
              </c:numCache>
            </c:numRef>
          </c:val>
          <c:extLst>
            <c:ext xmlns:c16="http://schemas.microsoft.com/office/drawing/2014/chart" uri="{C3380CC4-5D6E-409C-BE32-E72D297353CC}">
              <c16:uniqueId val="{00000005-19E4-4164-B40B-4265ADD20F05}"/>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Energy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Energy_Balance!$D$15:$E$15</c:f>
              <c:strCache>
                <c:ptCount val="2"/>
                <c:pt idx="0">
                  <c:v>L</c:v>
                </c:pt>
                <c:pt idx="1">
                  <c:v>L</c:v>
                </c:pt>
              </c:strCache>
            </c:strRef>
          </c:tx>
          <c:spPr>
            <a:solidFill>
              <a:schemeClr val="accent1"/>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Energy_Balance!$F$15:$K$15</c:f>
              <c:numCache>
                <c:formatCode>0.00</c:formatCode>
                <c:ptCount val="6"/>
                <c:pt idx="0">
                  <c:v>5.1436058464979943</c:v>
                </c:pt>
                <c:pt idx="1">
                  <c:v>0</c:v>
                </c:pt>
                <c:pt idx="2">
                  <c:v>0</c:v>
                </c:pt>
                <c:pt idx="3">
                  <c:v>0</c:v>
                </c:pt>
                <c:pt idx="4">
                  <c:v>0</c:v>
                </c:pt>
                <c:pt idx="5">
                  <c:v>0</c:v>
                </c:pt>
              </c:numCache>
            </c:numRef>
          </c:val>
          <c:extLst>
            <c:ext xmlns:c16="http://schemas.microsoft.com/office/drawing/2014/chart" uri="{C3380CC4-5D6E-409C-BE32-E72D297353CC}">
              <c16:uniqueId val="{00000000-3895-4B06-96EC-6D36DC87A554}"/>
            </c:ext>
          </c:extLst>
        </c:ser>
        <c:ser>
          <c:idx val="1"/>
          <c:order val="1"/>
          <c:tx>
            <c:strRef>
              <c:f>Energy_Balance!$D$17:$E$17</c:f>
              <c:strCache>
                <c:ptCount val="2"/>
                <c:pt idx="0">
                  <c:v>L</c:v>
                </c:pt>
                <c:pt idx="1">
                  <c:v>K</c:v>
                </c:pt>
              </c:strCache>
            </c:strRef>
          </c:tx>
          <c:spPr>
            <a:solidFill>
              <a:schemeClr val="accent2"/>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Energy_Balance!$F$17:$K$17</c:f>
              <c:numCache>
                <c:formatCode>0.00</c:formatCode>
                <c:ptCount val="6"/>
                <c:pt idx="0">
                  <c:v>9.6403111585533967</c:v>
                </c:pt>
                <c:pt idx="1">
                  <c:v>1.4969403216661288</c:v>
                </c:pt>
                <c:pt idx="2">
                  <c:v>1.0540082413086083</c:v>
                </c:pt>
                <c:pt idx="3">
                  <c:v>33.542202919333945</c:v>
                </c:pt>
                <c:pt idx="4">
                  <c:v>2.1940201359108897</c:v>
                </c:pt>
                <c:pt idx="5">
                  <c:v>0</c:v>
                </c:pt>
              </c:numCache>
            </c:numRef>
          </c:val>
          <c:extLst>
            <c:ext xmlns:c16="http://schemas.microsoft.com/office/drawing/2014/chart" uri="{C3380CC4-5D6E-409C-BE32-E72D297353CC}">
              <c16:uniqueId val="{00000001-3895-4B06-96EC-6D36DC87A554}"/>
            </c:ext>
          </c:extLst>
        </c:ser>
        <c:ser>
          <c:idx val="2"/>
          <c:order val="2"/>
          <c:tx>
            <c:strRef>
              <c:f>Energy_Balance!$D$18:$E$18</c:f>
              <c:strCache>
                <c:ptCount val="2"/>
                <c:pt idx="0">
                  <c:v>L</c:v>
                </c:pt>
                <c:pt idx="1">
                  <c:v>H</c:v>
                </c:pt>
              </c:strCache>
            </c:strRef>
          </c:tx>
          <c:spPr>
            <a:solidFill>
              <a:schemeClr val="accent3"/>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Energy_Balance!$F$18:$K$18</c:f>
              <c:numCache>
                <c:formatCode>0.00</c:formatCode>
                <c:ptCount val="6"/>
                <c:pt idx="0">
                  <c:v>0.97440877504504075</c:v>
                </c:pt>
                <c:pt idx="1">
                  <c:v>0.32511472040198852</c:v>
                </c:pt>
                <c:pt idx="2">
                  <c:v>8.2195005713241232E-2</c:v>
                </c:pt>
                <c:pt idx="3">
                  <c:v>10.185203913611241</c:v>
                </c:pt>
                <c:pt idx="4">
                  <c:v>3.5807184128955476</c:v>
                </c:pt>
                <c:pt idx="5">
                  <c:v>0</c:v>
                </c:pt>
              </c:numCache>
            </c:numRef>
          </c:val>
          <c:extLst>
            <c:ext xmlns:c16="http://schemas.microsoft.com/office/drawing/2014/chart" uri="{C3380CC4-5D6E-409C-BE32-E72D297353CC}">
              <c16:uniqueId val="{00000002-3895-4B06-96EC-6D36DC87A554}"/>
            </c:ext>
          </c:extLst>
        </c:ser>
        <c:ser>
          <c:idx val="3"/>
          <c:order val="3"/>
          <c:tx>
            <c:strRef>
              <c:f>Energy_Balance!$D$19:$E$19</c:f>
              <c:strCache>
                <c:ptCount val="2"/>
                <c:pt idx="0">
                  <c:v>L</c:v>
                </c:pt>
                <c:pt idx="1">
                  <c:v>W</c:v>
                </c:pt>
              </c:strCache>
            </c:strRef>
          </c:tx>
          <c:spPr>
            <a:solidFill>
              <a:schemeClr val="accent4"/>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Energy_Balance!$F$19:$K$19</c:f>
              <c:numCache>
                <c:formatCode>0.00</c:formatCode>
                <c:ptCount val="6"/>
                <c:pt idx="0">
                  <c:v>2.1694806583192268</c:v>
                </c:pt>
                <c:pt idx="1">
                  <c:v>2.8371679818600861</c:v>
                </c:pt>
                <c:pt idx="2">
                  <c:v>0.58421574773989327</c:v>
                </c:pt>
                <c:pt idx="3">
                  <c:v>9.3904034820075051</c:v>
                </c:pt>
                <c:pt idx="4">
                  <c:v>0.55466590619951062</c:v>
                </c:pt>
                <c:pt idx="5">
                  <c:v>0</c:v>
                </c:pt>
              </c:numCache>
            </c:numRef>
          </c:val>
          <c:extLst>
            <c:ext xmlns:c16="http://schemas.microsoft.com/office/drawing/2014/chart" uri="{C3380CC4-5D6E-409C-BE32-E72D297353CC}">
              <c16:uniqueId val="{00000003-3895-4B06-96EC-6D36DC87A554}"/>
            </c:ext>
          </c:extLst>
        </c:ser>
        <c:ser>
          <c:idx val="4"/>
          <c:order val="4"/>
          <c:tx>
            <c:strRef>
              <c:f>Energy_Balance!$D$23:$E$23</c:f>
              <c:strCache>
                <c:ptCount val="2"/>
                <c:pt idx="0">
                  <c:v>M</c:v>
                </c:pt>
                <c:pt idx="1">
                  <c:v>L</c:v>
                </c:pt>
              </c:strCache>
            </c:strRef>
          </c:tx>
          <c:spPr>
            <a:solidFill>
              <a:schemeClr val="accent5"/>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Energy_Balance!$F$23:$K$23</c:f>
              <c:numCache>
                <c:formatCode>0.00</c:formatCode>
                <c:ptCount val="6"/>
                <c:pt idx="0">
                  <c:v>5.2898644663697052</c:v>
                </c:pt>
                <c:pt idx="1">
                  <c:v>0</c:v>
                </c:pt>
                <c:pt idx="2">
                  <c:v>0</c:v>
                </c:pt>
                <c:pt idx="3">
                  <c:v>0</c:v>
                </c:pt>
                <c:pt idx="4">
                  <c:v>0</c:v>
                </c:pt>
                <c:pt idx="5">
                  <c:v>0</c:v>
                </c:pt>
              </c:numCache>
            </c:numRef>
          </c:val>
          <c:extLst>
            <c:ext xmlns:c16="http://schemas.microsoft.com/office/drawing/2014/chart" uri="{C3380CC4-5D6E-409C-BE32-E72D297353CC}">
              <c16:uniqueId val="{00000004-3895-4B06-96EC-6D36DC87A554}"/>
            </c:ext>
          </c:extLst>
        </c:ser>
        <c:ser>
          <c:idx val="5"/>
          <c:order val="5"/>
          <c:tx>
            <c:strRef>
              <c:f>Energy_Balance!$D$25:$E$25</c:f>
              <c:strCache>
                <c:ptCount val="2"/>
                <c:pt idx="0">
                  <c:v>M</c:v>
                </c:pt>
                <c:pt idx="1">
                  <c:v>K</c:v>
                </c:pt>
              </c:strCache>
            </c:strRef>
          </c:tx>
          <c:spPr>
            <a:solidFill>
              <a:schemeClr val="accent6"/>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Energy_Balance!$F$25:$K$25</c:f>
              <c:numCache>
                <c:formatCode>0.00</c:formatCode>
                <c:ptCount val="6"/>
                <c:pt idx="0">
                  <c:v>8.6817696373932929</c:v>
                </c:pt>
                <c:pt idx="1">
                  <c:v>0.20615414115615299</c:v>
                </c:pt>
                <c:pt idx="2">
                  <c:v>0.57692644375234903</c:v>
                </c:pt>
                <c:pt idx="3">
                  <c:v>16.951093019503173</c:v>
                </c:pt>
                <c:pt idx="4">
                  <c:v>1.6572312557292754</c:v>
                </c:pt>
                <c:pt idx="5">
                  <c:v>0</c:v>
                </c:pt>
              </c:numCache>
            </c:numRef>
          </c:val>
          <c:extLst>
            <c:ext xmlns:c16="http://schemas.microsoft.com/office/drawing/2014/chart" uri="{C3380CC4-5D6E-409C-BE32-E72D297353CC}">
              <c16:uniqueId val="{00000005-3895-4B06-96EC-6D36DC87A554}"/>
            </c:ext>
          </c:extLst>
        </c:ser>
        <c:ser>
          <c:idx val="6"/>
          <c:order val="6"/>
          <c:tx>
            <c:strRef>
              <c:f>Energy_Balance!$D$26:$E$26</c:f>
              <c:strCache>
                <c:ptCount val="2"/>
                <c:pt idx="0">
                  <c:v>M</c:v>
                </c:pt>
                <c:pt idx="1">
                  <c:v>H</c:v>
                </c:pt>
              </c:strCache>
            </c:strRef>
          </c:tx>
          <c:spPr>
            <a:solidFill>
              <a:schemeClr val="accent1">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Energy_Balance!$F$26:$K$26</c:f>
              <c:numCache>
                <c:formatCode>0.00</c:formatCode>
                <c:ptCount val="6"/>
                <c:pt idx="0">
                  <c:v>3.5506739170744979</c:v>
                </c:pt>
                <c:pt idx="1">
                  <c:v>0.74689579765915792</c:v>
                </c:pt>
                <c:pt idx="2">
                  <c:v>0.72640689006309955</c:v>
                </c:pt>
                <c:pt idx="3">
                  <c:v>5.1512463307387257</c:v>
                </c:pt>
                <c:pt idx="4">
                  <c:v>5.1822659916246563</c:v>
                </c:pt>
                <c:pt idx="5">
                  <c:v>0</c:v>
                </c:pt>
              </c:numCache>
            </c:numRef>
          </c:val>
          <c:extLst>
            <c:ext xmlns:c16="http://schemas.microsoft.com/office/drawing/2014/chart" uri="{C3380CC4-5D6E-409C-BE32-E72D297353CC}">
              <c16:uniqueId val="{00000016-3895-4B06-96EC-6D36DC87A554}"/>
            </c:ext>
          </c:extLst>
        </c:ser>
        <c:ser>
          <c:idx val="7"/>
          <c:order val="7"/>
          <c:tx>
            <c:strRef>
              <c:f>Energy_Balance!$D$27:$E$27</c:f>
              <c:strCache>
                <c:ptCount val="2"/>
                <c:pt idx="0">
                  <c:v>M</c:v>
                </c:pt>
                <c:pt idx="1">
                  <c:v>W</c:v>
                </c:pt>
              </c:strCache>
            </c:strRef>
          </c:tx>
          <c:spPr>
            <a:solidFill>
              <a:schemeClr val="accent2">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Energy_Balance!$F$27:$K$27</c:f>
              <c:numCache>
                <c:formatCode>0.00</c:formatCode>
                <c:ptCount val="6"/>
                <c:pt idx="0">
                  <c:v>1.2137812589445078</c:v>
                </c:pt>
                <c:pt idx="1">
                  <c:v>2.0981351412120754</c:v>
                </c:pt>
                <c:pt idx="2">
                  <c:v>2.2949532423457586</c:v>
                </c:pt>
                <c:pt idx="3">
                  <c:v>6.1152168202815496</c:v>
                </c:pt>
                <c:pt idx="4">
                  <c:v>0.97280809955558833</c:v>
                </c:pt>
                <c:pt idx="5">
                  <c:v>0</c:v>
                </c:pt>
              </c:numCache>
            </c:numRef>
          </c:val>
          <c:extLst>
            <c:ext xmlns:c16="http://schemas.microsoft.com/office/drawing/2014/chart" uri="{C3380CC4-5D6E-409C-BE32-E72D297353CC}">
              <c16:uniqueId val="{00000017-3895-4B06-96EC-6D36DC87A554}"/>
            </c:ext>
          </c:extLst>
        </c:ser>
        <c:ser>
          <c:idx val="8"/>
          <c:order val="8"/>
          <c:tx>
            <c:strRef>
              <c:f>Energy_Balance!$D$30:$E$30</c:f>
              <c:strCache>
                <c:ptCount val="2"/>
                <c:pt idx="0">
                  <c:v>M</c:v>
                </c:pt>
                <c:pt idx="1">
                  <c:v>O</c:v>
                </c:pt>
              </c:strCache>
            </c:strRef>
          </c:tx>
          <c:spPr>
            <a:solidFill>
              <a:schemeClr val="accent3">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Energy_Balance!$F$30:$K$30</c:f>
              <c:numCache>
                <c:formatCode>0.00</c:formatCode>
                <c:ptCount val="6"/>
                <c:pt idx="0">
                  <c:v>13.209914572710195</c:v>
                </c:pt>
                <c:pt idx="1">
                  <c:v>0</c:v>
                </c:pt>
                <c:pt idx="2">
                  <c:v>0</c:v>
                </c:pt>
                <c:pt idx="3">
                  <c:v>0</c:v>
                </c:pt>
                <c:pt idx="4">
                  <c:v>0</c:v>
                </c:pt>
                <c:pt idx="5">
                  <c:v>0</c:v>
                </c:pt>
              </c:numCache>
            </c:numRef>
          </c:val>
          <c:extLst>
            <c:ext xmlns:c16="http://schemas.microsoft.com/office/drawing/2014/chart" uri="{C3380CC4-5D6E-409C-BE32-E72D297353CC}">
              <c16:uniqueId val="{00000018-3895-4B06-96EC-6D36DC87A554}"/>
            </c:ext>
          </c:extLst>
        </c:ser>
        <c:ser>
          <c:idx val="9"/>
          <c:order val="9"/>
          <c:tx>
            <c:strRef>
              <c:f>Energy_Balance!$D$31:$E$31</c:f>
              <c:strCache>
                <c:ptCount val="2"/>
                <c:pt idx="0">
                  <c:v>H</c:v>
                </c:pt>
                <c:pt idx="1">
                  <c:v>L</c:v>
                </c:pt>
              </c:strCache>
            </c:strRef>
          </c:tx>
          <c:spPr>
            <a:solidFill>
              <a:schemeClr val="accent4">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Energy_Balance!$F$31:$K$31</c:f>
              <c:numCache>
                <c:formatCode>0.00</c:formatCode>
                <c:ptCount val="6"/>
                <c:pt idx="0">
                  <c:v>6.928739896458783</c:v>
                </c:pt>
                <c:pt idx="1">
                  <c:v>0</c:v>
                </c:pt>
                <c:pt idx="2">
                  <c:v>0</c:v>
                </c:pt>
                <c:pt idx="3">
                  <c:v>0</c:v>
                </c:pt>
                <c:pt idx="4">
                  <c:v>0</c:v>
                </c:pt>
                <c:pt idx="5">
                  <c:v>0</c:v>
                </c:pt>
              </c:numCache>
            </c:numRef>
          </c:val>
          <c:extLst>
            <c:ext xmlns:c16="http://schemas.microsoft.com/office/drawing/2014/chart" uri="{C3380CC4-5D6E-409C-BE32-E72D297353CC}">
              <c16:uniqueId val="{00000019-3895-4B06-96EC-6D36DC87A554}"/>
            </c:ext>
          </c:extLst>
        </c:ser>
        <c:ser>
          <c:idx val="10"/>
          <c:order val="10"/>
          <c:tx>
            <c:strRef>
              <c:f>Energy_Balance!$D$32:$E$32</c:f>
              <c:strCache>
                <c:ptCount val="2"/>
                <c:pt idx="0">
                  <c:v>H</c:v>
                </c:pt>
                <c:pt idx="1">
                  <c:v>K</c:v>
                </c:pt>
              </c:strCache>
            </c:strRef>
          </c:tx>
          <c:spPr>
            <a:solidFill>
              <a:schemeClr val="accent5">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Energy_Balance!$F$32:$K$32</c:f>
              <c:numCache>
                <c:formatCode>0.00</c:formatCode>
                <c:ptCount val="6"/>
                <c:pt idx="0">
                  <c:v>9.6733257786328029</c:v>
                </c:pt>
                <c:pt idx="1">
                  <c:v>9.2563833924448141E-2</c:v>
                </c:pt>
                <c:pt idx="2">
                  <c:v>2.3995866483591111</c:v>
                </c:pt>
                <c:pt idx="3">
                  <c:v>0.99354566271501477</c:v>
                </c:pt>
                <c:pt idx="4">
                  <c:v>0</c:v>
                </c:pt>
                <c:pt idx="5">
                  <c:v>0</c:v>
                </c:pt>
              </c:numCache>
            </c:numRef>
          </c:val>
          <c:extLst>
            <c:ext xmlns:c16="http://schemas.microsoft.com/office/drawing/2014/chart" uri="{C3380CC4-5D6E-409C-BE32-E72D297353CC}">
              <c16:uniqueId val="{0000001A-3895-4B06-96EC-6D36DC87A554}"/>
            </c:ext>
          </c:extLst>
        </c:ser>
        <c:ser>
          <c:idx val="11"/>
          <c:order val="11"/>
          <c:tx>
            <c:strRef>
              <c:f>Energy_Balance!$D$33:$E$33</c:f>
              <c:strCache>
                <c:ptCount val="2"/>
                <c:pt idx="0">
                  <c:v>H</c:v>
                </c:pt>
                <c:pt idx="1">
                  <c:v>H</c:v>
                </c:pt>
              </c:strCache>
            </c:strRef>
          </c:tx>
          <c:spPr>
            <a:solidFill>
              <a:schemeClr val="accent6">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Energy_Balance!$F$33:$K$33</c:f>
              <c:numCache>
                <c:formatCode>0.00</c:formatCode>
                <c:ptCount val="6"/>
                <c:pt idx="0">
                  <c:v>2.6591717184265713</c:v>
                </c:pt>
                <c:pt idx="1">
                  <c:v>2.5486082730346662E-2</c:v>
                </c:pt>
                <c:pt idx="2">
                  <c:v>2.206870457913674</c:v>
                </c:pt>
                <c:pt idx="3">
                  <c:v>0.24522190197486701</c:v>
                </c:pt>
                <c:pt idx="4">
                  <c:v>1.2379218124175966</c:v>
                </c:pt>
                <c:pt idx="5">
                  <c:v>0</c:v>
                </c:pt>
              </c:numCache>
            </c:numRef>
          </c:val>
          <c:extLst>
            <c:ext xmlns:c16="http://schemas.microsoft.com/office/drawing/2014/chart" uri="{C3380CC4-5D6E-409C-BE32-E72D297353CC}">
              <c16:uniqueId val="{0000001B-3895-4B06-96EC-6D36DC87A554}"/>
            </c:ext>
          </c:extLst>
        </c:ser>
        <c:ser>
          <c:idx val="12"/>
          <c:order val="12"/>
          <c:tx>
            <c:strRef>
              <c:f>Energy_Balance!$D$34:$E$34</c:f>
              <c:strCache>
                <c:ptCount val="2"/>
                <c:pt idx="0">
                  <c:v>H</c:v>
                </c:pt>
                <c:pt idx="1">
                  <c:v>W</c:v>
                </c:pt>
              </c:strCache>
            </c:strRef>
          </c:tx>
          <c:spPr>
            <a:solidFill>
              <a:schemeClr val="accent1">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Energy_Balance!$F$34:$K$34</c:f>
              <c:numCache>
                <c:formatCode>0.00</c:formatCode>
                <c:ptCount val="6"/>
                <c:pt idx="0">
                  <c:v>0</c:v>
                </c:pt>
                <c:pt idx="1">
                  <c:v>0.73130528784479287</c:v>
                </c:pt>
                <c:pt idx="2">
                  <c:v>8.0448373228042644</c:v>
                </c:pt>
                <c:pt idx="3">
                  <c:v>1.1928659498339771</c:v>
                </c:pt>
                <c:pt idx="4">
                  <c:v>0.23736838566694082</c:v>
                </c:pt>
                <c:pt idx="5">
                  <c:v>0</c:v>
                </c:pt>
              </c:numCache>
            </c:numRef>
          </c:val>
          <c:extLst>
            <c:ext xmlns:c16="http://schemas.microsoft.com/office/drawing/2014/chart" uri="{C3380CC4-5D6E-409C-BE32-E72D297353CC}">
              <c16:uniqueId val="{0000001C-3895-4B06-96EC-6D36DC87A554}"/>
            </c:ext>
          </c:extLst>
        </c:ser>
        <c:ser>
          <c:idx val="13"/>
          <c:order val="13"/>
          <c:tx>
            <c:strRef>
              <c:f>Energy_Balance!$D$37:$E$37</c:f>
              <c:strCache>
                <c:ptCount val="2"/>
                <c:pt idx="0">
                  <c:v>H</c:v>
                </c:pt>
                <c:pt idx="1">
                  <c:v>O</c:v>
                </c:pt>
              </c:strCache>
            </c:strRef>
          </c:tx>
          <c:spPr>
            <a:solidFill>
              <a:schemeClr val="accent2">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Energy_Balance!$F$37:$K$37</c:f>
              <c:numCache>
                <c:formatCode>0.00</c:formatCode>
                <c:ptCount val="6"/>
                <c:pt idx="0">
                  <c:v>18.463295099783466</c:v>
                </c:pt>
                <c:pt idx="1">
                  <c:v>0</c:v>
                </c:pt>
                <c:pt idx="2">
                  <c:v>0</c:v>
                </c:pt>
                <c:pt idx="3">
                  <c:v>0</c:v>
                </c:pt>
                <c:pt idx="4">
                  <c:v>0</c:v>
                </c:pt>
                <c:pt idx="5">
                  <c:v>0</c:v>
                </c:pt>
              </c:numCache>
            </c:numRef>
          </c:val>
          <c:extLst>
            <c:ext xmlns:c16="http://schemas.microsoft.com/office/drawing/2014/chart" uri="{C3380CC4-5D6E-409C-BE32-E72D297353CC}">
              <c16:uniqueId val="{0000001D-3895-4B06-96EC-6D36DC87A554}"/>
            </c:ext>
          </c:extLst>
        </c:ser>
        <c:dLbls>
          <c:showLegendKey val="0"/>
          <c:showVal val="0"/>
          <c:showCatName val="0"/>
          <c:showSerName val="0"/>
          <c:showPercent val="0"/>
          <c:showBubbleSize val="0"/>
        </c:dLbls>
        <c:gapWidth val="150"/>
        <c:overlap val="100"/>
        <c:axId val="225553616"/>
        <c:axId val="200340464"/>
      </c:barChart>
      <c:catAx>
        <c:axId val="22555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40464"/>
        <c:crosses val="autoZero"/>
        <c:auto val="1"/>
        <c:lblAlgn val="ctr"/>
        <c:lblOffset val="100"/>
        <c:noMultiLvlLbl val="0"/>
      </c:catAx>
      <c:valAx>
        <c:axId val="200340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5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 Energy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Energy_Balance!$F$172</c:f>
              <c:strCache>
                <c:ptCount val="1"/>
                <c:pt idx="0">
                  <c:v>Electricity</c:v>
                </c:pt>
              </c:strCache>
            </c:strRef>
          </c:tx>
          <c:spPr>
            <a:solidFill>
              <a:schemeClr val="accent1"/>
            </a:solidFill>
            <a:ln>
              <a:noFill/>
            </a:ln>
            <a:effectLst/>
          </c:spPr>
          <c:invertIfNegative val="0"/>
          <c:cat>
            <c:strRef>
              <c:f>Energy_Balance!$E$173:$E$175</c:f>
              <c:strCache>
                <c:ptCount val="3"/>
                <c:pt idx="0">
                  <c:v>Low</c:v>
                </c:pt>
                <c:pt idx="1">
                  <c:v>Middle</c:v>
                </c:pt>
                <c:pt idx="2">
                  <c:v>High</c:v>
                </c:pt>
              </c:strCache>
            </c:strRef>
          </c:cat>
          <c:val>
            <c:numRef>
              <c:f>Energy_Balance!$F$173:$F$175</c:f>
              <c:numCache>
                <c:formatCode>0.00</c:formatCode>
                <c:ptCount val="3"/>
                <c:pt idx="0">
                  <c:v>35.983116263248547</c:v>
                </c:pt>
                <c:pt idx="1">
                  <c:v>49.231297395335616</c:v>
                </c:pt>
                <c:pt idx="2">
                  <c:v>91.94934643357098</c:v>
                </c:pt>
              </c:numCache>
            </c:numRef>
          </c:val>
          <c:extLst>
            <c:ext xmlns:c16="http://schemas.microsoft.com/office/drawing/2014/chart" uri="{C3380CC4-5D6E-409C-BE32-E72D297353CC}">
              <c16:uniqueId val="{00000000-C52B-A248-9F4B-B36177F34136}"/>
            </c:ext>
          </c:extLst>
        </c:ser>
        <c:ser>
          <c:idx val="1"/>
          <c:order val="1"/>
          <c:tx>
            <c:strRef>
              <c:f>Energy_Balance!$G$172</c:f>
              <c:strCache>
                <c:ptCount val="1"/>
                <c:pt idx="0">
                  <c:v>Paraffin</c:v>
                </c:pt>
              </c:strCache>
            </c:strRef>
          </c:tx>
          <c:spPr>
            <a:solidFill>
              <a:schemeClr val="accent2"/>
            </a:solidFill>
            <a:ln>
              <a:noFill/>
            </a:ln>
            <a:effectLst/>
          </c:spPr>
          <c:invertIfNegative val="0"/>
          <c:cat>
            <c:strRef>
              <c:f>Energy_Balance!$E$173:$E$175</c:f>
              <c:strCache>
                <c:ptCount val="3"/>
                <c:pt idx="0">
                  <c:v>Low</c:v>
                </c:pt>
                <c:pt idx="1">
                  <c:v>Middle</c:v>
                </c:pt>
                <c:pt idx="2">
                  <c:v>High</c:v>
                </c:pt>
              </c:strCache>
            </c:strRef>
          </c:cat>
          <c:val>
            <c:numRef>
              <c:f>Energy_Balance!$G$173:$G$175</c:f>
              <c:numCache>
                <c:formatCode>0.00</c:formatCode>
                <c:ptCount val="3"/>
                <c:pt idx="0">
                  <c:v>5.0246378458959651</c:v>
                </c:pt>
                <c:pt idx="1">
                  <c:v>3.7660069496044488</c:v>
                </c:pt>
                <c:pt idx="2">
                  <c:v>0.84935520449958768</c:v>
                </c:pt>
              </c:numCache>
            </c:numRef>
          </c:val>
          <c:extLst>
            <c:ext xmlns:c16="http://schemas.microsoft.com/office/drawing/2014/chart" uri="{C3380CC4-5D6E-409C-BE32-E72D297353CC}">
              <c16:uniqueId val="{00000001-C52B-A248-9F4B-B36177F34136}"/>
            </c:ext>
          </c:extLst>
        </c:ser>
        <c:ser>
          <c:idx val="2"/>
          <c:order val="2"/>
          <c:tx>
            <c:strRef>
              <c:f>Energy_Balance!$H$172</c:f>
              <c:strCache>
                <c:ptCount val="1"/>
                <c:pt idx="0">
                  <c:v>Gas</c:v>
                </c:pt>
              </c:strCache>
            </c:strRef>
          </c:tx>
          <c:spPr>
            <a:solidFill>
              <a:schemeClr val="accent3"/>
            </a:solidFill>
            <a:ln>
              <a:noFill/>
            </a:ln>
            <a:effectLst/>
          </c:spPr>
          <c:invertIfNegative val="0"/>
          <c:cat>
            <c:strRef>
              <c:f>Energy_Balance!$E$173:$E$175</c:f>
              <c:strCache>
                <c:ptCount val="3"/>
                <c:pt idx="0">
                  <c:v>Low</c:v>
                </c:pt>
                <c:pt idx="1">
                  <c:v>Middle</c:v>
                </c:pt>
                <c:pt idx="2">
                  <c:v>High</c:v>
                </c:pt>
              </c:strCache>
            </c:strRef>
          </c:cat>
          <c:val>
            <c:numRef>
              <c:f>Energy_Balance!$H$173:$H$175</c:f>
              <c:numCache>
                <c:formatCode>0.00</c:formatCode>
                <c:ptCount val="3"/>
                <c:pt idx="0">
                  <c:v>1.7204189947617428</c:v>
                </c:pt>
                <c:pt idx="1">
                  <c:v>3.5982865761612071</c:v>
                </c:pt>
                <c:pt idx="2">
                  <c:v>12.651294429077049</c:v>
                </c:pt>
              </c:numCache>
            </c:numRef>
          </c:val>
          <c:extLst>
            <c:ext xmlns:c16="http://schemas.microsoft.com/office/drawing/2014/chart" uri="{C3380CC4-5D6E-409C-BE32-E72D297353CC}">
              <c16:uniqueId val="{00000002-C52B-A248-9F4B-B36177F34136}"/>
            </c:ext>
          </c:extLst>
        </c:ser>
        <c:ser>
          <c:idx val="3"/>
          <c:order val="3"/>
          <c:tx>
            <c:strRef>
              <c:f>Energy_Balance!$I$172</c:f>
              <c:strCache>
                <c:ptCount val="1"/>
                <c:pt idx="0">
                  <c:v>Wood</c:v>
                </c:pt>
              </c:strCache>
            </c:strRef>
          </c:tx>
          <c:spPr>
            <a:solidFill>
              <a:schemeClr val="accent4"/>
            </a:solidFill>
            <a:ln>
              <a:noFill/>
            </a:ln>
            <a:effectLst/>
          </c:spPr>
          <c:invertIfNegative val="0"/>
          <c:cat>
            <c:strRef>
              <c:f>Energy_Balance!$E$173:$E$175</c:f>
              <c:strCache>
                <c:ptCount val="3"/>
                <c:pt idx="0">
                  <c:v>Low</c:v>
                </c:pt>
                <c:pt idx="1">
                  <c:v>Middle</c:v>
                </c:pt>
                <c:pt idx="2">
                  <c:v>High</c:v>
                </c:pt>
              </c:strCache>
            </c:strRef>
          </c:cat>
          <c:val>
            <c:numRef>
              <c:f>Energy_Balance!$I$173:$I$175</c:f>
              <c:numCache>
                <c:formatCode>0.00</c:formatCode>
                <c:ptCount val="3"/>
                <c:pt idx="0">
                  <c:v>53.117810314952692</c:v>
                </c:pt>
                <c:pt idx="1">
                  <c:v>28.217556170523448</c:v>
                </c:pt>
                <c:pt idx="2">
                  <c:v>2.4316335145238588</c:v>
                </c:pt>
              </c:numCache>
            </c:numRef>
          </c:val>
          <c:extLst>
            <c:ext xmlns:c16="http://schemas.microsoft.com/office/drawing/2014/chart" uri="{C3380CC4-5D6E-409C-BE32-E72D297353CC}">
              <c16:uniqueId val="{00000004-C52B-A248-9F4B-B36177F34136}"/>
            </c:ext>
          </c:extLst>
        </c:ser>
        <c:ser>
          <c:idx val="4"/>
          <c:order val="4"/>
          <c:tx>
            <c:strRef>
              <c:f>Energy_Balance!$J$172</c:f>
              <c:strCache>
                <c:ptCount val="1"/>
                <c:pt idx="0">
                  <c:v>Coal</c:v>
                </c:pt>
              </c:strCache>
            </c:strRef>
          </c:tx>
          <c:spPr>
            <a:solidFill>
              <a:schemeClr val="accent5"/>
            </a:solidFill>
            <a:ln>
              <a:noFill/>
            </a:ln>
            <a:effectLst/>
          </c:spPr>
          <c:invertIfNegative val="0"/>
          <c:cat>
            <c:strRef>
              <c:f>Energy_Balance!$E$173:$E$175</c:f>
              <c:strCache>
                <c:ptCount val="3"/>
                <c:pt idx="0">
                  <c:v>Low</c:v>
                </c:pt>
                <c:pt idx="1">
                  <c:v>Middle</c:v>
                </c:pt>
                <c:pt idx="2">
                  <c:v>High</c:v>
                </c:pt>
              </c:strCache>
            </c:strRef>
          </c:cat>
          <c:val>
            <c:numRef>
              <c:f>Energy_Balance!$J$173:$J$175</c:f>
              <c:numCache>
                <c:formatCode>0.00</c:formatCode>
                <c:ptCount val="3"/>
                <c:pt idx="0">
                  <c:v>6.3294044550059487</c:v>
                </c:pt>
                <c:pt idx="1">
                  <c:v>7.8123053469095201</c:v>
                </c:pt>
                <c:pt idx="2">
                  <c:v>1.4752901980845374</c:v>
                </c:pt>
              </c:numCache>
            </c:numRef>
          </c:val>
          <c:extLst>
            <c:ext xmlns:c16="http://schemas.microsoft.com/office/drawing/2014/chart" uri="{C3380CC4-5D6E-409C-BE32-E72D297353CC}">
              <c16:uniqueId val="{00000005-C52B-A248-9F4B-B36177F34136}"/>
            </c:ext>
          </c:extLst>
        </c:ser>
        <c:dLbls>
          <c:showLegendKey val="0"/>
          <c:showVal val="0"/>
          <c:showCatName val="0"/>
          <c:showSerName val="0"/>
          <c:showPercent val="0"/>
          <c:showBubbleSize val="0"/>
        </c:dLbls>
        <c:gapWidth val="150"/>
        <c:overlap val="100"/>
        <c:axId val="1997674240"/>
        <c:axId val="1997709376"/>
      </c:barChart>
      <c:catAx>
        <c:axId val="199767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709376"/>
        <c:crosses val="autoZero"/>
        <c:auto val="1"/>
        <c:lblAlgn val="ctr"/>
        <c:lblOffset val="100"/>
        <c:noMultiLvlLbl val="0"/>
      </c:catAx>
      <c:valAx>
        <c:axId val="1997709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74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41243</xdr:colOff>
      <xdr:row>13</xdr:row>
      <xdr:rowOff>28574</xdr:rowOff>
    </xdr:from>
    <xdr:ext cx="527114" cy="21907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14:m>
                <m:oMathPara xmlns:m="http://schemas.openxmlformats.org/officeDocument/2006/math">
                  <m:oMathParaPr>
                    <m:jc m:val="center"/>
                  </m:oMathParaPr>
                  <m:oMath xmlns:m="http://schemas.openxmlformats.org/officeDocument/2006/math">
                    <m:sSup>
                      <m:sSupPr>
                        <m:ctrlPr>
                          <a:rPr lang="en-ZA" sz="1100" i="1">
                            <a:latin typeface="Cambria Math" panose="02040503050406030204" pitchFamily="18" charset="0"/>
                          </a:rPr>
                        </m:ctrlPr>
                      </m:sSupPr>
                      <m:e>
                        <m:r>
                          <a:rPr lang="en-ZA" sz="1100" b="0" i="1">
                            <a:latin typeface="Cambria Math"/>
                          </a:rPr>
                          <m:t>𝑚</m:t>
                        </m:r>
                      </m:e>
                      <m:sup>
                        <m:r>
                          <a:rPr lang="en-ZA" sz="1100" b="0" i="1">
                            <a:latin typeface="Cambria Math"/>
                          </a:rPr>
                          <m:t>3</m:t>
                        </m:r>
                      </m:sup>
                    </m:sSup>
                  </m:oMath>
                </m:oMathPara>
              </a14:m>
              <a:endParaRPr lang="en-ZA" sz="1100"/>
            </a:p>
          </xdr:txBody>
        </xdr:sp>
      </mc:Choice>
      <mc:Fallback xmlns="">
        <xdr:sp macro="" textlink="">
          <xdr:nvSpPr>
            <xdr:cNvPr id="2" name="TextBox 1"/>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r>
                <a:rPr lang="en-ZA" sz="1100" b="0" i="0">
                  <a:latin typeface="Cambria Math"/>
                </a:rPr>
                <a:t>𝑚^3</a:t>
              </a:r>
              <a:endParaRPr lang="en-ZA"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14</xdr:col>
      <xdr:colOff>768350</xdr:colOff>
      <xdr:row>195</xdr:row>
      <xdr:rowOff>139700</xdr:rowOff>
    </xdr:from>
    <xdr:to>
      <xdr:col>25</xdr:col>
      <xdr:colOff>120650</xdr:colOff>
      <xdr:row>228</xdr:row>
      <xdr:rowOff>469900</xdr:rowOff>
    </xdr:to>
    <xdr:grpSp>
      <xdr:nvGrpSpPr>
        <xdr:cNvPr id="7" name="Group 6">
          <a:extLst>
            <a:ext uri="{FF2B5EF4-FFF2-40B4-BE49-F238E27FC236}">
              <a16:creationId xmlns:a16="http://schemas.microsoft.com/office/drawing/2014/main" id="{00000000-0008-0000-0E00-000007000000}"/>
            </a:ext>
          </a:extLst>
        </xdr:cNvPr>
        <xdr:cNvGrpSpPr/>
      </xdr:nvGrpSpPr>
      <xdr:grpSpPr>
        <a:xfrm>
          <a:off x="12160250" y="45510450"/>
          <a:ext cx="7883525" cy="5305425"/>
          <a:chOff x="12325350" y="40157400"/>
          <a:chExt cx="9105900" cy="5168900"/>
        </a:xfrm>
      </xdr:grpSpPr>
      <xdr:graphicFrame macro="">
        <xdr:nvGraphicFramePr>
          <xdr:cNvPr id="3" name="Chart 2">
            <a:extLst>
              <a:ext uri="{FF2B5EF4-FFF2-40B4-BE49-F238E27FC236}">
                <a16:creationId xmlns:a16="http://schemas.microsoft.com/office/drawing/2014/main" id="{00000000-0008-0000-0E00-000003000000}"/>
              </a:ext>
            </a:extLst>
          </xdr:cNvPr>
          <xdr:cNvGraphicFramePr/>
        </xdr:nvGraphicFramePr>
        <xdr:xfrm>
          <a:off x="12325350" y="40157400"/>
          <a:ext cx="4514850" cy="25781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16852900" y="40157400"/>
          <a:ext cx="4514850" cy="25781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00000000-0008-0000-0E00-000006000000}"/>
              </a:ext>
            </a:extLst>
          </xdr:cNvPr>
          <xdr:cNvGraphicFramePr>
            <a:graphicFrameLocks/>
          </xdr:cNvGraphicFramePr>
        </xdr:nvGraphicFramePr>
        <xdr:xfrm>
          <a:off x="12331700" y="42748200"/>
          <a:ext cx="4514850" cy="25781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16859250" y="42748200"/>
          <a:ext cx="4572000" cy="25781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411480</xdr:colOff>
      <xdr:row>109</xdr:row>
      <xdr:rowOff>135729</xdr:rowOff>
    </xdr:from>
    <xdr:to>
      <xdr:col>30</xdr:col>
      <xdr:colOff>219075</xdr:colOff>
      <xdr:row>117</xdr:row>
      <xdr:rowOff>126205</xdr:rowOff>
    </xdr:to>
    <xdr:graphicFrame macro="">
      <xdr:nvGraphicFramePr>
        <xdr:cNvPr id="4" name="Chart 3">
          <a:extLst>
            <a:ext uri="{FF2B5EF4-FFF2-40B4-BE49-F238E27FC236}">
              <a16:creationId xmlns:a16="http://schemas.microsoft.com/office/drawing/2014/main" id="{5B15BD3D-1EAE-4DBB-B6B7-8035FD3D1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333376</xdr:colOff>
      <xdr:row>119</xdr:row>
      <xdr:rowOff>35719</xdr:rowOff>
    </xdr:from>
    <xdr:to>
      <xdr:col>30</xdr:col>
      <xdr:colOff>140971</xdr:colOff>
      <xdr:row>129</xdr:row>
      <xdr:rowOff>21433</xdr:rowOff>
    </xdr:to>
    <xdr:graphicFrame macro="">
      <xdr:nvGraphicFramePr>
        <xdr:cNvPr id="5" name="Chart 4">
          <a:extLst>
            <a:ext uri="{FF2B5EF4-FFF2-40B4-BE49-F238E27FC236}">
              <a16:creationId xmlns:a16="http://schemas.microsoft.com/office/drawing/2014/main" id="{9726E0EB-315B-4373-8022-740DC6AA3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381000</xdr:colOff>
      <xdr:row>130</xdr:row>
      <xdr:rowOff>11907</xdr:rowOff>
    </xdr:from>
    <xdr:to>
      <xdr:col>30</xdr:col>
      <xdr:colOff>188595</xdr:colOff>
      <xdr:row>139</xdr:row>
      <xdr:rowOff>164308</xdr:rowOff>
    </xdr:to>
    <xdr:graphicFrame macro="">
      <xdr:nvGraphicFramePr>
        <xdr:cNvPr id="6" name="Chart 5">
          <a:extLst>
            <a:ext uri="{FF2B5EF4-FFF2-40B4-BE49-F238E27FC236}">
              <a16:creationId xmlns:a16="http://schemas.microsoft.com/office/drawing/2014/main" id="{8D49C84A-3F04-4301-96A4-BFA841BD6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321469</xdr:colOff>
      <xdr:row>140</xdr:row>
      <xdr:rowOff>154781</xdr:rowOff>
    </xdr:from>
    <xdr:to>
      <xdr:col>30</xdr:col>
      <xdr:colOff>129064</xdr:colOff>
      <xdr:row>150</xdr:row>
      <xdr:rowOff>140494</xdr:rowOff>
    </xdr:to>
    <xdr:graphicFrame macro="">
      <xdr:nvGraphicFramePr>
        <xdr:cNvPr id="7" name="Chart 6">
          <a:extLst>
            <a:ext uri="{FF2B5EF4-FFF2-40B4-BE49-F238E27FC236}">
              <a16:creationId xmlns:a16="http://schemas.microsoft.com/office/drawing/2014/main" id="{74D5BD1C-B2E2-4C70-ACA6-F5CA8E221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130969</xdr:colOff>
      <xdr:row>153</xdr:row>
      <xdr:rowOff>142875</xdr:rowOff>
    </xdr:from>
    <xdr:to>
      <xdr:col>29</xdr:col>
      <xdr:colOff>545783</xdr:colOff>
      <xdr:row>163</xdr:row>
      <xdr:rowOff>128588</xdr:rowOff>
    </xdr:to>
    <xdr:graphicFrame macro="">
      <xdr:nvGraphicFramePr>
        <xdr:cNvPr id="8" name="Chart 7">
          <a:extLst>
            <a:ext uri="{FF2B5EF4-FFF2-40B4-BE49-F238E27FC236}">
              <a16:creationId xmlns:a16="http://schemas.microsoft.com/office/drawing/2014/main" id="{B4092C65-CF81-4A02-B161-C74EC9480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130969</xdr:colOff>
      <xdr:row>164</xdr:row>
      <xdr:rowOff>11907</xdr:rowOff>
    </xdr:from>
    <xdr:to>
      <xdr:col>29</xdr:col>
      <xdr:colOff>545783</xdr:colOff>
      <xdr:row>173</xdr:row>
      <xdr:rowOff>164307</xdr:rowOff>
    </xdr:to>
    <xdr:graphicFrame macro="">
      <xdr:nvGraphicFramePr>
        <xdr:cNvPr id="9" name="Chart 8">
          <a:extLst>
            <a:ext uri="{FF2B5EF4-FFF2-40B4-BE49-F238E27FC236}">
              <a16:creationId xmlns:a16="http://schemas.microsoft.com/office/drawing/2014/main" id="{743CF174-E009-4CDA-93E3-1700CBBCC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119063</xdr:colOff>
      <xdr:row>174</xdr:row>
      <xdr:rowOff>23813</xdr:rowOff>
    </xdr:from>
    <xdr:to>
      <xdr:col>29</xdr:col>
      <xdr:colOff>533877</xdr:colOff>
      <xdr:row>184</xdr:row>
      <xdr:rowOff>9527</xdr:rowOff>
    </xdr:to>
    <xdr:graphicFrame macro="">
      <xdr:nvGraphicFramePr>
        <xdr:cNvPr id="10" name="Chart 9">
          <a:extLst>
            <a:ext uri="{FF2B5EF4-FFF2-40B4-BE49-F238E27FC236}">
              <a16:creationId xmlns:a16="http://schemas.microsoft.com/office/drawing/2014/main" id="{0759C0C1-CAEB-4BE5-A320-F68D6E05F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119063</xdr:colOff>
      <xdr:row>184</xdr:row>
      <xdr:rowOff>95249</xdr:rowOff>
    </xdr:from>
    <xdr:to>
      <xdr:col>29</xdr:col>
      <xdr:colOff>533877</xdr:colOff>
      <xdr:row>194</xdr:row>
      <xdr:rowOff>80963</xdr:rowOff>
    </xdr:to>
    <xdr:graphicFrame macro="">
      <xdr:nvGraphicFramePr>
        <xdr:cNvPr id="11" name="Chart 10">
          <a:extLst>
            <a:ext uri="{FF2B5EF4-FFF2-40B4-BE49-F238E27FC236}">
              <a16:creationId xmlns:a16="http://schemas.microsoft.com/office/drawing/2014/main" id="{DA9E9525-6D44-45A9-BAF3-EA0822765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83344</xdr:colOff>
      <xdr:row>194</xdr:row>
      <xdr:rowOff>107156</xdr:rowOff>
    </xdr:from>
    <xdr:to>
      <xdr:col>29</xdr:col>
      <xdr:colOff>498158</xdr:colOff>
      <xdr:row>204</xdr:row>
      <xdr:rowOff>92870</xdr:rowOff>
    </xdr:to>
    <xdr:graphicFrame macro="">
      <xdr:nvGraphicFramePr>
        <xdr:cNvPr id="12" name="Chart 11">
          <a:extLst>
            <a:ext uri="{FF2B5EF4-FFF2-40B4-BE49-F238E27FC236}">
              <a16:creationId xmlns:a16="http://schemas.microsoft.com/office/drawing/2014/main" id="{88EF721C-FB41-445A-A450-F141D7C49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457201</xdr:colOff>
      <xdr:row>211</xdr:row>
      <xdr:rowOff>47626</xdr:rowOff>
    </xdr:from>
    <xdr:to>
      <xdr:col>29</xdr:col>
      <xdr:colOff>264796</xdr:colOff>
      <xdr:row>220</xdr:row>
      <xdr:rowOff>4763</xdr:rowOff>
    </xdr:to>
    <xdr:graphicFrame macro="">
      <xdr:nvGraphicFramePr>
        <xdr:cNvPr id="13" name="Chart 12">
          <a:extLst>
            <a:ext uri="{FF2B5EF4-FFF2-40B4-BE49-F238E27FC236}">
              <a16:creationId xmlns:a16="http://schemas.microsoft.com/office/drawing/2014/main" id="{AF272909-E6AC-45C1-BABA-1C5B1767C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500063</xdr:colOff>
      <xdr:row>220</xdr:row>
      <xdr:rowOff>71438</xdr:rowOff>
    </xdr:from>
    <xdr:to>
      <xdr:col>29</xdr:col>
      <xdr:colOff>307658</xdr:colOff>
      <xdr:row>229</xdr:row>
      <xdr:rowOff>28574</xdr:rowOff>
    </xdr:to>
    <xdr:graphicFrame macro="">
      <xdr:nvGraphicFramePr>
        <xdr:cNvPr id="14" name="Chart 13">
          <a:extLst>
            <a:ext uri="{FF2B5EF4-FFF2-40B4-BE49-F238E27FC236}">
              <a16:creationId xmlns:a16="http://schemas.microsoft.com/office/drawing/2014/main" id="{63A3012D-65C6-4CB4-8EE7-29C3CCD0E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107156</xdr:colOff>
      <xdr:row>230</xdr:row>
      <xdr:rowOff>0</xdr:rowOff>
    </xdr:from>
    <xdr:to>
      <xdr:col>29</xdr:col>
      <xdr:colOff>521970</xdr:colOff>
      <xdr:row>238</xdr:row>
      <xdr:rowOff>133349</xdr:rowOff>
    </xdr:to>
    <xdr:graphicFrame macro="">
      <xdr:nvGraphicFramePr>
        <xdr:cNvPr id="15" name="Chart 14">
          <a:extLst>
            <a:ext uri="{FF2B5EF4-FFF2-40B4-BE49-F238E27FC236}">
              <a16:creationId xmlns:a16="http://schemas.microsoft.com/office/drawing/2014/main" id="{76B6CC24-FDCB-41EF-89C9-785468EF8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130175</xdr:colOff>
      <xdr:row>180</xdr:row>
      <xdr:rowOff>65087</xdr:rowOff>
    </xdr:from>
    <xdr:to>
      <xdr:col>15</xdr:col>
      <xdr:colOff>1082675</xdr:colOff>
      <xdr:row>197</xdr:row>
      <xdr:rowOff>0</xdr:rowOff>
    </xdr:to>
    <xdr:graphicFrame macro="">
      <xdr:nvGraphicFramePr>
        <xdr:cNvPr id="2" name="Chart 1">
          <a:extLst>
            <a:ext uri="{FF2B5EF4-FFF2-40B4-BE49-F238E27FC236}">
              <a16:creationId xmlns:a16="http://schemas.microsoft.com/office/drawing/2014/main" id="{A80D7CB7-5274-4E45-A1C6-203172D2D6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500630</xdr:colOff>
      <xdr:row>180</xdr:row>
      <xdr:rowOff>48793</xdr:rowOff>
    </xdr:from>
    <xdr:to>
      <xdr:col>6</xdr:col>
      <xdr:colOff>794736</xdr:colOff>
      <xdr:row>194</xdr:row>
      <xdr:rowOff>166076</xdr:rowOff>
    </xdr:to>
    <xdr:graphicFrame macro="">
      <xdr:nvGraphicFramePr>
        <xdr:cNvPr id="4" name="Chart 3">
          <a:extLst>
            <a:ext uri="{FF2B5EF4-FFF2-40B4-BE49-F238E27FC236}">
              <a16:creationId xmlns:a16="http://schemas.microsoft.com/office/drawing/2014/main" id="{426E21B1-D0CC-D14F-91CB-881BDB60E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3</xdr:row>
      <xdr:rowOff>0</xdr:rowOff>
    </xdr:from>
    <xdr:to>
      <xdr:col>1</xdr:col>
      <xdr:colOff>47625</xdr:colOff>
      <xdr:row>5</xdr:row>
      <xdr:rowOff>9525</xdr:rowOff>
    </xdr:to>
    <xdr:sp macro="" textlink="">
      <xdr:nvSpPr>
        <xdr:cNvPr id="2" name="cmdCheckItemsSheet" hidden="1">
          <a:extLst>
            <a:ext uri="{63B3BB69-23CF-44E3-9099-C40C66FF867C}">
              <a14:compatExt xmlns:a14="http://schemas.microsoft.com/office/drawing/2010/main" spid="_x0000_s10241"/>
            </a:ext>
            <a:ext uri="{FF2B5EF4-FFF2-40B4-BE49-F238E27FC236}">
              <a16:creationId xmlns:a16="http://schemas.microsoft.com/office/drawing/2014/main" id="{A42BDDB4-4CFF-744D-9DB2-A434B1EFB882}"/>
            </a:ext>
          </a:extLst>
        </xdr:cNvPr>
        <xdr:cNvSpPr/>
      </xdr:nvSpPr>
      <xdr:spPr>
        <a:xfrm>
          <a:off x="12700" y="279400"/>
          <a:ext cx="939800" cy="228600"/>
        </a:xfrm>
        <a:prstGeom prst="rect">
          <a:avLst/>
        </a:prstGeom>
      </xdr:spPr>
    </xdr:sp>
    <xdr:clientData/>
  </xdr:twoCellAnchor>
  <xdr:twoCellAnchor editAs="oneCell">
    <xdr:from>
      <xdr:col>1</xdr:col>
      <xdr:colOff>0</xdr:colOff>
      <xdr:row>3</xdr:row>
      <xdr:rowOff>0</xdr:rowOff>
    </xdr:from>
    <xdr:to>
      <xdr:col>1</xdr:col>
      <xdr:colOff>1066800</xdr:colOff>
      <xdr:row>4</xdr:row>
      <xdr:rowOff>67522</xdr:rowOff>
    </xdr:to>
    <xdr:sp macro="" textlink="">
      <xdr:nvSpPr>
        <xdr:cNvPr id="3" name="cmdSpecifyComponent" hidden="1">
          <a:extLst>
            <a:ext uri="{63B3BB69-23CF-44E3-9099-C40C66FF867C}">
              <a14:compatExt xmlns:a14="http://schemas.microsoft.com/office/drawing/2010/main" spid="_x0000_s10242"/>
            </a:ext>
            <a:ext uri="{FF2B5EF4-FFF2-40B4-BE49-F238E27FC236}">
              <a16:creationId xmlns:a16="http://schemas.microsoft.com/office/drawing/2014/main" id="{501282CE-8EA0-B640-A604-11D754F83926}"/>
            </a:ext>
          </a:extLst>
        </xdr:cNvPr>
        <xdr:cNvSpPr/>
      </xdr:nvSpPr>
      <xdr:spPr>
        <a:xfrm>
          <a:off x="965200" y="508000"/>
          <a:ext cx="1016000" cy="233680"/>
        </a:xfrm>
        <a:prstGeom prst="rect">
          <a:avLst/>
        </a:prstGeom>
      </xdr:spPr>
    </xdr:sp>
    <xdr:clientData/>
  </xdr:twoCellAnchor>
  <xdr:twoCellAnchor editAs="oneCell">
    <xdr:from>
      <xdr:col>3</xdr:col>
      <xdr:colOff>12700</xdr:colOff>
      <xdr:row>3</xdr:row>
      <xdr:rowOff>0</xdr:rowOff>
    </xdr:from>
    <xdr:to>
      <xdr:col>4</xdr:col>
      <xdr:colOff>0</xdr:colOff>
      <xdr:row>4</xdr:row>
      <xdr:rowOff>67522</xdr:rowOff>
    </xdr:to>
    <xdr:sp macro="" textlink="">
      <xdr:nvSpPr>
        <xdr:cNvPr id="4" name="cmdSpecifyUnits" hidden="1">
          <a:extLst>
            <a:ext uri="{63B3BB69-23CF-44E3-9099-C40C66FF867C}">
              <a14:compatExt xmlns:a14="http://schemas.microsoft.com/office/drawing/2010/main" spid="_x0000_s10243"/>
            </a:ext>
            <a:ext uri="{FF2B5EF4-FFF2-40B4-BE49-F238E27FC236}">
              <a16:creationId xmlns:a16="http://schemas.microsoft.com/office/drawing/2014/main" id="{4CF150F1-1A93-AD4B-B4F3-B885C596CCC4}"/>
            </a:ext>
          </a:extLst>
        </xdr:cNvPr>
        <xdr:cNvSpPr/>
      </xdr:nvSpPr>
      <xdr:spPr>
        <a:xfrm>
          <a:off x="7442200" y="508000"/>
          <a:ext cx="762000" cy="233680"/>
        </a:xfrm>
        <a:prstGeom prst="rect">
          <a:avLst/>
        </a:prstGeom>
      </xdr:spPr>
    </xdr:sp>
    <xdr:clientData/>
  </xdr:twoCellAnchor>
  <xdr:twoCellAnchor editAs="oneCell">
    <xdr:from>
      <xdr:col>4</xdr:col>
      <xdr:colOff>12700</xdr:colOff>
      <xdr:row>3</xdr:row>
      <xdr:rowOff>0</xdr:rowOff>
    </xdr:from>
    <xdr:to>
      <xdr:col>5</xdr:col>
      <xdr:colOff>104775</xdr:colOff>
      <xdr:row>4</xdr:row>
      <xdr:rowOff>67522</xdr:rowOff>
    </xdr:to>
    <xdr:sp macro="" textlink="">
      <xdr:nvSpPr>
        <xdr:cNvPr id="5" name="cmdSpecifySets" hidden="1">
          <a:extLst>
            <a:ext uri="{63B3BB69-23CF-44E3-9099-C40C66FF867C}">
              <a14:compatExt xmlns:a14="http://schemas.microsoft.com/office/drawing/2010/main" spid="_x0000_s10244"/>
            </a:ext>
            <a:ext uri="{FF2B5EF4-FFF2-40B4-BE49-F238E27FC236}">
              <a16:creationId xmlns:a16="http://schemas.microsoft.com/office/drawing/2014/main" id="{E0C15EA7-EFF2-4644-ABFB-1F2D23C0EEA3}"/>
            </a:ext>
          </a:extLst>
        </xdr:cNvPr>
        <xdr:cNvSpPr/>
      </xdr:nvSpPr>
      <xdr:spPr>
        <a:xfrm>
          <a:off x="8216900" y="508000"/>
          <a:ext cx="2171700" cy="233680"/>
        </a:xfrm>
        <a:prstGeom prst="rect">
          <a:avLst/>
        </a:prstGeom>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xdr:colOff>
      <xdr:row>2</xdr:row>
      <xdr:rowOff>0</xdr:rowOff>
    </xdr:from>
    <xdr:to>
      <xdr:col>1</xdr:col>
      <xdr:colOff>0</xdr:colOff>
      <xdr:row>3</xdr:row>
      <xdr:rowOff>0</xdr:rowOff>
    </xdr:to>
    <xdr:sp macro="" textlink="">
      <xdr:nvSpPr>
        <xdr:cNvPr id="13313" name="cmdCheckItemsSheet" hidden="1">
          <a:extLst>
            <a:ext uri="{63B3BB69-23CF-44E3-9099-C40C66FF867C}">
              <a14:compatExt xmlns:a14="http://schemas.microsoft.com/office/drawing/2010/main" spid="_x0000_s13313"/>
            </a:ext>
            <a:ext uri="{FF2B5EF4-FFF2-40B4-BE49-F238E27FC236}">
              <a16:creationId xmlns:a16="http://schemas.microsoft.com/office/drawing/2014/main" id="{00000000-0008-0000-2000-000001340000}"/>
            </a:ext>
          </a:extLst>
        </xdr:cNvPr>
        <xdr:cNvSpPr/>
      </xdr:nvSpPr>
      <xdr:spPr>
        <a:xfrm>
          <a:off x="0" y="0"/>
          <a:ext cx="0" cy="0"/>
        </a:xfrm>
        <a:prstGeom prst="rect">
          <a:avLst/>
        </a:prstGeom>
      </xdr:spPr>
    </xdr:sp>
    <xdr:clientData/>
  </xdr:twoCellAnchor>
  <xdr:twoCellAnchor editAs="oneCell">
    <xdr:from>
      <xdr:col>1</xdr:col>
      <xdr:colOff>0</xdr:colOff>
      <xdr:row>3</xdr:row>
      <xdr:rowOff>0</xdr:rowOff>
    </xdr:from>
    <xdr:to>
      <xdr:col>2</xdr:col>
      <xdr:colOff>180975</xdr:colOff>
      <xdr:row>4</xdr:row>
      <xdr:rowOff>96097</xdr:rowOff>
    </xdr:to>
    <xdr:sp macro="" textlink="">
      <xdr:nvSpPr>
        <xdr:cNvPr id="13314" name="cmdSpecifyComponent" hidden="1">
          <a:extLst>
            <a:ext uri="{63B3BB69-23CF-44E3-9099-C40C66FF867C}">
              <a14:compatExt xmlns:a14="http://schemas.microsoft.com/office/drawing/2010/main" spid="_x0000_s13314"/>
            </a:ext>
            <a:ext uri="{FF2B5EF4-FFF2-40B4-BE49-F238E27FC236}">
              <a16:creationId xmlns:a16="http://schemas.microsoft.com/office/drawing/2014/main" id="{00000000-0008-0000-2000-000002340000}"/>
            </a:ext>
          </a:extLst>
        </xdr:cNvPr>
        <xdr:cNvSpPr/>
      </xdr:nvSpPr>
      <xdr:spPr>
        <a:xfrm>
          <a:off x="0" y="0"/>
          <a:ext cx="0" cy="0"/>
        </a:xfrm>
        <a:prstGeom prst="rect">
          <a:avLst/>
        </a:prstGeom>
      </xdr:spPr>
    </xdr:sp>
    <xdr:clientData/>
  </xdr:twoCellAnchor>
  <xdr:twoCellAnchor editAs="oneCell">
    <xdr:from>
      <xdr:col>3</xdr:col>
      <xdr:colOff>12700</xdr:colOff>
      <xdr:row>3</xdr:row>
      <xdr:rowOff>0</xdr:rowOff>
    </xdr:from>
    <xdr:to>
      <xdr:col>4</xdr:col>
      <xdr:colOff>0</xdr:colOff>
      <xdr:row>4</xdr:row>
      <xdr:rowOff>96097</xdr:rowOff>
    </xdr:to>
    <xdr:sp macro="" textlink="">
      <xdr:nvSpPr>
        <xdr:cNvPr id="13315" name="cmdSpecifyUnits" hidden="1">
          <a:extLst>
            <a:ext uri="{63B3BB69-23CF-44E3-9099-C40C66FF867C}">
              <a14:compatExt xmlns:a14="http://schemas.microsoft.com/office/drawing/2010/main" spid="_x0000_s13315"/>
            </a:ext>
            <a:ext uri="{FF2B5EF4-FFF2-40B4-BE49-F238E27FC236}">
              <a16:creationId xmlns:a16="http://schemas.microsoft.com/office/drawing/2014/main" id="{00000000-0008-0000-2000-000003340000}"/>
            </a:ext>
          </a:extLst>
        </xdr:cNvPr>
        <xdr:cNvSpPr/>
      </xdr:nvSpPr>
      <xdr:spPr>
        <a:xfrm>
          <a:off x="0" y="0"/>
          <a:ext cx="0" cy="0"/>
        </a:xfrm>
        <a:prstGeom prst="rect">
          <a:avLst/>
        </a:prstGeom>
      </xdr:spPr>
    </xdr:sp>
    <xdr:clientData/>
  </xdr:twoCellAnchor>
  <xdr:twoCellAnchor editAs="oneCell">
    <xdr:from>
      <xdr:col>4</xdr:col>
      <xdr:colOff>12700</xdr:colOff>
      <xdr:row>3</xdr:row>
      <xdr:rowOff>0</xdr:rowOff>
    </xdr:from>
    <xdr:to>
      <xdr:col>5</xdr:col>
      <xdr:colOff>0</xdr:colOff>
      <xdr:row>4</xdr:row>
      <xdr:rowOff>96097</xdr:rowOff>
    </xdr:to>
    <xdr:sp macro="" textlink="">
      <xdr:nvSpPr>
        <xdr:cNvPr id="13316" name="cmdSpecifySets" hidden="1">
          <a:extLst>
            <a:ext uri="{63B3BB69-23CF-44E3-9099-C40C66FF867C}">
              <a14:compatExt xmlns:a14="http://schemas.microsoft.com/office/drawing/2010/main" spid="_x0000_s13316"/>
            </a:ext>
            <a:ext uri="{FF2B5EF4-FFF2-40B4-BE49-F238E27FC236}">
              <a16:creationId xmlns:a16="http://schemas.microsoft.com/office/drawing/2014/main" id="{00000000-0008-0000-2000-000004340000}"/>
            </a:ext>
          </a:extLst>
        </xdr:cNvPr>
        <xdr:cNvSpPr/>
      </xdr:nvSpPr>
      <xdr:spPr>
        <a:xfrm>
          <a:off x="0" y="0"/>
          <a:ext cx="0" cy="0"/>
        </a:xfrm>
        <a:prstGeom prst="rect">
          <a:avLst/>
        </a:prstGeom>
      </xdr:spPr>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2</xdr:row>
      <xdr:rowOff>0</xdr:rowOff>
    </xdr:from>
    <xdr:ext cx="955463" cy="252730"/>
    <xdr:sp macro="" textlink="">
      <xdr:nvSpPr>
        <xdr:cNvPr id="2" name="cmdCheckTSandTIDDataSheet" hidden="1">
          <a:extLst>
            <a:ext uri="{63B3BB69-23CF-44E3-9099-C40C66FF867C}">
              <a14:compatExt xmlns:a14="http://schemas.microsoft.com/office/drawing/2010/main" spid="_x0000_s14337"/>
            </a:ext>
            <a:ext uri="{FF2B5EF4-FFF2-40B4-BE49-F238E27FC236}">
              <a16:creationId xmlns:a16="http://schemas.microsoft.com/office/drawing/2014/main" id="{B1473302-0A51-B842-8B16-B2438AD44C73}"/>
            </a:ext>
          </a:extLst>
        </xdr:cNvPr>
        <xdr:cNvSpPr/>
      </xdr:nvSpPr>
      <xdr:spPr>
        <a:xfrm>
          <a:off x="0" y="330200"/>
          <a:ext cx="955463" cy="252730"/>
        </a:xfrm>
        <a:prstGeom prst="rect">
          <a:avLst/>
        </a:prstGeom>
      </xdr:spPr>
    </xdr:sp>
    <xdr:clientData/>
  </xdr:oneCellAnchor>
  <xdr:oneCellAnchor>
    <xdr:from>
      <xdr:col>1</xdr:col>
      <xdr:colOff>0</xdr:colOff>
      <xdr:row>3</xdr:row>
      <xdr:rowOff>0</xdr:rowOff>
    </xdr:from>
    <xdr:ext cx="931757" cy="251883"/>
    <xdr:sp macro="" textlink="">
      <xdr:nvSpPr>
        <xdr:cNvPr id="3" name="cmdSpecifyParameter" hidden="1">
          <a:extLst>
            <a:ext uri="{63B3BB69-23CF-44E3-9099-C40C66FF867C}">
              <a14:compatExt xmlns:a14="http://schemas.microsoft.com/office/drawing/2010/main" spid="_x0000_s14338"/>
            </a:ext>
            <a:ext uri="{FF2B5EF4-FFF2-40B4-BE49-F238E27FC236}">
              <a16:creationId xmlns:a16="http://schemas.microsoft.com/office/drawing/2014/main" id="{F379E67B-B5CD-164D-8A85-D4165D4D92EA}"/>
            </a:ext>
          </a:extLst>
        </xdr:cNvPr>
        <xdr:cNvSpPr/>
      </xdr:nvSpPr>
      <xdr:spPr>
        <a:xfrm>
          <a:off x="876300" y="495300"/>
          <a:ext cx="931757" cy="251883"/>
        </a:xfrm>
        <a:prstGeom prst="rect">
          <a:avLst/>
        </a:prstGeom>
      </xdr:spPr>
    </xdr:sp>
    <xdr:clientData/>
  </xdr:oneCellAnchor>
  <xdr:oneCellAnchor>
    <xdr:from>
      <xdr:col>2</xdr:col>
      <xdr:colOff>0</xdr:colOff>
      <xdr:row>3</xdr:row>
      <xdr:rowOff>0</xdr:rowOff>
    </xdr:from>
    <xdr:ext cx="633730" cy="251883"/>
    <xdr:sp macro="" textlink="">
      <xdr:nvSpPr>
        <xdr:cNvPr id="4" name="cmdSpecifyArg1" hidden="1">
          <a:extLst>
            <a:ext uri="{63B3BB69-23CF-44E3-9099-C40C66FF867C}">
              <a14:compatExt xmlns:a14="http://schemas.microsoft.com/office/drawing/2010/main" spid="_x0000_s14339"/>
            </a:ext>
            <a:ext uri="{FF2B5EF4-FFF2-40B4-BE49-F238E27FC236}">
              <a16:creationId xmlns:a16="http://schemas.microsoft.com/office/drawing/2014/main" id="{E63EA230-6A61-8A4A-9480-2ECA530AEB18}"/>
            </a:ext>
          </a:extLst>
        </xdr:cNvPr>
        <xdr:cNvSpPr/>
      </xdr:nvSpPr>
      <xdr:spPr>
        <a:xfrm>
          <a:off x="1752600" y="495300"/>
          <a:ext cx="633730" cy="251883"/>
        </a:xfrm>
        <a:prstGeom prst="rect">
          <a:avLst/>
        </a:prstGeom>
      </xdr:spPr>
    </xdr:sp>
    <xdr:clientData/>
  </xdr:oneCellAnchor>
  <xdr:oneCellAnchor>
    <xdr:from>
      <xdr:col>2</xdr:col>
      <xdr:colOff>0</xdr:colOff>
      <xdr:row>3</xdr:row>
      <xdr:rowOff>0</xdr:rowOff>
    </xdr:from>
    <xdr:ext cx="902546" cy="235373"/>
    <xdr:sp macro="" textlink="">
      <xdr:nvSpPr>
        <xdr:cNvPr id="5" name="cmdSpecifyArg2" hidden="1">
          <a:extLst>
            <a:ext uri="{63B3BB69-23CF-44E3-9099-C40C66FF867C}">
              <a14:compatExt xmlns:a14="http://schemas.microsoft.com/office/drawing/2010/main" spid="_x0000_s14340"/>
            </a:ext>
            <a:ext uri="{FF2B5EF4-FFF2-40B4-BE49-F238E27FC236}">
              <a16:creationId xmlns:a16="http://schemas.microsoft.com/office/drawing/2014/main" id="{CCDDCDFA-19B1-B545-9B96-737D270BA74C}"/>
            </a:ext>
          </a:extLst>
        </xdr:cNvPr>
        <xdr:cNvSpPr/>
      </xdr:nvSpPr>
      <xdr:spPr>
        <a:xfrm>
          <a:off x="2628900" y="495300"/>
          <a:ext cx="902546" cy="235373"/>
        </a:xfrm>
        <a:prstGeom prst="rect">
          <a:avLst/>
        </a:prstGeom>
      </xdr:spPr>
    </xdr:sp>
    <xdr:clientData/>
  </xdr:oneCellAnchor>
  <xdr:oneCellAnchor>
    <xdr:from>
      <xdr:col>3</xdr:col>
      <xdr:colOff>0</xdr:colOff>
      <xdr:row>3</xdr:row>
      <xdr:rowOff>0</xdr:rowOff>
    </xdr:from>
    <xdr:ext cx="862330" cy="235373"/>
    <xdr:sp macro="" textlink="">
      <xdr:nvSpPr>
        <xdr:cNvPr id="6" name="cmdSpecifyArg3" hidden="1">
          <a:extLst>
            <a:ext uri="{63B3BB69-23CF-44E3-9099-C40C66FF867C}">
              <a14:compatExt xmlns:a14="http://schemas.microsoft.com/office/drawing/2010/main" spid="_x0000_s14341"/>
            </a:ext>
            <a:ext uri="{FF2B5EF4-FFF2-40B4-BE49-F238E27FC236}">
              <a16:creationId xmlns:a16="http://schemas.microsoft.com/office/drawing/2014/main" id="{2B949D08-3C71-564D-BD88-8A5AFA634DB0}"/>
            </a:ext>
          </a:extLst>
        </xdr:cNvPr>
        <xdr:cNvSpPr/>
      </xdr:nvSpPr>
      <xdr:spPr>
        <a:xfrm>
          <a:off x="35052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7" name="cmdSpecifyArg4" hidden="1">
          <a:extLst>
            <a:ext uri="{63B3BB69-23CF-44E3-9099-C40C66FF867C}">
              <a14:compatExt xmlns:a14="http://schemas.microsoft.com/office/drawing/2010/main" spid="_x0000_s14342"/>
            </a:ext>
            <a:ext uri="{FF2B5EF4-FFF2-40B4-BE49-F238E27FC236}">
              <a16:creationId xmlns:a16="http://schemas.microsoft.com/office/drawing/2014/main" id="{5A707C30-D193-5A42-9845-CDF7683616F8}"/>
            </a:ext>
          </a:extLst>
        </xdr:cNvPr>
        <xdr:cNvSpPr/>
      </xdr:nvSpPr>
      <xdr:spPr>
        <a:xfrm>
          <a:off x="43815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8" name="cmdSpecifyArg5" hidden="1">
          <a:extLst>
            <a:ext uri="{63B3BB69-23CF-44E3-9099-C40C66FF867C}">
              <a14:compatExt xmlns:a14="http://schemas.microsoft.com/office/drawing/2010/main" spid="_x0000_s14343"/>
            </a:ext>
            <a:ext uri="{FF2B5EF4-FFF2-40B4-BE49-F238E27FC236}">
              <a16:creationId xmlns:a16="http://schemas.microsoft.com/office/drawing/2014/main" id="{871B8614-27FB-9E44-9F3A-B51640C6DB17}"/>
            </a:ext>
          </a:extLst>
        </xdr:cNvPr>
        <xdr:cNvSpPr/>
      </xdr:nvSpPr>
      <xdr:spPr>
        <a:xfrm>
          <a:off x="52578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9" name="cmdSpecifyArg6" hidden="1">
          <a:extLst>
            <a:ext uri="{63B3BB69-23CF-44E3-9099-C40C66FF867C}">
              <a14:compatExt xmlns:a14="http://schemas.microsoft.com/office/drawing/2010/main" spid="_x0000_s14344"/>
            </a:ext>
            <a:ext uri="{FF2B5EF4-FFF2-40B4-BE49-F238E27FC236}">
              <a16:creationId xmlns:a16="http://schemas.microsoft.com/office/drawing/2014/main" id="{79413E73-F204-D449-B148-95C4F18B9E78}"/>
            </a:ext>
          </a:extLst>
        </xdr:cNvPr>
        <xdr:cNvSpPr/>
      </xdr:nvSpPr>
      <xdr:spPr>
        <a:xfrm>
          <a:off x="6134100" y="495300"/>
          <a:ext cx="862330" cy="235373"/>
        </a:xfrm>
        <a:prstGeom prst="rect">
          <a:avLst/>
        </a:prstGeom>
      </xdr:spPr>
    </xdr:sp>
    <xdr:clientData/>
  </xdr:oneCellAnchor>
  <xdr:oneCellAnchor>
    <xdr:from>
      <xdr:col>3</xdr:col>
      <xdr:colOff>50800</xdr:colOff>
      <xdr:row>3</xdr:row>
      <xdr:rowOff>0</xdr:rowOff>
    </xdr:from>
    <xdr:ext cx="430530" cy="251883"/>
    <xdr:sp macro="" textlink="">
      <xdr:nvSpPr>
        <xdr:cNvPr id="10" name="cmdSpecifyIEOptcode" hidden="1">
          <a:extLst>
            <a:ext uri="{63B3BB69-23CF-44E3-9099-C40C66FF867C}">
              <a14:compatExt xmlns:a14="http://schemas.microsoft.com/office/drawing/2010/main" spid="_x0000_s14345"/>
            </a:ext>
            <a:ext uri="{FF2B5EF4-FFF2-40B4-BE49-F238E27FC236}">
              <a16:creationId xmlns:a16="http://schemas.microsoft.com/office/drawing/2014/main" id="{019E68DF-4704-7B4E-BF2B-C0AFCDA5B79E}"/>
            </a:ext>
          </a:extLst>
        </xdr:cNvPr>
        <xdr:cNvSpPr/>
      </xdr:nvSpPr>
      <xdr:spPr>
        <a:xfrm>
          <a:off x="7061200" y="495300"/>
          <a:ext cx="430530" cy="251883"/>
        </a:xfrm>
        <a:prstGeom prst="rect">
          <a:avLst/>
        </a:prstGeom>
      </xdr:spPr>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812800</xdr:colOff>
      <xdr:row>36</xdr:row>
      <xdr:rowOff>76200</xdr:rowOff>
    </xdr:from>
    <xdr:to>
      <xdr:col>10</xdr:col>
      <xdr:colOff>558800</xdr:colOff>
      <xdr:row>52</xdr:row>
      <xdr:rowOff>84091</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812800" y="5981700"/>
          <a:ext cx="7566025" cy="259869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son" id="{CDDAF179-4480-4DE8-BE64-7CEFAF2FA394}" userId="alison" providerId="None"/>
  <person displayName="Alison Hughes" id="{E1B755A1-88E3-EE4F-B17D-58DA0F0B7737}" userId="S::01372879@wf.uct.ac.za::b5db5c21-02f6-48cc-8137-97ddd5593430" providerId="AD"/>
  <person displayName="Bruno Merven" id="{FD570950-B20E-49D0-9AA2-E5EE10EC8244}" userId="S::01405439@wf.uct.ac.za::c7f06137-2c3b-4c5c-8f38-fe1abbc9686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9000000}" name="Table4" displayName="Table4" ref="A5:F37" totalsRowShown="0" headerRowDxfId="56">
  <autoFilter ref="A5:F37" xr:uid="{00000000-0009-0000-0100-000004000000}"/>
  <tableColumns count="6">
    <tableColumn id="1" xr3:uid="{00000000-0010-0000-0900-000001000000}" name="Reference Code"/>
    <tableColumn id="2" xr3:uid="{00000000-0010-0000-0900-000002000000}" name="Title"/>
    <tableColumn id="5" xr3:uid="{00000000-0010-0000-0900-000005000000}" name="Organisation's Name or Authors"/>
    <tableColumn id="3" xr3:uid="{00000000-0010-0000-0900-000003000000}" name="Link'"/>
    <tableColumn id="4" xr3:uid="{00000000-0010-0000-0900-000004000000}" name="Publication Series"/>
    <tableColumn id="6" xr3:uid="{00000000-0010-0000-0900-000006000000}" name="Note on the Refere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3" dT="2023-08-07T23:49:16.67" personId="{E1B755A1-88E3-EE4F-B17D-58DA0F0B7737}" id="{8308AA76-425E-D44B-9894-E5B4FF0C8BE8}">
    <text>These shares match dmd_prj</text>
  </threadedComment>
  <threadedComment ref="H9" dT="2020-06-05T08:23:56.54" personId="{CDDAF179-4480-4DE8-BE64-7CEFAF2FA394}" id="{4DF60E77-CC5A-4D82-BA19-1A831A4807D7}">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 ref="J9" dT="2023-08-07T23:49:01.22" personId="{E1B755A1-88E3-EE4F-B17D-58DA0F0B7737}" id="{D42BB6B0-AB45-9E43-A9E9-B0DA0F955F44}">
    <text>Taken from SANEDI “household data v03” workbook</text>
  </threadedComment>
  <threadedComment ref="D47" dT="2020-06-05T08:23:56.54" personId="{CDDAF179-4480-4DE8-BE64-7CEFAF2FA394}" id="{DCE847A7-FF76-4CBA-BF42-FAA7EA517A5C}">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G99" dT="2020-06-10T10:21:22.86" personId="{CDDAF179-4480-4DE8-BE64-7CEFAF2FA394}" id="{6A7695AD-4A76-48DA-970B-19A6CB9DACC1}">
    <text>Also difference in wood use here, with non-elec hhlds using more</text>
  </threadedComment>
</ThreadedComments>
</file>

<file path=xl/threadedComments/threadedComment3.xml><?xml version="1.0" encoding="utf-8"?>
<ThreadedComments xmlns="http://schemas.microsoft.com/office/spreadsheetml/2018/threadedcomments" xmlns:x="http://schemas.openxmlformats.org/spreadsheetml/2006/main">
  <threadedComment ref="S34" dT="2023-08-17T16:05:27.75" personId="{E1B755A1-88E3-EE4F-B17D-58DA0F0B7737}" id="{DF5259BA-374F-B841-825F-9E1553572344}">
    <text>Efficiency - pulls informtion in from scenarios</text>
  </threadedComment>
  <threadedComment ref="J39" dT="2023-09-07T09:23:23.14" personId="{FD570950-B20E-49D0-9AA2-E5EE10EC8244}" id="{C3C2BAAB-27C4-4468-96A2-470291D9D141}">
    <text>Set to zero to avoid infes, until we do proper stock modelling.</text>
  </threadedComment>
  <threadedComment ref="E62" dT="2023-08-16T17:02:29.22" personId="{E1B755A1-88E3-EE4F-B17D-58DA0F0B7737}" id="{D175A75C-4ADB-F247-9B9F-B5C585A9CE63}">
    <text>I don’t think this matches SANEDI</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cityenergy.org.za/files/resources/soe/CTMMSOE.pdf" TargetMode="External"/><Relationship Id="rId13" Type="http://schemas.openxmlformats.org/officeDocument/2006/relationships/table" Target="../tables/table1.xml"/><Relationship Id="rId3" Type="http://schemas.openxmlformats.org/officeDocument/2006/relationships/hyperlink" Target="http://www.erc.uct.ac.za/Research/publications/05WInkler%20etal%20-%20CT%20energy%20futures.pdf" TargetMode="External"/><Relationship Id="rId7" Type="http://schemas.openxmlformats.org/officeDocument/2006/relationships/hyperlink" Target="http://www.nersa.org.za/Admin/Document/Editor/file/News%20and%20Publications/Publications/Current%20Issues/Electricity%20Supply%20Statistics/Electricity%20supply%20statistics%202006.pdf" TargetMode="External"/><Relationship Id="rId12" Type="http://schemas.openxmlformats.org/officeDocument/2006/relationships/hyperlink" Target="http://www.altestore.com/howto/Power-Ratings-typical-for-Common-Appliances/a21/" TargetMode="External"/><Relationship Id="rId2" Type="http://schemas.openxmlformats.org/officeDocument/2006/relationships/hyperlink" Target="http://www.energy.gov.za/files/media/explained/2009%20Digest%20PDF%20version.pdf" TargetMode="External"/><Relationship Id="rId1" Type="http://schemas.openxmlformats.org/officeDocument/2006/relationships/hyperlink" Target="http://beta2.statssa.gov.za/publications/P0141/CPIHistory.pdf" TargetMode="External"/><Relationship Id="rId6" Type="http://schemas.openxmlformats.org/officeDocument/2006/relationships/hyperlink" Target="http://active.cput.ac.za/energy/past_papers/DUE/2009/PDF/Paper%20-%20Shuma-Iwisi%20M.pdf" TargetMode="External"/><Relationship Id="rId11" Type="http://schemas.openxmlformats.org/officeDocument/2006/relationships/hyperlink" Target="http://www.syngen.co.za/index.php/guidelines/power-rating-appliances" TargetMode="External"/><Relationship Id="rId5" Type="http://schemas.openxmlformats.org/officeDocument/2006/relationships/hyperlink" Target="http://www.capetown.gov.za/en/EnvironmentalResourceManagement/publications/Documents/Energy_Scenarios_for_CT_to_2050_2011-08.pdf" TargetMode="External"/><Relationship Id="rId10" Type="http://schemas.openxmlformats.org/officeDocument/2006/relationships/hyperlink" Target="http://www.futurelight.co.za/collections/led-bulbs" TargetMode="External"/><Relationship Id="rId4" Type="http://schemas.openxmlformats.org/officeDocument/2006/relationships/hyperlink" Target="http://uctscholar.uct.ac.za/R?func=dbin-jump-full&amp;object_id=57802" TargetMode="External"/><Relationship Id="rId9" Type="http://schemas.openxmlformats.org/officeDocument/2006/relationships/hyperlink" Target="http://www.ebay.com/bhp/natural-gas-stov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dataportal.eighty20.co.za/cached/b2b44db1c56c417dbb39fa3db3dded23" TargetMode="External"/><Relationship Id="rId2" Type="http://schemas.openxmlformats.org/officeDocument/2006/relationships/hyperlink" Target="https://dataportal.eighty20.co.za/cached/9ba4f30b46a3410db66fb34fe5ffe432" TargetMode="External"/><Relationship Id="rId1" Type="http://schemas.openxmlformats.org/officeDocument/2006/relationships/hyperlink" Target="https://dataportal.eighty20.co.za/cached/beb9ae3d64374ac598d8f6cd9b72b336"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microsoft.com/office/2017/10/relationships/threadedComment" Target="../threadedComments/threadedComment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12.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dimension ref="A1:B38"/>
  <sheetViews>
    <sheetView workbookViewId="0">
      <selection activeCell="B19" sqref="B19"/>
    </sheetView>
  </sheetViews>
  <sheetFormatPr defaultColWidth="11.42578125" defaultRowHeight="12.75"/>
  <cols>
    <col min="1" max="1" width="38.85546875" customWidth="1"/>
  </cols>
  <sheetData>
    <row r="1" spans="1:2">
      <c r="A1" t="s">
        <v>551</v>
      </c>
      <c r="B1" t="s">
        <v>552</v>
      </c>
    </row>
    <row r="2" spans="1:2">
      <c r="A2" t="s">
        <v>553</v>
      </c>
      <c r="B2">
        <v>65775</v>
      </c>
    </row>
    <row r="3" spans="1:2">
      <c r="A3" t="s">
        <v>554</v>
      </c>
      <c r="B3">
        <v>63874</v>
      </c>
    </row>
    <row r="4" spans="1:2">
      <c r="A4" t="s">
        <v>555</v>
      </c>
      <c r="B4">
        <v>69817</v>
      </c>
    </row>
    <row r="5" spans="1:2">
      <c r="A5" t="s">
        <v>556</v>
      </c>
      <c r="B5">
        <v>75928</v>
      </c>
    </row>
    <row r="6" spans="1:2">
      <c r="A6" t="s">
        <v>527</v>
      </c>
      <c r="B6">
        <v>105990</v>
      </c>
    </row>
    <row r="7" spans="1:2">
      <c r="A7" t="s">
        <v>48</v>
      </c>
      <c r="B7">
        <v>94626</v>
      </c>
    </row>
    <row r="8" spans="1:2">
      <c r="A8" t="s">
        <v>557</v>
      </c>
      <c r="B8">
        <v>81894</v>
      </c>
    </row>
    <row r="9" spans="1:2">
      <c r="A9" t="s">
        <v>558</v>
      </c>
      <c r="B9">
        <v>88794</v>
      </c>
    </row>
    <row r="10" spans="1:2">
      <c r="A10" t="s">
        <v>53</v>
      </c>
      <c r="B10">
        <v>84241</v>
      </c>
    </row>
    <row r="11" spans="1:2">
      <c r="A11" t="s">
        <v>60</v>
      </c>
      <c r="B11">
        <v>55403</v>
      </c>
    </row>
    <row r="12" spans="1:2">
      <c r="A12" t="s">
        <v>206</v>
      </c>
      <c r="B12">
        <v>72499</v>
      </c>
    </row>
    <row r="13" spans="1:2">
      <c r="A13" t="s">
        <v>559</v>
      </c>
      <c r="B13">
        <v>125167</v>
      </c>
    </row>
    <row r="14" spans="1:2">
      <c r="A14" t="s">
        <v>560</v>
      </c>
      <c r="B14">
        <v>541396</v>
      </c>
    </row>
    <row r="15" spans="1:2">
      <c r="A15" t="s">
        <v>561</v>
      </c>
      <c r="B15">
        <v>116656</v>
      </c>
    </row>
    <row r="16" spans="1:2">
      <c r="A16" t="s">
        <v>65</v>
      </c>
      <c r="B16">
        <v>538287</v>
      </c>
    </row>
    <row r="17" spans="1:2">
      <c r="A17" t="s">
        <v>406</v>
      </c>
      <c r="B17">
        <v>296551</v>
      </c>
    </row>
    <row r="18" spans="1:2">
      <c r="A18" t="s">
        <v>562</v>
      </c>
      <c r="B18">
        <v>98556</v>
      </c>
    </row>
    <row r="19" spans="1:2">
      <c r="A19" t="s">
        <v>563</v>
      </c>
      <c r="B19">
        <v>98005</v>
      </c>
    </row>
    <row r="20" spans="1:2">
      <c r="A20" t="s">
        <v>77</v>
      </c>
      <c r="B20">
        <v>8390222</v>
      </c>
    </row>
    <row r="21" spans="1:2">
      <c r="A21" t="s">
        <v>564</v>
      </c>
      <c r="B21">
        <v>7390196</v>
      </c>
    </row>
    <row r="22" spans="1:2">
      <c r="A22" t="s">
        <v>565</v>
      </c>
      <c r="B22">
        <v>80148</v>
      </c>
    </row>
    <row r="23" spans="1:2">
      <c r="A23" t="s">
        <v>566</v>
      </c>
      <c r="B23">
        <v>83940</v>
      </c>
    </row>
    <row r="24" spans="1:2">
      <c r="A24" t="s">
        <v>567</v>
      </c>
      <c r="B24">
        <v>751456</v>
      </c>
    </row>
    <row r="26" spans="1:2">
      <c r="A26" t="s">
        <v>568</v>
      </c>
      <c r="B26">
        <v>208346</v>
      </c>
    </row>
    <row r="27" spans="1:2">
      <c r="A27" t="s">
        <v>569</v>
      </c>
      <c r="B27">
        <v>74801</v>
      </c>
    </row>
    <row r="28" spans="1:2">
      <c r="A28" t="s">
        <v>570</v>
      </c>
      <c r="B28">
        <v>98366</v>
      </c>
    </row>
    <row r="29" spans="1:2">
      <c r="A29" t="s">
        <v>571</v>
      </c>
      <c r="B29">
        <v>109930</v>
      </c>
    </row>
    <row r="30" spans="1:2">
      <c r="A30" t="s">
        <v>572</v>
      </c>
      <c r="B30">
        <v>110569</v>
      </c>
    </row>
    <row r="31" spans="1:2">
      <c r="A31" t="s">
        <v>573</v>
      </c>
      <c r="B31">
        <v>63845</v>
      </c>
    </row>
    <row r="32" spans="1:2">
      <c r="A32" t="s">
        <v>86</v>
      </c>
      <c r="B32">
        <v>66538</v>
      </c>
    </row>
    <row r="33" spans="1:2">
      <c r="A33" t="s">
        <v>574</v>
      </c>
      <c r="B33">
        <v>97985</v>
      </c>
    </row>
    <row r="34" spans="1:2">
      <c r="A34" t="s">
        <v>575</v>
      </c>
      <c r="B34">
        <v>89636</v>
      </c>
    </row>
    <row r="35" spans="1:2">
      <c r="A35" t="s">
        <v>576</v>
      </c>
      <c r="B35">
        <v>99212</v>
      </c>
    </row>
    <row r="36" spans="1:2">
      <c r="A36" t="s">
        <v>577</v>
      </c>
      <c r="B36">
        <v>99125</v>
      </c>
    </row>
    <row r="37" spans="1:2">
      <c r="A37" t="s">
        <v>578</v>
      </c>
      <c r="B37">
        <v>86384</v>
      </c>
    </row>
    <row r="38" spans="1:2">
      <c r="A38" t="s">
        <v>579</v>
      </c>
      <c r="B38">
        <v>70018</v>
      </c>
    </row>
  </sheetData>
  <conditionalFormatting sqref="B1:B1048576">
    <cfRule type="dataBar" priority="1">
      <dataBar>
        <cfvo type="min"/>
        <cfvo type="max"/>
        <color rgb="FF638EC6"/>
      </dataBar>
      <extLst>
        <ext xmlns:x14="http://schemas.microsoft.com/office/spreadsheetml/2009/9/main" uri="{B025F937-C7B1-47D3-B67F-A62EFF666E3E}">
          <x14:id>{A083F591-670C-404E-9F0C-5B03CF02BD7A}</x14:id>
        </ext>
      </extLst>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A083F591-670C-404E-9F0C-5B03CF02BD7A}">
            <x14:dataBar minLength="0" maxLength="100" gradient="0">
              <x14:cfvo type="autoMin"/>
              <x14:cfvo type="autoMax"/>
              <x14:negativeFillColor rgb="FFFF0000"/>
              <x14:axisColor rgb="FF000000"/>
            </x14:dataBar>
          </x14:cfRule>
          <xm:sqref>B1:B1048576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F10"/>
  <sheetViews>
    <sheetView workbookViewId="0">
      <selection activeCell="E2" sqref="E2"/>
    </sheetView>
  </sheetViews>
  <sheetFormatPr defaultColWidth="8.85546875" defaultRowHeight="12.75"/>
  <sheetData>
    <row r="1" spans="1:6">
      <c r="B1" s="161">
        <v>1</v>
      </c>
      <c r="C1" s="6"/>
      <c r="D1" s="5" t="s">
        <v>401</v>
      </c>
      <c r="F1" s="21"/>
    </row>
    <row r="2" spans="1:6">
      <c r="A2" s="6"/>
      <c r="B2" s="160">
        <v>0</v>
      </c>
      <c r="C2" s="160" t="s">
        <v>403</v>
      </c>
    </row>
    <row r="3" spans="1:6">
      <c r="A3" s="6"/>
      <c r="B3" s="160">
        <v>1</v>
      </c>
      <c r="C3" s="160" t="s">
        <v>402</v>
      </c>
    </row>
    <row r="5" spans="1:6">
      <c r="A5" t="s">
        <v>64</v>
      </c>
    </row>
    <row r="10" spans="1:6">
      <c r="A10" s="160" t="s">
        <v>400</v>
      </c>
    </row>
  </sheetData>
  <dataValidations count="1">
    <dataValidation type="list" allowBlank="1" showInputMessage="1" showErrorMessage="1" sqref="B1" xr:uid="{00000000-0002-0000-0100-000000000000}">
      <formula1>$B$2:$B$3</formula1>
    </dataValidation>
  </dataValidation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dimension ref="A2:G37"/>
  <sheetViews>
    <sheetView workbookViewId="0">
      <selection activeCell="F35" sqref="F35"/>
    </sheetView>
  </sheetViews>
  <sheetFormatPr defaultColWidth="8.85546875" defaultRowHeight="12.75"/>
  <cols>
    <col min="1" max="1" width="17.7109375" customWidth="1"/>
    <col min="2" max="2" width="74.28515625" customWidth="1"/>
    <col min="3" max="3" width="44.42578125" customWidth="1"/>
    <col min="4" max="4" width="51.7109375" customWidth="1"/>
    <col min="5" max="5" width="22" customWidth="1"/>
    <col min="6" max="6" width="25.28515625" customWidth="1"/>
    <col min="7" max="7" width="43.7109375" customWidth="1"/>
  </cols>
  <sheetData>
    <row r="2" spans="1:7">
      <c r="A2" s="1"/>
    </row>
    <row r="3" spans="1:7">
      <c r="A3" s="5" t="s">
        <v>206</v>
      </c>
    </row>
    <row r="4" spans="1:7">
      <c r="A4" s="1"/>
    </row>
    <row r="5" spans="1:7">
      <c r="A5" s="5" t="s">
        <v>195</v>
      </c>
      <c r="B5" s="41" t="s">
        <v>184</v>
      </c>
      <c r="C5" s="41" t="s">
        <v>176</v>
      </c>
      <c r="D5" s="41" t="s">
        <v>189</v>
      </c>
      <c r="E5" s="41" t="s">
        <v>175</v>
      </c>
      <c r="F5" s="41" t="s">
        <v>185</v>
      </c>
      <c r="G5" s="41"/>
    </row>
    <row r="6" spans="1:7">
      <c r="A6" s="70">
        <v>1</v>
      </c>
      <c r="B6" s="4" t="s">
        <v>194</v>
      </c>
      <c r="C6" s="70" t="s">
        <v>177</v>
      </c>
      <c r="D6" s="36" t="s">
        <v>242</v>
      </c>
      <c r="E6" s="37">
        <v>0</v>
      </c>
      <c r="F6" s="37">
        <v>0</v>
      </c>
      <c r="G6" s="37">
        <v>0</v>
      </c>
    </row>
    <row r="7" spans="1:7">
      <c r="A7" s="70">
        <v>2</v>
      </c>
      <c r="B7" s="4" t="s">
        <v>190</v>
      </c>
      <c r="C7" s="37" t="s">
        <v>26</v>
      </c>
      <c r="D7" s="36" t="s">
        <v>173</v>
      </c>
      <c r="E7" s="37" t="s">
        <v>174</v>
      </c>
      <c r="F7" s="37">
        <v>0</v>
      </c>
      <c r="G7" s="37">
        <v>0</v>
      </c>
    </row>
    <row r="8" spans="1:7" ht="35.25" customHeight="1">
      <c r="A8" s="37">
        <v>3</v>
      </c>
      <c r="B8" s="4" t="s">
        <v>182</v>
      </c>
      <c r="C8" s="38" t="s">
        <v>183</v>
      </c>
      <c r="D8" s="70">
        <v>0</v>
      </c>
      <c r="E8" s="37">
        <v>0</v>
      </c>
      <c r="F8" s="4" t="s">
        <v>186</v>
      </c>
      <c r="G8" s="37">
        <v>0</v>
      </c>
    </row>
    <row r="9" spans="1:7">
      <c r="A9" s="37">
        <v>4</v>
      </c>
      <c r="B9" s="4" t="s">
        <v>187</v>
      </c>
      <c r="C9" s="37" t="s">
        <v>188</v>
      </c>
      <c r="D9" s="36" t="s">
        <v>191</v>
      </c>
      <c r="E9" s="37">
        <v>0</v>
      </c>
      <c r="G9" s="37">
        <v>0</v>
      </c>
    </row>
    <row r="10" spans="1:7">
      <c r="A10" s="37">
        <v>5</v>
      </c>
      <c r="B10" s="1" t="s">
        <v>10</v>
      </c>
      <c r="C10" s="1" t="s">
        <v>196</v>
      </c>
      <c r="D10" s="36" t="s">
        <v>197</v>
      </c>
      <c r="E10" s="37">
        <v>0</v>
      </c>
      <c r="G10" s="37">
        <v>0</v>
      </c>
    </row>
    <row r="11" spans="1:7">
      <c r="A11" s="37">
        <v>6</v>
      </c>
      <c r="B11" t="s">
        <v>198</v>
      </c>
      <c r="C11" s="37" t="s">
        <v>200</v>
      </c>
      <c r="D11" s="36" t="s">
        <v>199</v>
      </c>
      <c r="E11" s="37">
        <v>0</v>
      </c>
      <c r="F11" s="37" t="s">
        <v>201</v>
      </c>
      <c r="G11" s="37">
        <v>0</v>
      </c>
    </row>
    <row r="12" spans="1:7">
      <c r="A12" s="37">
        <v>7</v>
      </c>
      <c r="B12" s="4" t="s">
        <v>202</v>
      </c>
      <c r="C12" s="37" t="s">
        <v>204</v>
      </c>
      <c r="D12" s="36" t="s">
        <v>203</v>
      </c>
      <c r="E12" s="37">
        <v>0</v>
      </c>
      <c r="F12" s="37" t="s">
        <v>205</v>
      </c>
      <c r="G12" s="37">
        <v>0</v>
      </c>
    </row>
    <row r="13" spans="1:7">
      <c r="A13" s="37">
        <v>8</v>
      </c>
      <c r="B13" s="1" t="s">
        <v>207</v>
      </c>
      <c r="C13" s="70" t="s">
        <v>208</v>
      </c>
      <c r="D13" s="36" t="s">
        <v>209</v>
      </c>
      <c r="E13" s="37">
        <v>0</v>
      </c>
      <c r="F13" s="70" t="s">
        <v>210</v>
      </c>
      <c r="G13" s="37">
        <v>0</v>
      </c>
    </row>
    <row r="14" spans="1:7">
      <c r="A14" s="37">
        <v>9</v>
      </c>
      <c r="B14" s="1" t="s">
        <v>213</v>
      </c>
      <c r="C14" s="37" t="s">
        <v>211</v>
      </c>
      <c r="D14" s="36" t="s">
        <v>212</v>
      </c>
      <c r="E14" s="37">
        <v>0</v>
      </c>
      <c r="F14" t="s">
        <v>214</v>
      </c>
      <c r="G14" s="37">
        <v>0</v>
      </c>
    </row>
    <row r="15" spans="1:7">
      <c r="A15" s="37">
        <v>10</v>
      </c>
      <c r="B15" s="1" t="s">
        <v>215</v>
      </c>
      <c r="C15" s="70" t="s">
        <v>216</v>
      </c>
      <c r="D15" s="36" t="s">
        <v>217</v>
      </c>
      <c r="E15" s="37">
        <v>0</v>
      </c>
      <c r="G15" s="37">
        <v>0</v>
      </c>
    </row>
    <row r="16" spans="1:7">
      <c r="A16" s="37">
        <v>11</v>
      </c>
      <c r="B16" t="s">
        <v>218</v>
      </c>
      <c r="C16" s="37" t="s">
        <v>19</v>
      </c>
      <c r="D16" s="37">
        <v>0</v>
      </c>
      <c r="E16" s="37">
        <v>0</v>
      </c>
      <c r="G16" s="37">
        <v>0</v>
      </c>
    </row>
    <row r="17" spans="1:7">
      <c r="A17" s="37">
        <v>12</v>
      </c>
      <c r="B17" t="s">
        <v>223</v>
      </c>
      <c r="C17" s="70" t="s">
        <v>224</v>
      </c>
      <c r="D17" s="37">
        <v>0</v>
      </c>
      <c r="E17" s="37">
        <v>0</v>
      </c>
      <c r="G17" s="37">
        <v>0</v>
      </c>
    </row>
    <row r="18" spans="1:7">
      <c r="A18" s="37">
        <v>13</v>
      </c>
      <c r="B18" t="s">
        <v>226</v>
      </c>
      <c r="C18" s="37" t="s">
        <v>225</v>
      </c>
      <c r="D18" s="37">
        <v>0</v>
      </c>
      <c r="E18" s="37">
        <v>0</v>
      </c>
      <c r="G18" s="37">
        <v>0</v>
      </c>
    </row>
    <row r="19" spans="1:7">
      <c r="A19" s="37">
        <v>14</v>
      </c>
      <c r="B19" t="s">
        <v>227</v>
      </c>
      <c r="C19" s="37" t="s">
        <v>228</v>
      </c>
      <c r="D19" s="37">
        <v>0</v>
      </c>
      <c r="E19" s="37">
        <v>0</v>
      </c>
      <c r="G19" s="37">
        <v>0</v>
      </c>
    </row>
    <row r="20" spans="1:7">
      <c r="A20" s="37">
        <v>15</v>
      </c>
      <c r="B20" t="s">
        <v>229</v>
      </c>
      <c r="C20" s="37" t="s">
        <v>233</v>
      </c>
      <c r="D20" s="37">
        <v>0</v>
      </c>
      <c r="E20" s="37">
        <v>0</v>
      </c>
      <c r="G20" s="37">
        <v>0</v>
      </c>
    </row>
    <row r="21" spans="1:7">
      <c r="A21" s="37">
        <v>16</v>
      </c>
      <c r="B21" s="1" t="s">
        <v>230</v>
      </c>
      <c r="C21" s="70" t="s">
        <v>231</v>
      </c>
      <c r="D21" s="37">
        <v>0</v>
      </c>
      <c r="E21" s="37">
        <v>0</v>
      </c>
      <c r="F21" s="70" t="s">
        <v>232</v>
      </c>
      <c r="G21" s="37">
        <v>0</v>
      </c>
    </row>
    <row r="22" spans="1:7">
      <c r="A22" s="37">
        <v>17</v>
      </c>
      <c r="B22" s="1" t="s">
        <v>234</v>
      </c>
      <c r="C22" s="70" t="s">
        <v>235</v>
      </c>
      <c r="E22" s="37">
        <v>0</v>
      </c>
      <c r="G22" s="37">
        <v>0</v>
      </c>
    </row>
    <row r="23" spans="1:7">
      <c r="A23" s="37">
        <v>18</v>
      </c>
      <c r="B23" s="1" t="s">
        <v>244</v>
      </c>
      <c r="C23" s="70" t="s">
        <v>245</v>
      </c>
      <c r="D23" s="36" t="s">
        <v>243</v>
      </c>
      <c r="E23" s="37">
        <v>0</v>
      </c>
      <c r="G23" s="37">
        <v>0</v>
      </c>
    </row>
    <row r="24" spans="1:7">
      <c r="A24" s="37">
        <v>19</v>
      </c>
      <c r="B24" s="1" t="s">
        <v>248</v>
      </c>
      <c r="C24" s="70"/>
      <c r="D24" s="36" t="s">
        <v>247</v>
      </c>
      <c r="E24" s="37">
        <v>0</v>
      </c>
      <c r="G24" s="37">
        <v>0</v>
      </c>
    </row>
    <row r="25" spans="1:7">
      <c r="A25" s="37">
        <v>20</v>
      </c>
      <c r="B25" s="1" t="s">
        <v>272</v>
      </c>
      <c r="C25" s="70" t="s">
        <v>271</v>
      </c>
      <c r="E25" s="37">
        <v>0</v>
      </c>
      <c r="F25" t="s">
        <v>270</v>
      </c>
    </row>
    <row r="26" spans="1:7">
      <c r="A26" s="37">
        <v>21</v>
      </c>
      <c r="B26" s="1" t="s">
        <v>273</v>
      </c>
      <c r="C26" s="70" t="s">
        <v>26</v>
      </c>
      <c r="E26" s="37">
        <v>0</v>
      </c>
    </row>
    <row r="27" spans="1:7">
      <c r="A27" s="37">
        <v>22</v>
      </c>
      <c r="B27" s="1" t="s">
        <v>274</v>
      </c>
      <c r="E27" s="37">
        <v>0</v>
      </c>
    </row>
    <row r="28" spans="1:7">
      <c r="A28" s="37">
        <v>23</v>
      </c>
      <c r="B28" s="1" t="s">
        <v>275</v>
      </c>
      <c r="E28" s="37">
        <v>0</v>
      </c>
    </row>
    <row r="29" spans="1:7">
      <c r="A29" s="37">
        <v>24</v>
      </c>
      <c r="B29" s="1"/>
      <c r="D29" s="112" t="s">
        <v>292</v>
      </c>
      <c r="E29" s="37">
        <v>0</v>
      </c>
    </row>
    <row r="30" spans="1:7">
      <c r="A30" s="37">
        <v>25</v>
      </c>
      <c r="B30" s="1"/>
      <c r="D30" s="113" t="s">
        <v>73</v>
      </c>
      <c r="E30" s="37">
        <v>0</v>
      </c>
    </row>
    <row r="31" spans="1:7">
      <c r="B31" s="1" t="s">
        <v>300</v>
      </c>
      <c r="D31" t="s">
        <v>299</v>
      </c>
    </row>
    <row r="32" spans="1:7">
      <c r="B32" s="1" t="s">
        <v>302</v>
      </c>
      <c r="D32" t="s">
        <v>301</v>
      </c>
    </row>
    <row r="33" spans="2:4">
      <c r="B33" t="s">
        <v>304</v>
      </c>
      <c r="D33" t="s">
        <v>303</v>
      </c>
    </row>
    <row r="34" spans="2:4">
      <c r="B34" t="s">
        <v>304</v>
      </c>
      <c r="D34" t="s">
        <v>305</v>
      </c>
    </row>
    <row r="35" spans="2:4">
      <c r="B35" s="1" t="s">
        <v>307</v>
      </c>
      <c r="D35" t="s">
        <v>306</v>
      </c>
    </row>
    <row r="36" spans="2:4">
      <c r="B36" s="1" t="s">
        <v>309</v>
      </c>
      <c r="D36" t="s">
        <v>308</v>
      </c>
    </row>
    <row r="37" spans="2:4">
      <c r="B37" s="1" t="s">
        <v>311</v>
      </c>
      <c r="D37" t="s">
        <v>310</v>
      </c>
    </row>
  </sheetData>
  <hyperlinks>
    <hyperlink ref="D7" r:id="rId1" xr:uid="{00000000-0004-0000-0B00-000000000000}"/>
    <hyperlink ref="D9" r:id="rId2" xr:uid="{00000000-0004-0000-0B00-000001000000}"/>
    <hyperlink ref="D10" r:id="rId3" xr:uid="{00000000-0004-0000-0B00-000002000000}"/>
    <hyperlink ref="D11" r:id="rId4" xr:uid="{00000000-0004-0000-0B00-000003000000}"/>
    <hyperlink ref="D12" r:id="rId5" xr:uid="{00000000-0004-0000-0B00-000004000000}"/>
    <hyperlink ref="D13" r:id="rId6" xr:uid="{00000000-0004-0000-0B00-000005000000}"/>
    <hyperlink ref="D14" r:id="rId7" xr:uid="{00000000-0004-0000-0B00-000006000000}"/>
    <hyperlink ref="D15" r:id="rId8" xr:uid="{00000000-0004-0000-0B00-000007000000}"/>
    <hyperlink ref="D23" r:id="rId9" xr:uid="{00000000-0004-0000-0B00-000008000000}"/>
    <hyperlink ref="D24" r:id="rId10" xr:uid="{00000000-0004-0000-0B00-000009000000}"/>
    <hyperlink ref="D29" r:id="rId11" xr:uid="{00000000-0004-0000-0B00-00000A000000}"/>
    <hyperlink ref="D30" r:id="rId12" xr:uid="{00000000-0004-0000-0B00-00000B000000}"/>
  </hyperlinks>
  <pageMargins left="0.7" right="0.7" top="0.75" bottom="0.75" header="0.3" footer="0.3"/>
  <tableParts count="1">
    <tablePart r:id="rId1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7"/>
  <dimension ref="C4:K31"/>
  <sheetViews>
    <sheetView workbookViewId="0">
      <selection activeCell="C23" sqref="C23"/>
    </sheetView>
  </sheetViews>
  <sheetFormatPr defaultColWidth="8.85546875" defaultRowHeight="12.75"/>
  <cols>
    <col min="3" max="3" width="15.42578125" bestFit="1" customWidth="1"/>
    <col min="5" max="5" width="13.140625" customWidth="1"/>
    <col min="6" max="6" width="35.28515625" customWidth="1"/>
    <col min="7" max="7" width="53.42578125" customWidth="1"/>
    <col min="8" max="8" width="17.42578125" customWidth="1"/>
    <col min="11" max="11" width="17.7109375" bestFit="1" customWidth="1"/>
  </cols>
  <sheetData>
    <row r="4" spans="3:8">
      <c r="C4" t="s">
        <v>131</v>
      </c>
      <c r="D4" t="s">
        <v>132</v>
      </c>
      <c r="E4" t="s">
        <v>133</v>
      </c>
      <c r="F4" t="s">
        <v>134</v>
      </c>
      <c r="G4" t="s">
        <v>136</v>
      </c>
      <c r="H4" t="s">
        <v>135</v>
      </c>
    </row>
    <row r="5" spans="3:8">
      <c r="C5" s="60">
        <v>41122</v>
      </c>
      <c r="D5" t="s">
        <v>137</v>
      </c>
      <c r="E5" t="s">
        <v>139</v>
      </c>
      <c r="F5" t="s">
        <v>138</v>
      </c>
      <c r="G5" t="s">
        <v>148</v>
      </c>
    </row>
    <row r="6" spans="3:8">
      <c r="E6" t="s">
        <v>140</v>
      </c>
      <c r="F6" t="s">
        <v>141</v>
      </c>
      <c r="G6" t="s">
        <v>142</v>
      </c>
      <c r="H6" t="s">
        <v>143</v>
      </c>
    </row>
    <row r="7" spans="3:8">
      <c r="E7" t="s">
        <v>139</v>
      </c>
      <c r="F7" t="s">
        <v>144</v>
      </c>
      <c r="G7" t="s">
        <v>145</v>
      </c>
    </row>
    <row r="8" spans="3:8">
      <c r="C8" s="60">
        <v>41153</v>
      </c>
      <c r="D8" t="s">
        <v>146</v>
      </c>
      <c r="E8" t="s">
        <v>139</v>
      </c>
      <c r="F8" t="s">
        <v>147</v>
      </c>
    </row>
    <row r="9" spans="3:8">
      <c r="E9" t="s">
        <v>140</v>
      </c>
      <c r="F9" t="s">
        <v>149</v>
      </c>
      <c r="G9" t="s">
        <v>150</v>
      </c>
    </row>
    <row r="10" spans="3:8">
      <c r="E10" t="s">
        <v>151</v>
      </c>
      <c r="F10" t="s">
        <v>152</v>
      </c>
      <c r="G10" t="s">
        <v>153</v>
      </c>
    </row>
    <row r="11" spans="3:8">
      <c r="E11" t="s">
        <v>151</v>
      </c>
      <c r="F11" t="s">
        <v>154</v>
      </c>
    </row>
    <row r="12" spans="3:8">
      <c r="E12" t="s">
        <v>151</v>
      </c>
      <c r="F12" t="s">
        <v>155</v>
      </c>
    </row>
    <row r="13" spans="3:8">
      <c r="E13" t="s">
        <v>156</v>
      </c>
      <c r="F13" t="s">
        <v>157</v>
      </c>
    </row>
    <row r="14" spans="3:8">
      <c r="E14" s="1" t="s">
        <v>77</v>
      </c>
      <c r="F14" s="1" t="s">
        <v>159</v>
      </c>
    </row>
    <row r="16" spans="3:8">
      <c r="C16" s="64">
        <v>41403.69752037037</v>
      </c>
      <c r="D16" s="1" t="s">
        <v>163</v>
      </c>
      <c r="E16" s="1" t="s">
        <v>77</v>
      </c>
      <c r="F16" s="1" t="s">
        <v>162</v>
      </c>
    </row>
    <row r="18" spans="3:11">
      <c r="C18" s="65">
        <v>41508</v>
      </c>
      <c r="D18" t="s">
        <v>164</v>
      </c>
      <c r="E18" t="s">
        <v>77</v>
      </c>
      <c r="F18" t="s">
        <v>165</v>
      </c>
    </row>
    <row r="19" spans="3:11">
      <c r="C19" s="1" t="s">
        <v>312</v>
      </c>
      <c r="D19" s="1" t="s">
        <v>313</v>
      </c>
      <c r="E19" s="1" t="s">
        <v>314</v>
      </c>
    </row>
    <row r="21" spans="3:11">
      <c r="C21" t="s">
        <v>398</v>
      </c>
      <c r="D21" t="s">
        <v>137</v>
      </c>
      <c r="E21" t="s">
        <v>77</v>
      </c>
      <c r="F21" t="s">
        <v>399</v>
      </c>
    </row>
    <row r="22" spans="3:11">
      <c r="C22" t="s">
        <v>404</v>
      </c>
      <c r="D22" t="s">
        <v>405</v>
      </c>
      <c r="E22" t="s">
        <v>406</v>
      </c>
      <c r="F22" t="s">
        <v>407</v>
      </c>
      <c r="G22" t="s">
        <v>408</v>
      </c>
    </row>
    <row r="23" spans="3:11">
      <c r="K23" s="61"/>
    </row>
    <row r="30" spans="3:11">
      <c r="C30" s="1" t="s">
        <v>897</v>
      </c>
    </row>
    <row r="31" spans="3:11">
      <c r="C31" s="1" t="s">
        <v>896</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2:F15"/>
  <sheetViews>
    <sheetView workbookViewId="0">
      <selection activeCell="E14" sqref="E14"/>
    </sheetView>
  </sheetViews>
  <sheetFormatPr defaultColWidth="8.85546875" defaultRowHeight="12.75"/>
  <cols>
    <col min="1" max="1" width="7" customWidth="1"/>
    <col min="2" max="2" width="14.7109375" customWidth="1"/>
    <col min="3" max="3" width="29" customWidth="1"/>
    <col min="4" max="4" width="11.42578125" customWidth="1"/>
  </cols>
  <sheetData>
    <row r="2" spans="1:6" ht="15">
      <c r="B2" s="72" t="s">
        <v>0</v>
      </c>
      <c r="C2" s="72" t="s">
        <v>181</v>
      </c>
      <c r="D2" s="18" t="s">
        <v>1</v>
      </c>
      <c r="E2" s="16" t="s">
        <v>172</v>
      </c>
      <c r="F2" s="1" t="s">
        <v>219</v>
      </c>
    </row>
    <row r="3" spans="1:6" ht="15.75">
      <c r="A3" s="1"/>
      <c r="B3" s="73" t="s">
        <v>42</v>
      </c>
      <c r="C3" s="72">
        <v>3.6</v>
      </c>
      <c r="D3" s="16" t="s">
        <v>130</v>
      </c>
      <c r="E3">
        <v>4</v>
      </c>
    </row>
    <row r="4" spans="1:6" ht="15">
      <c r="B4" s="72" t="s">
        <v>3</v>
      </c>
      <c r="C4" s="72">
        <v>37</v>
      </c>
      <c r="D4" s="16" t="s">
        <v>179</v>
      </c>
      <c r="E4" t="s">
        <v>192</v>
      </c>
    </row>
    <row r="5" spans="1:6" ht="15">
      <c r="B5" s="72" t="s">
        <v>21</v>
      </c>
      <c r="C5" s="72">
        <v>26.7</v>
      </c>
      <c r="D5" s="16" t="s">
        <v>179</v>
      </c>
      <c r="E5">
        <v>4</v>
      </c>
    </row>
    <row r="6" spans="1:6" ht="15">
      <c r="B6" s="72" t="s">
        <v>21</v>
      </c>
      <c r="C6" s="72">
        <v>46</v>
      </c>
      <c r="D6" s="16" t="s">
        <v>32</v>
      </c>
    </row>
    <row r="7" spans="1:6" ht="15">
      <c r="B7" s="72" t="s">
        <v>2</v>
      </c>
      <c r="C7" s="72">
        <v>3.45</v>
      </c>
      <c r="D7" s="16" t="s">
        <v>178</v>
      </c>
      <c r="E7">
        <f>References!A8</f>
        <v>3</v>
      </c>
    </row>
    <row r="8" spans="1:6" ht="14.25" customHeight="1">
      <c r="B8" s="72" t="s">
        <v>4</v>
      </c>
      <c r="C8" s="72">
        <v>8.1000000000000003E-2</v>
      </c>
      <c r="D8" s="16" t="s">
        <v>180</v>
      </c>
      <c r="E8" t="str">
        <f>E4</f>
        <v>E18,4</v>
      </c>
    </row>
    <row r="9" spans="1:6" ht="14.25" customHeight="1">
      <c r="B9" s="72" t="s">
        <v>5</v>
      </c>
      <c r="C9" s="72">
        <v>0.29699999999999999</v>
      </c>
      <c r="D9" s="16" t="s">
        <v>180</v>
      </c>
      <c r="E9" t="str">
        <f>E8</f>
        <v>E18,4</v>
      </c>
    </row>
    <row r="10" spans="1:6" ht="13.5" customHeight="1">
      <c r="B10" s="72" t="s">
        <v>6</v>
      </c>
      <c r="C10" s="72">
        <v>1.9800000000000002E-2</v>
      </c>
      <c r="D10" s="16" t="s">
        <v>180</v>
      </c>
      <c r="E10" t="str">
        <f>E9</f>
        <v>E18,4</v>
      </c>
    </row>
    <row r="11" spans="1:6" ht="14.25" customHeight="1">
      <c r="B11" s="72" t="s">
        <v>193</v>
      </c>
      <c r="C11" s="72">
        <v>17</v>
      </c>
      <c r="D11" s="16" t="s">
        <v>32</v>
      </c>
      <c r="E11" t="str">
        <f>E10</f>
        <v>E18,4</v>
      </c>
    </row>
    <row r="12" spans="1:6" ht="12.75" customHeight="1">
      <c r="B12" s="72" t="s">
        <v>8</v>
      </c>
      <c r="C12" s="72">
        <v>12</v>
      </c>
      <c r="D12" s="16" t="s">
        <v>32</v>
      </c>
      <c r="E12" t="str">
        <f>E11</f>
        <v>E18,4</v>
      </c>
    </row>
    <row r="13" spans="1:6" ht="15">
      <c r="B13" s="72" t="s">
        <v>9</v>
      </c>
      <c r="C13" s="72">
        <v>24.3</v>
      </c>
      <c r="D13" s="16" t="s">
        <v>32</v>
      </c>
      <c r="E13" t="str">
        <f>E12</f>
        <v>E18,4</v>
      </c>
    </row>
    <row r="14" spans="1:6" ht="25.5" customHeight="1">
      <c r="B14" s="72" t="s">
        <v>167</v>
      </c>
      <c r="C14" s="72">
        <v>41</v>
      </c>
      <c r="D14" s="16"/>
      <c r="E14">
        <v>4</v>
      </c>
    </row>
    <row r="15" spans="1:6">
      <c r="C15" s="1"/>
    </row>
  </sheetData>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9">
    <tabColor theme="6" tint="0.79998168889431442"/>
  </sheetPr>
  <dimension ref="A2:CV258"/>
  <sheetViews>
    <sheetView zoomScale="60" zoomScaleNormal="60" workbookViewId="0">
      <selection activeCell="B111" sqref="B111"/>
    </sheetView>
  </sheetViews>
  <sheetFormatPr defaultColWidth="11.42578125" defaultRowHeight="12.75"/>
  <cols>
    <col min="1" max="1" width="32.42578125" customWidth="1"/>
    <col min="2" max="2" width="19.140625" bestFit="1" customWidth="1"/>
    <col min="3" max="3" width="10.85546875" customWidth="1"/>
    <col min="4" max="4" width="10" customWidth="1"/>
    <col min="5" max="5" width="16.7109375" customWidth="1"/>
    <col min="6" max="6" width="9.7109375" customWidth="1"/>
    <col min="7" max="8" width="8.85546875" customWidth="1"/>
    <col min="9" max="9" width="8.28515625" customWidth="1"/>
    <col min="10" max="10" width="9.7109375" customWidth="1"/>
    <col min="11" max="11" width="8.140625" customWidth="1"/>
    <col min="12" max="12" width="10.85546875" customWidth="1"/>
    <col min="13" max="13" width="9.42578125" customWidth="1"/>
    <col min="14" max="14" width="8.42578125" customWidth="1"/>
    <col min="15" max="15" width="11" bestFit="1" customWidth="1"/>
    <col min="16" max="16" width="13" bestFit="1" customWidth="1"/>
    <col min="17" max="17" width="12" bestFit="1" customWidth="1"/>
    <col min="18" max="18" width="11" bestFit="1" customWidth="1"/>
    <col min="19" max="22" width="12" bestFit="1" customWidth="1"/>
    <col min="23" max="29" width="11" bestFit="1" customWidth="1"/>
    <col min="30" max="30" width="13" bestFit="1" customWidth="1"/>
    <col min="31" max="33" width="11" bestFit="1" customWidth="1"/>
    <col min="34" max="35" width="12" bestFit="1" customWidth="1"/>
    <col min="36" max="43" width="11" bestFit="1" customWidth="1"/>
    <col min="44" max="44" width="12" bestFit="1" customWidth="1"/>
  </cols>
  <sheetData>
    <row r="2" spans="1:100">
      <c r="A2" t="s">
        <v>500</v>
      </c>
    </row>
    <row r="4" spans="1:100" s="275" customFormat="1" ht="18" customHeight="1">
      <c r="A4" s="279" t="s">
        <v>461</v>
      </c>
      <c r="I4" s="275" t="s">
        <v>643</v>
      </c>
      <c r="J4" s="275">
        <v>5</v>
      </c>
      <c r="K4" s="275">
        <f>J4/J5</f>
        <v>0.78125</v>
      </c>
      <c r="L4" s="275">
        <v>74.2</v>
      </c>
      <c r="M4" s="275">
        <f>L4/L5</f>
        <v>0.75869120654396738</v>
      </c>
    </row>
    <row r="5" spans="1:100" s="275" customFormat="1" ht="18" customHeight="1">
      <c r="A5" s="279" t="s">
        <v>462</v>
      </c>
      <c r="I5" s="275" t="s">
        <v>644</v>
      </c>
      <c r="J5" s="275">
        <v>6.4</v>
      </c>
      <c r="L5" s="275">
        <v>97.8</v>
      </c>
    </row>
    <row r="6" spans="1:100" s="275" customFormat="1" ht="18" customHeight="1">
      <c r="A6" s="279" t="s">
        <v>463</v>
      </c>
    </row>
    <row r="7" spans="1:100" s="275" customFormat="1">
      <c r="F7" s="275">
        <v>15000</v>
      </c>
      <c r="H7" s="275">
        <v>58000</v>
      </c>
    </row>
    <row r="8" spans="1:100" s="275" customFormat="1" ht="18" customHeight="1">
      <c r="A8" s="279" t="s">
        <v>464</v>
      </c>
      <c r="F8" s="275">
        <f>19600/M4</f>
        <v>25833.962264150941</v>
      </c>
      <c r="H8" s="275">
        <f>76400/M4</f>
        <v>100699.73045822101</v>
      </c>
    </row>
    <row r="9" spans="1:100" s="275" customFormat="1" ht="12.75" customHeight="1">
      <c r="A9" s="275" t="s">
        <v>465</v>
      </c>
      <c r="B9" s="275" t="s">
        <v>466</v>
      </c>
      <c r="C9" s="275" t="s">
        <v>505</v>
      </c>
      <c r="D9" s="275" t="s">
        <v>505</v>
      </c>
      <c r="E9" s="275" t="s">
        <v>505</v>
      </c>
      <c r="F9" s="275" t="s">
        <v>505</v>
      </c>
      <c r="G9" s="275" t="s">
        <v>505</v>
      </c>
      <c r="H9" s="275" t="s">
        <v>505</v>
      </c>
      <c r="I9" s="275" t="s">
        <v>505</v>
      </c>
      <c r="J9" s="275" t="s">
        <v>505</v>
      </c>
      <c r="K9" s="275" t="s">
        <v>505</v>
      </c>
      <c r="L9" s="275" t="s">
        <v>505</v>
      </c>
      <c r="M9" s="275" t="s">
        <v>505</v>
      </c>
      <c r="N9" s="275" t="s">
        <v>505</v>
      </c>
      <c r="O9" s="275" t="s">
        <v>505</v>
      </c>
      <c r="P9" s="275" t="s">
        <v>505</v>
      </c>
      <c r="Q9" s="275" t="s">
        <v>505</v>
      </c>
      <c r="R9" s="275" t="s">
        <v>505</v>
      </c>
      <c r="S9" s="275" t="s">
        <v>505</v>
      </c>
      <c r="T9" s="275" t="s">
        <v>505</v>
      </c>
      <c r="U9" s="275" t="s">
        <v>505</v>
      </c>
      <c r="V9" s="275" t="s">
        <v>505</v>
      </c>
      <c r="W9" s="275" t="s">
        <v>505</v>
      </c>
      <c r="X9" s="275" t="s">
        <v>505</v>
      </c>
      <c r="Y9" s="275" t="s">
        <v>505</v>
      </c>
      <c r="Z9" s="275" t="s">
        <v>505</v>
      </c>
      <c r="AA9" s="275" t="s">
        <v>505</v>
      </c>
      <c r="AB9" s="275" t="s">
        <v>505</v>
      </c>
      <c r="AC9" s="275" t="s">
        <v>505</v>
      </c>
      <c r="AD9" s="275" t="s">
        <v>505</v>
      </c>
      <c r="AE9" s="275" t="s">
        <v>506</v>
      </c>
      <c r="AF9" s="275" t="s">
        <v>506</v>
      </c>
      <c r="AG9" s="275" t="s">
        <v>506</v>
      </c>
      <c r="AH9" s="275" t="s">
        <v>506</v>
      </c>
      <c r="AI9" s="275" t="s">
        <v>506</v>
      </c>
      <c r="AJ9" s="275" t="s">
        <v>506</v>
      </c>
      <c r="AK9" s="275" t="s">
        <v>506</v>
      </c>
      <c r="AL9" s="275" t="s">
        <v>506</v>
      </c>
      <c r="AM9" s="275" t="s">
        <v>506</v>
      </c>
      <c r="AN9" s="275" t="s">
        <v>506</v>
      </c>
      <c r="AO9" s="275" t="s">
        <v>506</v>
      </c>
      <c r="AP9" s="275" t="s">
        <v>506</v>
      </c>
      <c r="AQ9" s="275" t="s">
        <v>506</v>
      </c>
      <c r="AR9" s="275" t="s">
        <v>506</v>
      </c>
      <c r="AS9" s="275" t="s">
        <v>506</v>
      </c>
      <c r="AT9" s="275" t="s">
        <v>506</v>
      </c>
      <c r="AU9" s="275" t="s">
        <v>506</v>
      </c>
      <c r="AV9" s="275" t="s">
        <v>506</v>
      </c>
      <c r="AW9" s="275" t="s">
        <v>506</v>
      </c>
      <c r="AX9" s="275" t="s">
        <v>506</v>
      </c>
      <c r="AY9" s="275" t="s">
        <v>506</v>
      </c>
      <c r="AZ9" s="275" t="s">
        <v>506</v>
      </c>
      <c r="BA9" s="275" t="s">
        <v>506</v>
      </c>
      <c r="BB9" s="275" t="s">
        <v>506</v>
      </c>
      <c r="BC9" s="275" t="s">
        <v>506</v>
      </c>
      <c r="BD9" s="275" t="s">
        <v>506</v>
      </c>
      <c r="BE9" s="275" t="s">
        <v>506</v>
      </c>
      <c r="BF9" s="275" t="s">
        <v>506</v>
      </c>
      <c r="BG9" s="275" t="s">
        <v>506</v>
      </c>
      <c r="BH9" s="275" t="s">
        <v>506</v>
      </c>
      <c r="BI9" s="275" t="s">
        <v>506</v>
      </c>
      <c r="BJ9" s="275" t="s">
        <v>506</v>
      </c>
      <c r="BK9" s="275" t="s">
        <v>506</v>
      </c>
      <c r="BL9" s="275" t="s">
        <v>506</v>
      </c>
      <c r="BM9" s="275" t="s">
        <v>506</v>
      </c>
      <c r="BN9" s="275" t="s">
        <v>506</v>
      </c>
      <c r="BO9" s="275" t="s">
        <v>506</v>
      </c>
      <c r="BP9" s="275" t="s">
        <v>506</v>
      </c>
      <c r="BQ9" s="275" t="s">
        <v>506</v>
      </c>
      <c r="BR9" s="275" t="s">
        <v>506</v>
      </c>
      <c r="BS9" s="275" t="s">
        <v>506</v>
      </c>
      <c r="BT9" s="275" t="s">
        <v>506</v>
      </c>
      <c r="BU9" s="275" t="s">
        <v>506</v>
      </c>
      <c r="BV9" s="275" t="s">
        <v>506</v>
      </c>
      <c r="BW9" s="275" t="s">
        <v>506</v>
      </c>
      <c r="BX9" s="275" t="s">
        <v>506</v>
      </c>
      <c r="BY9" s="275" t="s">
        <v>506</v>
      </c>
      <c r="BZ9" s="275" t="s">
        <v>506</v>
      </c>
      <c r="CA9" s="275" t="s">
        <v>506</v>
      </c>
      <c r="CB9" s="275" t="s">
        <v>506</v>
      </c>
      <c r="CC9" s="275" t="s">
        <v>506</v>
      </c>
      <c r="CD9" s="275" t="s">
        <v>506</v>
      </c>
      <c r="CE9" s="275" t="s">
        <v>506</v>
      </c>
      <c r="CF9" s="275" t="s">
        <v>506</v>
      </c>
      <c r="CG9" s="275" t="s">
        <v>506</v>
      </c>
      <c r="CH9" s="275" t="s">
        <v>507</v>
      </c>
      <c r="CI9" s="275" t="s">
        <v>507</v>
      </c>
      <c r="CJ9" s="275" t="s">
        <v>507</v>
      </c>
      <c r="CK9" s="275" t="s">
        <v>507</v>
      </c>
      <c r="CL9" s="275" t="s">
        <v>507</v>
      </c>
      <c r="CM9" s="275" t="s">
        <v>507</v>
      </c>
      <c r="CN9" s="275" t="s">
        <v>507</v>
      </c>
      <c r="CO9" s="275" t="s">
        <v>507</v>
      </c>
      <c r="CP9" s="275" t="s">
        <v>507</v>
      </c>
      <c r="CQ9" s="275" t="s">
        <v>507</v>
      </c>
      <c r="CR9" s="275" t="s">
        <v>507</v>
      </c>
      <c r="CS9" s="275" t="s">
        <v>507</v>
      </c>
      <c r="CT9" s="275" t="s">
        <v>507</v>
      </c>
      <c r="CU9" s="275" t="s">
        <v>507</v>
      </c>
      <c r="CV9" s="275" t="s">
        <v>507</v>
      </c>
    </row>
    <row r="10" spans="1:100" s="275" customFormat="1">
      <c r="C10" s="275" t="s">
        <v>501</v>
      </c>
      <c r="D10" s="275" t="s">
        <v>501</v>
      </c>
      <c r="E10" s="275" t="s">
        <v>501</v>
      </c>
      <c r="F10" s="275" t="s">
        <v>501</v>
      </c>
      <c r="G10" s="275" t="s">
        <v>502</v>
      </c>
      <c r="H10" s="275" t="s">
        <v>502</v>
      </c>
      <c r="I10" s="275" t="s">
        <v>503</v>
      </c>
      <c r="J10" s="275" t="s">
        <v>503</v>
      </c>
      <c r="K10" s="275" t="s">
        <v>503</v>
      </c>
      <c r="L10" s="275" t="s">
        <v>503</v>
      </c>
      <c r="M10" s="275" t="s">
        <v>503</v>
      </c>
      <c r="N10" s="275" t="s">
        <v>503</v>
      </c>
      <c r="O10" s="275" t="s">
        <v>503</v>
      </c>
      <c r="P10" s="275" t="s">
        <v>504</v>
      </c>
      <c r="Q10" s="275" t="s">
        <v>501</v>
      </c>
      <c r="R10" s="275" t="s">
        <v>501</v>
      </c>
      <c r="S10" s="275" t="s">
        <v>501</v>
      </c>
      <c r="T10" s="275" t="s">
        <v>501</v>
      </c>
      <c r="U10" s="275" t="s">
        <v>502</v>
      </c>
      <c r="V10" s="275" t="s">
        <v>502</v>
      </c>
      <c r="W10" s="275" t="s">
        <v>503</v>
      </c>
      <c r="X10" s="275" t="s">
        <v>503</v>
      </c>
      <c r="Y10" s="275" t="s">
        <v>503</v>
      </c>
      <c r="Z10" s="275" t="s">
        <v>503</v>
      </c>
      <c r="AA10" s="275" t="s">
        <v>503</v>
      </c>
      <c r="AB10" s="275" t="s">
        <v>503</v>
      </c>
      <c r="AC10" s="275" t="s">
        <v>503</v>
      </c>
      <c r="AD10" s="275" t="s">
        <v>504</v>
      </c>
      <c r="AE10" s="275" t="s">
        <v>501</v>
      </c>
      <c r="AF10" s="275" t="s">
        <v>501</v>
      </c>
      <c r="AG10" s="275" t="s">
        <v>501</v>
      </c>
      <c r="AH10" s="275" t="s">
        <v>501</v>
      </c>
      <c r="AI10" s="275" t="s">
        <v>502</v>
      </c>
      <c r="AJ10" s="275" t="s">
        <v>502</v>
      </c>
      <c r="AK10" s="275" t="s">
        <v>503</v>
      </c>
      <c r="AL10" s="275" t="s">
        <v>503</v>
      </c>
      <c r="AM10" s="275" t="s">
        <v>503</v>
      </c>
      <c r="AN10" s="275" t="s">
        <v>503</v>
      </c>
      <c r="AO10" s="275" t="s">
        <v>503</v>
      </c>
      <c r="AP10" s="275" t="s">
        <v>503</v>
      </c>
      <c r="AQ10" s="275" t="s">
        <v>503</v>
      </c>
      <c r="AR10" s="275" t="s">
        <v>504</v>
      </c>
      <c r="AS10" s="275" t="s">
        <v>501</v>
      </c>
      <c r="AT10" s="275" t="s">
        <v>501</v>
      </c>
      <c r="AU10" s="275" t="s">
        <v>501</v>
      </c>
      <c r="AV10" s="275" t="s">
        <v>501</v>
      </c>
      <c r="AW10" s="275" t="s">
        <v>502</v>
      </c>
      <c r="AX10" s="275" t="s">
        <v>502</v>
      </c>
      <c r="AY10" s="275" t="s">
        <v>503</v>
      </c>
      <c r="AZ10" s="275" t="s">
        <v>503</v>
      </c>
      <c r="BA10" s="275" t="s">
        <v>503</v>
      </c>
      <c r="BB10" s="275" t="s">
        <v>503</v>
      </c>
      <c r="BC10" s="275" t="s">
        <v>503</v>
      </c>
      <c r="BD10" s="275" t="s">
        <v>503</v>
      </c>
      <c r="BE10" s="275" t="s">
        <v>503</v>
      </c>
      <c r="BF10" s="275" t="s">
        <v>504</v>
      </c>
      <c r="BG10" s="275" t="s">
        <v>501</v>
      </c>
      <c r="BH10" s="275" t="s">
        <v>501</v>
      </c>
      <c r="BI10" s="275" t="s">
        <v>501</v>
      </c>
      <c r="BJ10" s="275" t="s">
        <v>501</v>
      </c>
      <c r="BK10" s="275" t="s">
        <v>502</v>
      </c>
      <c r="BL10" s="275" t="s">
        <v>502</v>
      </c>
      <c r="BM10" s="275" t="s">
        <v>503</v>
      </c>
      <c r="BN10" s="275" t="s">
        <v>503</v>
      </c>
      <c r="BO10" s="275" t="s">
        <v>503</v>
      </c>
      <c r="BP10" s="275" t="s">
        <v>503</v>
      </c>
      <c r="BQ10" s="275" t="s">
        <v>503</v>
      </c>
      <c r="BR10" s="275" t="s">
        <v>503</v>
      </c>
      <c r="BS10" s="275" t="s">
        <v>503</v>
      </c>
      <c r="BT10" s="275" t="s">
        <v>504</v>
      </c>
      <c r="BU10" s="275" t="s">
        <v>501</v>
      </c>
      <c r="BV10" s="275" t="s">
        <v>501</v>
      </c>
      <c r="BW10" s="275" t="s">
        <v>501</v>
      </c>
      <c r="BX10" s="275" t="s">
        <v>501</v>
      </c>
      <c r="BY10" s="275" t="s">
        <v>502</v>
      </c>
      <c r="BZ10" s="275" t="s">
        <v>502</v>
      </c>
      <c r="CA10" s="275" t="s">
        <v>503</v>
      </c>
      <c r="CB10" s="275" t="s">
        <v>503</v>
      </c>
      <c r="CC10" s="275" t="s">
        <v>503</v>
      </c>
      <c r="CD10" s="275" t="s">
        <v>503</v>
      </c>
      <c r="CE10" s="275" t="s">
        <v>503</v>
      </c>
      <c r="CF10" s="275" t="s">
        <v>503</v>
      </c>
      <c r="CG10" s="275" t="s">
        <v>503</v>
      </c>
      <c r="CH10" s="275" t="s">
        <v>504</v>
      </c>
      <c r="CI10" s="275" t="s">
        <v>501</v>
      </c>
      <c r="CJ10" s="275" t="s">
        <v>501</v>
      </c>
      <c r="CK10" s="275" t="s">
        <v>501</v>
      </c>
      <c r="CL10" s="275" t="s">
        <v>501</v>
      </c>
      <c r="CM10" s="275" t="s">
        <v>502</v>
      </c>
      <c r="CN10" s="275" t="s">
        <v>502</v>
      </c>
      <c r="CO10" s="275" t="s">
        <v>503</v>
      </c>
      <c r="CP10" s="275" t="s">
        <v>503</v>
      </c>
      <c r="CQ10" s="275" t="s">
        <v>503</v>
      </c>
      <c r="CR10" s="275" t="s">
        <v>503</v>
      </c>
      <c r="CS10" s="275" t="s">
        <v>503</v>
      </c>
      <c r="CT10" s="275" t="s">
        <v>503</v>
      </c>
      <c r="CU10" s="275" t="s">
        <v>503</v>
      </c>
      <c r="CV10" s="275" t="s">
        <v>504</v>
      </c>
    </row>
    <row r="11" spans="1:100" s="275" customFormat="1" ht="26.25" customHeight="1">
      <c r="A11" s="609" t="s">
        <v>467</v>
      </c>
      <c r="B11" s="608"/>
      <c r="C11" s="607" t="s">
        <v>468</v>
      </c>
      <c r="D11" s="608"/>
      <c r="E11" s="608"/>
      <c r="F11" s="608"/>
      <c r="G11" s="608"/>
      <c r="H11" s="608"/>
      <c r="I11" s="608"/>
      <c r="J11" s="608"/>
      <c r="K11" s="608"/>
      <c r="L11" s="608"/>
      <c r="M11" s="608"/>
      <c r="N11" s="608"/>
      <c r="O11" s="608"/>
      <c r="P11" s="608"/>
      <c r="Q11" s="607" t="s">
        <v>469</v>
      </c>
      <c r="R11" s="608"/>
      <c r="S11" s="608"/>
      <c r="T11" s="608"/>
      <c r="U11" s="608"/>
      <c r="V11" s="608"/>
      <c r="W11" s="608"/>
      <c r="X11" s="608"/>
      <c r="Y11" s="608"/>
      <c r="Z11" s="608"/>
      <c r="AA11" s="608"/>
      <c r="AB11" s="608"/>
      <c r="AC11" s="608"/>
      <c r="AD11" s="608"/>
      <c r="AE11" s="607" t="s">
        <v>470</v>
      </c>
      <c r="AF11" s="608"/>
      <c r="AG11" s="608"/>
      <c r="AH11" s="608"/>
      <c r="AI11" s="608"/>
      <c r="AJ11" s="608"/>
      <c r="AK11" s="608"/>
      <c r="AL11" s="608"/>
      <c r="AM11" s="608"/>
      <c r="AN11" s="608"/>
      <c r="AO11" s="608"/>
      <c r="AP11" s="608"/>
      <c r="AQ11" s="608"/>
      <c r="AR11" s="608"/>
      <c r="AS11" s="607" t="s">
        <v>471</v>
      </c>
      <c r="AT11" s="608"/>
      <c r="AU11" s="608"/>
      <c r="AV11" s="608"/>
      <c r="AW11" s="608"/>
      <c r="AX11" s="608"/>
      <c r="AY11" s="608"/>
      <c r="AZ11" s="608"/>
      <c r="BA11" s="608"/>
      <c r="BB11" s="608"/>
      <c r="BC11" s="608"/>
      <c r="BD11" s="608"/>
      <c r="BE11" s="608"/>
      <c r="BF11" s="608"/>
      <c r="BG11" s="607" t="s">
        <v>472</v>
      </c>
      <c r="BH11" s="608"/>
      <c r="BI11" s="608"/>
      <c r="BJ11" s="608"/>
      <c r="BK11" s="608"/>
      <c r="BL11" s="608"/>
      <c r="BM11" s="608"/>
      <c r="BN11" s="608"/>
      <c r="BO11" s="608"/>
      <c r="BP11" s="608"/>
      <c r="BQ11" s="608"/>
      <c r="BR11" s="608"/>
      <c r="BS11" s="608"/>
      <c r="BT11" s="608"/>
      <c r="BU11" s="607" t="s">
        <v>473</v>
      </c>
      <c r="BV11" s="608"/>
      <c r="BW11" s="608"/>
      <c r="BX11" s="608"/>
      <c r="BY11" s="608"/>
      <c r="BZ11" s="608"/>
      <c r="CA11" s="608"/>
      <c r="CB11" s="608"/>
      <c r="CC11" s="608"/>
      <c r="CD11" s="608"/>
      <c r="CE11" s="608"/>
      <c r="CF11" s="608"/>
      <c r="CG11" s="608"/>
      <c r="CH11" s="608"/>
      <c r="CI11" s="607" t="s">
        <v>474</v>
      </c>
      <c r="CJ11" s="608"/>
      <c r="CK11" s="608"/>
      <c r="CL11" s="608"/>
      <c r="CM11" s="608"/>
      <c r="CN11" s="608"/>
      <c r="CO11" s="608"/>
      <c r="CP11" s="608"/>
      <c r="CQ11" s="608"/>
      <c r="CR11" s="608"/>
      <c r="CS11" s="608"/>
      <c r="CT11" s="608"/>
      <c r="CU11" s="608"/>
      <c r="CV11" s="608"/>
    </row>
    <row r="12" spans="1:100" s="275" customFormat="1" ht="26.25" customHeight="1">
      <c r="A12" s="609" t="s">
        <v>476</v>
      </c>
      <c r="B12" s="608"/>
      <c r="C12" s="274" t="s">
        <v>28</v>
      </c>
      <c r="D12" s="274" t="s">
        <v>477</v>
      </c>
      <c r="E12" s="274" t="s">
        <v>478</v>
      </c>
      <c r="F12" s="274" t="s">
        <v>479</v>
      </c>
      <c r="G12" s="274" t="s">
        <v>480</v>
      </c>
      <c r="H12" s="274" t="s">
        <v>481</v>
      </c>
      <c r="I12" s="274" t="s">
        <v>482</v>
      </c>
      <c r="J12" s="274" t="s">
        <v>483</v>
      </c>
      <c r="K12" s="274" t="s">
        <v>484</v>
      </c>
      <c r="L12" s="274" t="s">
        <v>485</v>
      </c>
      <c r="M12" s="274" t="s">
        <v>486</v>
      </c>
      <c r="N12" s="274" t="s">
        <v>487</v>
      </c>
      <c r="O12" s="274" t="s">
        <v>286</v>
      </c>
      <c r="P12" s="274" t="s">
        <v>27</v>
      </c>
      <c r="Q12" s="274" t="s">
        <v>28</v>
      </c>
      <c r="R12" s="274" t="s">
        <v>477</v>
      </c>
      <c r="S12" s="274" t="s">
        <v>478</v>
      </c>
      <c r="T12" s="274" t="s">
        <v>479</v>
      </c>
      <c r="U12" s="274" t="s">
        <v>480</v>
      </c>
      <c r="V12" s="274" t="s">
        <v>481</v>
      </c>
      <c r="W12" s="274" t="s">
        <v>482</v>
      </c>
      <c r="X12" s="274" t="s">
        <v>483</v>
      </c>
      <c r="Y12" s="274" t="s">
        <v>484</v>
      </c>
      <c r="Z12" s="274" t="s">
        <v>485</v>
      </c>
      <c r="AA12" s="274" t="s">
        <v>486</v>
      </c>
      <c r="AB12" s="274" t="s">
        <v>487</v>
      </c>
      <c r="AC12" s="274" t="s">
        <v>286</v>
      </c>
      <c r="AD12" s="274" t="s">
        <v>27</v>
      </c>
      <c r="AE12" s="274" t="s">
        <v>28</v>
      </c>
      <c r="AF12" s="274" t="s">
        <v>477</v>
      </c>
      <c r="AG12" s="274" t="s">
        <v>478</v>
      </c>
      <c r="AH12" s="274" t="s">
        <v>479</v>
      </c>
      <c r="AI12" s="274" t="s">
        <v>480</v>
      </c>
      <c r="AJ12" s="274" t="s">
        <v>481</v>
      </c>
      <c r="AK12" s="274" t="s">
        <v>482</v>
      </c>
      <c r="AL12" s="274" t="s">
        <v>483</v>
      </c>
      <c r="AM12" s="274" t="s">
        <v>484</v>
      </c>
      <c r="AN12" s="274" t="s">
        <v>485</v>
      </c>
      <c r="AO12" s="274" t="s">
        <v>486</v>
      </c>
      <c r="AP12" s="274" t="s">
        <v>487</v>
      </c>
      <c r="AQ12" s="274" t="s">
        <v>286</v>
      </c>
      <c r="AR12" s="274" t="s">
        <v>27</v>
      </c>
      <c r="AS12" s="274" t="s">
        <v>28</v>
      </c>
      <c r="AT12" s="274" t="s">
        <v>477</v>
      </c>
      <c r="AU12" s="274" t="s">
        <v>478</v>
      </c>
      <c r="AV12" s="274" t="s">
        <v>479</v>
      </c>
      <c r="AW12" s="274" t="s">
        <v>480</v>
      </c>
      <c r="AX12" s="274" t="s">
        <v>481</v>
      </c>
      <c r="AY12" s="274" t="s">
        <v>482</v>
      </c>
      <c r="AZ12" s="274" t="s">
        <v>483</v>
      </c>
      <c r="BA12" s="274" t="s">
        <v>484</v>
      </c>
      <c r="BB12" s="274" t="s">
        <v>485</v>
      </c>
      <c r="BC12" s="274" t="s">
        <v>486</v>
      </c>
      <c r="BD12" s="274" t="s">
        <v>487</v>
      </c>
      <c r="BE12" s="274" t="s">
        <v>286</v>
      </c>
      <c r="BF12" s="274" t="s">
        <v>27</v>
      </c>
      <c r="BG12" s="274" t="s">
        <v>28</v>
      </c>
      <c r="BH12" s="274" t="s">
        <v>477</v>
      </c>
      <c r="BI12" s="274" t="s">
        <v>478</v>
      </c>
      <c r="BJ12" s="274" t="s">
        <v>479</v>
      </c>
      <c r="BK12" s="274" t="s">
        <v>480</v>
      </c>
      <c r="BL12" s="274" t="s">
        <v>481</v>
      </c>
      <c r="BM12" s="274" t="s">
        <v>482</v>
      </c>
      <c r="BN12" s="274" t="s">
        <v>483</v>
      </c>
      <c r="BO12" s="274" t="s">
        <v>484</v>
      </c>
      <c r="BP12" s="274" t="s">
        <v>485</v>
      </c>
      <c r="BQ12" s="274" t="s">
        <v>486</v>
      </c>
      <c r="BR12" s="274" t="s">
        <v>487</v>
      </c>
      <c r="BS12" s="274" t="s">
        <v>286</v>
      </c>
      <c r="BT12" s="274" t="s">
        <v>27</v>
      </c>
      <c r="BU12" s="274" t="s">
        <v>28</v>
      </c>
      <c r="BV12" s="274" t="s">
        <v>477</v>
      </c>
      <c r="BW12" s="274" t="s">
        <v>478</v>
      </c>
      <c r="BX12" s="274" t="s">
        <v>479</v>
      </c>
      <c r="BY12" s="274" t="s">
        <v>480</v>
      </c>
      <c r="BZ12" s="274" t="s">
        <v>481</v>
      </c>
      <c r="CA12" s="274" t="s">
        <v>482</v>
      </c>
      <c r="CB12" s="274" t="s">
        <v>483</v>
      </c>
      <c r="CC12" s="274" t="s">
        <v>484</v>
      </c>
      <c r="CD12" s="274" t="s">
        <v>485</v>
      </c>
      <c r="CE12" s="274" t="s">
        <v>486</v>
      </c>
      <c r="CF12" s="274" t="s">
        <v>487</v>
      </c>
      <c r="CG12" s="274" t="s">
        <v>286</v>
      </c>
      <c r="CH12" s="274" t="s">
        <v>27</v>
      </c>
      <c r="CI12" s="274" t="s">
        <v>28</v>
      </c>
      <c r="CJ12" s="274" t="s">
        <v>477</v>
      </c>
      <c r="CK12" s="274" t="s">
        <v>478</v>
      </c>
      <c r="CL12" s="274" t="s">
        <v>479</v>
      </c>
      <c r="CM12" s="274" t="s">
        <v>480</v>
      </c>
      <c r="CN12" s="274" t="s">
        <v>481</v>
      </c>
      <c r="CO12" s="274" t="s">
        <v>482</v>
      </c>
      <c r="CP12" s="274" t="s">
        <v>483</v>
      </c>
      <c r="CQ12" s="274" t="s">
        <v>484</v>
      </c>
      <c r="CR12" s="274" t="s">
        <v>485</v>
      </c>
      <c r="CS12" s="274" t="s">
        <v>486</v>
      </c>
      <c r="CT12" s="274" t="s">
        <v>487</v>
      </c>
      <c r="CU12" s="274" t="s">
        <v>286</v>
      </c>
      <c r="CV12" s="274" t="s">
        <v>27</v>
      </c>
    </row>
    <row r="13" spans="1:100" s="275" customFormat="1" ht="26.25" customHeight="1">
      <c r="B13" s="276" t="s">
        <v>488</v>
      </c>
      <c r="C13" s="275" t="str">
        <f>CONCATENATE(C9,C10)</f>
        <v>pl</v>
      </c>
      <c r="D13" s="275" t="str">
        <f t="shared" ref="D13:BO13" si="0">CONCATENATE(D9,D10)</f>
        <v>pl</v>
      </c>
      <c r="E13" s="275" t="str">
        <f t="shared" si="0"/>
        <v>pl</v>
      </c>
      <c r="F13" s="275" t="str">
        <f t="shared" si="0"/>
        <v>pl</v>
      </c>
      <c r="G13" s="275" t="str">
        <f t="shared" si="0"/>
        <v>pm</v>
      </c>
      <c r="H13" s="275" t="str">
        <f t="shared" si="0"/>
        <v>pm</v>
      </c>
      <c r="I13" s="275" t="str">
        <f t="shared" si="0"/>
        <v>ph</v>
      </c>
      <c r="J13" s="275" t="str">
        <f t="shared" si="0"/>
        <v>ph</v>
      </c>
      <c r="K13" s="275" t="str">
        <f t="shared" si="0"/>
        <v>ph</v>
      </c>
      <c r="L13" s="275" t="str">
        <f t="shared" si="0"/>
        <v>ph</v>
      </c>
      <c r="M13" s="275" t="str">
        <f t="shared" si="0"/>
        <v>ph</v>
      </c>
      <c r="N13" s="275" t="str">
        <f t="shared" si="0"/>
        <v>ph</v>
      </c>
      <c r="O13" s="275" t="str">
        <f t="shared" si="0"/>
        <v>ph</v>
      </c>
      <c r="P13" s="275" t="str">
        <f t="shared" si="0"/>
        <v>pT</v>
      </c>
      <c r="Q13" s="275" t="str">
        <f t="shared" si="0"/>
        <v>pl</v>
      </c>
      <c r="R13" s="275" t="str">
        <f t="shared" si="0"/>
        <v>pl</v>
      </c>
      <c r="S13" s="275" t="str">
        <f t="shared" si="0"/>
        <v>pl</v>
      </c>
      <c r="T13" s="275" t="str">
        <f t="shared" si="0"/>
        <v>pl</v>
      </c>
      <c r="U13" s="275" t="str">
        <f t="shared" si="0"/>
        <v>pm</v>
      </c>
      <c r="V13" s="275" t="str">
        <f t="shared" si="0"/>
        <v>pm</v>
      </c>
      <c r="W13" s="275" t="str">
        <f t="shared" si="0"/>
        <v>ph</v>
      </c>
      <c r="X13" s="275" t="str">
        <f t="shared" si="0"/>
        <v>ph</v>
      </c>
      <c r="Y13" s="275" t="str">
        <f t="shared" si="0"/>
        <v>ph</v>
      </c>
      <c r="Z13" s="275" t="str">
        <f t="shared" si="0"/>
        <v>ph</v>
      </c>
      <c r="AA13" s="275" t="str">
        <f t="shared" si="0"/>
        <v>ph</v>
      </c>
      <c r="AB13" s="275" t="str">
        <f t="shared" si="0"/>
        <v>ph</v>
      </c>
      <c r="AC13" s="275" t="str">
        <f t="shared" si="0"/>
        <v>ph</v>
      </c>
      <c r="AD13" s="275" t="str">
        <f t="shared" si="0"/>
        <v>pT</v>
      </c>
      <c r="AE13" s="275" t="str">
        <f t="shared" si="0"/>
        <v>sl</v>
      </c>
      <c r="AF13" s="275" t="str">
        <f t="shared" si="0"/>
        <v>sl</v>
      </c>
      <c r="AG13" s="275" t="str">
        <f t="shared" si="0"/>
        <v>sl</v>
      </c>
      <c r="AH13" s="275" t="str">
        <f t="shared" si="0"/>
        <v>sl</v>
      </c>
      <c r="AI13" s="275" t="str">
        <f t="shared" si="0"/>
        <v>sm</v>
      </c>
      <c r="AJ13" s="275" t="str">
        <f t="shared" si="0"/>
        <v>sm</v>
      </c>
      <c r="AK13" s="275" t="str">
        <f t="shared" si="0"/>
        <v>sh</v>
      </c>
      <c r="AL13" s="275" t="str">
        <f t="shared" si="0"/>
        <v>sh</v>
      </c>
      <c r="AM13" s="275" t="str">
        <f t="shared" si="0"/>
        <v>sh</v>
      </c>
      <c r="AN13" s="275" t="str">
        <f t="shared" si="0"/>
        <v>sh</v>
      </c>
      <c r="AO13" s="275" t="str">
        <f t="shared" si="0"/>
        <v>sh</v>
      </c>
      <c r="AP13" s="275" t="str">
        <f t="shared" si="0"/>
        <v>sh</v>
      </c>
      <c r="AQ13" s="275" t="str">
        <f t="shared" si="0"/>
        <v>sh</v>
      </c>
      <c r="AR13" s="275" t="str">
        <f t="shared" si="0"/>
        <v>sT</v>
      </c>
      <c r="AS13" s="275" t="str">
        <f t="shared" si="0"/>
        <v>sl</v>
      </c>
      <c r="AT13" s="275" t="str">
        <f t="shared" si="0"/>
        <v>sl</v>
      </c>
      <c r="AU13" s="275" t="str">
        <f t="shared" si="0"/>
        <v>sl</v>
      </c>
      <c r="AV13" s="275" t="str">
        <f t="shared" si="0"/>
        <v>sl</v>
      </c>
      <c r="AW13" s="275" t="str">
        <f t="shared" si="0"/>
        <v>sm</v>
      </c>
      <c r="AX13" s="275" t="str">
        <f t="shared" si="0"/>
        <v>sm</v>
      </c>
      <c r="AY13" s="275" t="str">
        <f t="shared" si="0"/>
        <v>sh</v>
      </c>
      <c r="AZ13" s="275" t="str">
        <f t="shared" si="0"/>
        <v>sh</v>
      </c>
      <c r="BA13" s="275" t="str">
        <f t="shared" si="0"/>
        <v>sh</v>
      </c>
      <c r="BB13" s="275" t="str">
        <f t="shared" si="0"/>
        <v>sh</v>
      </c>
      <c r="BC13" s="275" t="str">
        <f t="shared" si="0"/>
        <v>sh</v>
      </c>
      <c r="BD13" s="275" t="str">
        <f t="shared" si="0"/>
        <v>sh</v>
      </c>
      <c r="BE13" s="275" t="str">
        <f t="shared" si="0"/>
        <v>sh</v>
      </c>
      <c r="BF13" s="275" t="str">
        <f t="shared" si="0"/>
        <v>sT</v>
      </c>
      <c r="BG13" s="275" t="str">
        <f t="shared" si="0"/>
        <v>sl</v>
      </c>
      <c r="BH13" s="275" t="str">
        <f t="shared" si="0"/>
        <v>sl</v>
      </c>
      <c r="BI13" s="275" t="str">
        <f t="shared" si="0"/>
        <v>sl</v>
      </c>
      <c r="BJ13" s="275" t="str">
        <f t="shared" si="0"/>
        <v>sl</v>
      </c>
      <c r="BK13" s="275" t="str">
        <f t="shared" si="0"/>
        <v>sm</v>
      </c>
      <c r="BL13" s="275" t="str">
        <f t="shared" si="0"/>
        <v>sm</v>
      </c>
      <c r="BM13" s="275" t="str">
        <f t="shared" si="0"/>
        <v>sh</v>
      </c>
      <c r="BN13" s="275" t="str">
        <f t="shared" si="0"/>
        <v>sh</v>
      </c>
      <c r="BO13" s="275" t="str">
        <f t="shared" si="0"/>
        <v>sh</v>
      </c>
      <c r="BP13" s="275" t="str">
        <f t="shared" ref="BP13:CV13" si="1">CONCATENATE(BP9,BP10)</f>
        <v>sh</v>
      </c>
      <c r="BQ13" s="275" t="str">
        <f t="shared" si="1"/>
        <v>sh</v>
      </c>
      <c r="BR13" s="275" t="str">
        <f t="shared" si="1"/>
        <v>sh</v>
      </c>
      <c r="BS13" s="275" t="str">
        <f t="shared" si="1"/>
        <v>sh</v>
      </c>
      <c r="BT13" s="275" t="str">
        <f t="shared" si="1"/>
        <v>sT</v>
      </c>
      <c r="BU13" s="275" t="str">
        <f t="shared" si="1"/>
        <v>sl</v>
      </c>
      <c r="BV13" s="275" t="str">
        <f t="shared" si="1"/>
        <v>sl</v>
      </c>
      <c r="BW13" s="275" t="str">
        <f t="shared" si="1"/>
        <v>sl</v>
      </c>
      <c r="BX13" s="275" t="str">
        <f t="shared" si="1"/>
        <v>sl</v>
      </c>
      <c r="BY13" s="275" t="str">
        <f t="shared" si="1"/>
        <v>sm</v>
      </c>
      <c r="BZ13" s="275" t="str">
        <f t="shared" si="1"/>
        <v>sm</v>
      </c>
      <c r="CA13" s="275" t="str">
        <f t="shared" si="1"/>
        <v>sh</v>
      </c>
      <c r="CB13" s="275" t="str">
        <f t="shared" si="1"/>
        <v>sh</v>
      </c>
      <c r="CC13" s="275" t="str">
        <f t="shared" si="1"/>
        <v>sh</v>
      </c>
      <c r="CD13" s="275" t="str">
        <f t="shared" si="1"/>
        <v>sh</v>
      </c>
      <c r="CE13" s="275" t="str">
        <f t="shared" si="1"/>
        <v>sh</v>
      </c>
      <c r="CF13" s="275" t="str">
        <f t="shared" si="1"/>
        <v>sh</v>
      </c>
      <c r="CG13" s="275" t="str">
        <f t="shared" si="1"/>
        <v>sh</v>
      </c>
      <c r="CH13" s="275" t="str">
        <f t="shared" si="1"/>
        <v>nT</v>
      </c>
      <c r="CI13" s="275" t="str">
        <f t="shared" si="1"/>
        <v>nl</v>
      </c>
      <c r="CJ13" s="275" t="str">
        <f t="shared" si="1"/>
        <v>nl</v>
      </c>
      <c r="CK13" s="275" t="str">
        <f t="shared" si="1"/>
        <v>nl</v>
      </c>
      <c r="CL13" s="275" t="str">
        <f t="shared" si="1"/>
        <v>nl</v>
      </c>
      <c r="CM13" s="275" t="str">
        <f t="shared" si="1"/>
        <v>nm</v>
      </c>
      <c r="CN13" s="275" t="str">
        <f t="shared" si="1"/>
        <v>nm</v>
      </c>
      <c r="CO13" s="275" t="str">
        <f t="shared" si="1"/>
        <v>nh</v>
      </c>
      <c r="CP13" s="275" t="str">
        <f t="shared" si="1"/>
        <v>nh</v>
      </c>
      <c r="CQ13" s="275" t="str">
        <f t="shared" si="1"/>
        <v>nh</v>
      </c>
      <c r="CR13" s="275" t="str">
        <f t="shared" si="1"/>
        <v>nh</v>
      </c>
      <c r="CS13" s="275" t="str">
        <f t="shared" si="1"/>
        <v>nh</v>
      </c>
      <c r="CT13" s="275" t="str">
        <f t="shared" si="1"/>
        <v>nh</v>
      </c>
      <c r="CU13" s="275" t="str">
        <f t="shared" si="1"/>
        <v>nh</v>
      </c>
      <c r="CV13" s="275" t="str">
        <f t="shared" si="1"/>
        <v>nT</v>
      </c>
    </row>
    <row r="14" spans="1:100" s="275" customFormat="1" ht="63.75">
      <c r="A14" s="275" t="s">
        <v>78</v>
      </c>
      <c r="B14" s="277" t="s">
        <v>489</v>
      </c>
      <c r="C14" s="278">
        <v>600156.90174</v>
      </c>
      <c r="D14" s="278">
        <v>133974.40542</v>
      </c>
      <c r="E14" s="278">
        <v>207273.5452999</v>
      </c>
      <c r="F14" s="278">
        <v>579402.79896030005</v>
      </c>
      <c r="G14" s="278">
        <v>737726.32935999997</v>
      </c>
      <c r="H14" s="278">
        <v>706473.31190990005</v>
      </c>
      <c r="I14" s="278">
        <v>697787.91897979996</v>
      </c>
      <c r="J14" s="278">
        <v>657356.72324980004</v>
      </c>
      <c r="K14" s="278">
        <v>469513.2786898</v>
      </c>
      <c r="L14" s="278">
        <v>196736.13480989999</v>
      </c>
      <c r="M14" s="278">
        <v>57012.932439999997</v>
      </c>
      <c r="N14" s="278">
        <v>32003.92668</v>
      </c>
      <c r="O14" s="278">
        <v>546.51601000000005</v>
      </c>
      <c r="P14" s="278">
        <v>5075964.7235494005</v>
      </c>
      <c r="Q14" s="278">
        <v>379311.1635503</v>
      </c>
      <c r="R14" s="278">
        <v>132730.73235989999</v>
      </c>
      <c r="S14" s="278">
        <v>220514.20527989999</v>
      </c>
      <c r="T14" s="278">
        <v>555550.18152099999</v>
      </c>
      <c r="U14" s="278">
        <v>610618.30170089996</v>
      </c>
      <c r="V14" s="278">
        <v>388055.87557039998</v>
      </c>
      <c r="W14" s="278">
        <v>198880.77953</v>
      </c>
      <c r="X14" s="278">
        <v>81084.554619999995</v>
      </c>
      <c r="Y14" s="278">
        <v>27644.10195</v>
      </c>
      <c r="Z14" s="278">
        <v>5237.4557299999997</v>
      </c>
      <c r="AA14" s="278">
        <v>2807.2037500000001</v>
      </c>
      <c r="AB14" s="278">
        <v>2092.15101</v>
      </c>
      <c r="AC14" s="278">
        <v>31.303609999999999</v>
      </c>
      <c r="AD14" s="278">
        <v>2604558.0101824999</v>
      </c>
      <c r="AE14" s="278">
        <v>123790.5364499</v>
      </c>
      <c r="AF14" s="278">
        <v>51627.760179999997</v>
      </c>
      <c r="AG14" s="278">
        <v>90532.452649900006</v>
      </c>
      <c r="AH14" s="278">
        <v>186618.22886</v>
      </c>
      <c r="AI14" s="278">
        <v>167820.20297000001</v>
      </c>
      <c r="AJ14" s="278">
        <v>70410.850340000005</v>
      </c>
      <c r="AK14" s="278">
        <v>28887.96875</v>
      </c>
      <c r="AL14" s="278">
        <v>12749.51108</v>
      </c>
      <c r="AM14" s="278">
        <v>4677.3053099999997</v>
      </c>
      <c r="AN14" s="278">
        <v>763.82672000000002</v>
      </c>
      <c r="AO14" s="278">
        <v>571.83717999999999</v>
      </c>
      <c r="AP14" s="278">
        <v>425.73408000000001</v>
      </c>
      <c r="AQ14" s="278">
        <v>2.05749</v>
      </c>
      <c r="AR14" s="278">
        <v>738878.27205979999</v>
      </c>
      <c r="AS14" s="278">
        <v>38721.124210000002</v>
      </c>
      <c r="AT14" s="278">
        <v>16851.71632</v>
      </c>
      <c r="AU14" s="278">
        <v>30065.527249999999</v>
      </c>
      <c r="AV14" s="278">
        <v>58282.548439999999</v>
      </c>
      <c r="AW14" s="278">
        <v>52785.030359999997</v>
      </c>
      <c r="AX14" s="278">
        <v>21724.439460000001</v>
      </c>
      <c r="AY14" s="278">
        <v>9445.4257799999996</v>
      </c>
      <c r="AZ14" s="278">
        <v>4435.1831400000001</v>
      </c>
      <c r="BA14" s="278">
        <v>1721.2598800000001</v>
      </c>
      <c r="BB14" s="278">
        <v>331.51033000000001</v>
      </c>
      <c r="BC14" s="278">
        <v>198.17143999999999</v>
      </c>
      <c r="BD14" s="278">
        <v>142.33085</v>
      </c>
      <c r="BE14" s="278">
        <v>3.6417199999999998</v>
      </c>
      <c r="BF14" s="278">
        <v>234707.90917999999</v>
      </c>
      <c r="BG14" s="278">
        <v>17530.313300000002</v>
      </c>
      <c r="BH14" s="278">
        <v>8151.3899700000002</v>
      </c>
      <c r="BI14" s="278">
        <v>14529.34888</v>
      </c>
      <c r="BJ14" s="278">
        <v>25605.762910000001</v>
      </c>
      <c r="BK14" s="278">
        <v>23356.656139999999</v>
      </c>
      <c r="BL14" s="278">
        <v>9524.6730399999997</v>
      </c>
      <c r="BM14" s="278">
        <v>4346.3317699999998</v>
      </c>
      <c r="BN14" s="278">
        <v>2024.26836</v>
      </c>
      <c r="BO14" s="278">
        <v>808.34037000000001</v>
      </c>
      <c r="BP14" s="278">
        <v>143.55799999999999</v>
      </c>
      <c r="BQ14" s="278">
        <v>97.454880000000003</v>
      </c>
      <c r="BR14" s="278">
        <v>61.15184</v>
      </c>
      <c r="BS14" s="278">
        <v>2.0459000000000001</v>
      </c>
      <c r="BT14" s="278">
        <v>106181.29536</v>
      </c>
      <c r="BU14" s="278">
        <v>10119.98119</v>
      </c>
      <c r="BV14" s="278">
        <v>4819.7595700000002</v>
      </c>
      <c r="BW14" s="278">
        <v>8832.8848500000004</v>
      </c>
      <c r="BX14" s="278">
        <v>14760.429040000001</v>
      </c>
      <c r="BY14" s="278">
        <v>12951.52512</v>
      </c>
      <c r="BZ14" s="278">
        <v>5233.3009300000003</v>
      </c>
      <c r="CA14" s="278">
        <v>2540.1531199999999</v>
      </c>
      <c r="CB14" s="278">
        <v>1365.35058</v>
      </c>
      <c r="CC14" s="278">
        <v>511.85014000000001</v>
      </c>
      <c r="CD14" s="278">
        <v>140.22662</v>
      </c>
      <c r="CE14" s="278">
        <v>70.336420000000004</v>
      </c>
      <c r="CF14" s="278">
        <v>62.178339999999999</v>
      </c>
      <c r="CG14" s="278">
        <v>4.2015399999999996</v>
      </c>
      <c r="CH14" s="278">
        <v>61412.177459999999</v>
      </c>
      <c r="CI14" s="278">
        <v>88645.764410000003</v>
      </c>
      <c r="CJ14" s="278">
        <v>37927.915589999997</v>
      </c>
      <c r="CK14" s="278">
        <v>69193.334539999996</v>
      </c>
      <c r="CL14" s="278">
        <v>135705.85941989999</v>
      </c>
      <c r="CM14" s="278">
        <v>125654.1150699</v>
      </c>
      <c r="CN14" s="278">
        <v>54171.0504</v>
      </c>
      <c r="CO14" s="278">
        <v>27505.59289</v>
      </c>
      <c r="CP14" s="278">
        <v>14834.828079999999</v>
      </c>
      <c r="CQ14" s="278">
        <v>6161.2320399999999</v>
      </c>
      <c r="CR14" s="278">
        <v>1358.5009500000001</v>
      </c>
      <c r="CS14" s="278">
        <v>657.83226999999999</v>
      </c>
      <c r="CT14" s="278">
        <v>502.74365999999998</v>
      </c>
      <c r="CU14" s="278">
        <v>8.4331600000000009</v>
      </c>
      <c r="CV14" s="278">
        <v>562327.20247969998</v>
      </c>
    </row>
    <row r="15" spans="1:100" s="275" customFormat="1" ht="51">
      <c r="A15" s="275" t="s">
        <v>504</v>
      </c>
      <c r="B15" s="277" t="s">
        <v>490</v>
      </c>
      <c r="C15" s="278">
        <v>8922.1383800000003</v>
      </c>
      <c r="D15" s="278">
        <v>3054.4920499999998</v>
      </c>
      <c r="E15" s="278">
        <v>5562.7838899999997</v>
      </c>
      <c r="F15" s="278">
        <v>12141.37838</v>
      </c>
      <c r="G15" s="278">
        <v>12822.413409999999</v>
      </c>
      <c r="H15" s="278">
        <v>7388.3903700000001</v>
      </c>
      <c r="I15" s="278">
        <v>5071.9819799999996</v>
      </c>
      <c r="J15" s="278">
        <v>3725.3810699999999</v>
      </c>
      <c r="K15" s="278">
        <v>2560.0830799999999</v>
      </c>
      <c r="L15" s="278">
        <v>858.58199999999999</v>
      </c>
      <c r="M15" s="278">
        <v>346.31092999999998</v>
      </c>
      <c r="N15" s="278">
        <v>210.14408</v>
      </c>
      <c r="O15" s="278">
        <v>2.0999400000000001</v>
      </c>
      <c r="P15" s="278">
        <v>62666.179559999997</v>
      </c>
      <c r="Q15" s="278">
        <v>23968.08397</v>
      </c>
      <c r="R15" s="278">
        <v>10222.694100000001</v>
      </c>
      <c r="S15" s="278">
        <v>18413.545760000001</v>
      </c>
      <c r="T15" s="278">
        <v>42705.977319999998</v>
      </c>
      <c r="U15" s="278">
        <v>41698.87513</v>
      </c>
      <c r="V15" s="278">
        <v>18240.003140000001</v>
      </c>
      <c r="W15" s="278">
        <v>6448.4270800000004</v>
      </c>
      <c r="X15" s="278">
        <v>2566.4588100000001</v>
      </c>
      <c r="Y15" s="278">
        <v>1243.1927599999999</v>
      </c>
      <c r="Z15" s="278">
        <v>202.81268</v>
      </c>
      <c r="AA15" s="278">
        <v>147.77217999999999</v>
      </c>
      <c r="AB15" s="278">
        <v>117.60737</v>
      </c>
      <c r="AC15" s="278">
        <v>0</v>
      </c>
      <c r="AD15" s="278">
        <v>165975.4503</v>
      </c>
      <c r="AE15" s="278">
        <v>44781.5121</v>
      </c>
      <c r="AF15" s="278">
        <v>20641.912550000001</v>
      </c>
      <c r="AG15" s="278">
        <v>37662.017160000003</v>
      </c>
      <c r="AH15" s="278">
        <v>79978.478749999995</v>
      </c>
      <c r="AI15" s="278">
        <v>64022.777139999998</v>
      </c>
      <c r="AJ15" s="278">
        <v>18940.519649999998</v>
      </c>
      <c r="AK15" s="278">
        <v>5211.7513399999998</v>
      </c>
      <c r="AL15" s="278">
        <v>2545.16615</v>
      </c>
      <c r="AM15" s="278">
        <v>1391.1482699999999</v>
      </c>
      <c r="AN15" s="278">
        <v>175.86991</v>
      </c>
      <c r="AO15" s="278">
        <v>169.57884000000001</v>
      </c>
      <c r="AP15" s="278">
        <v>129.72318999999999</v>
      </c>
      <c r="AQ15" s="278">
        <v>4.2135999999999996</v>
      </c>
      <c r="AR15" s="278">
        <v>275654.66864990001</v>
      </c>
      <c r="AS15" s="278">
        <v>16375.547570000001</v>
      </c>
      <c r="AT15" s="278">
        <v>7804.6535599999997</v>
      </c>
      <c r="AU15" s="278">
        <v>13727.155860000001</v>
      </c>
      <c r="AV15" s="278">
        <v>28990.848480000001</v>
      </c>
      <c r="AW15" s="278">
        <v>23567.479770000002</v>
      </c>
      <c r="AX15" s="278">
        <v>6501.7221200000004</v>
      </c>
      <c r="AY15" s="278">
        <v>1840.5787</v>
      </c>
      <c r="AZ15" s="278">
        <v>904.95911999999998</v>
      </c>
      <c r="BA15" s="278">
        <v>494.75326999999999</v>
      </c>
      <c r="BB15" s="278">
        <v>74.718090000000004</v>
      </c>
      <c r="BC15" s="278">
        <v>70.991079999999997</v>
      </c>
      <c r="BD15" s="278">
        <v>55.87</v>
      </c>
      <c r="BE15" s="278">
        <v>2.1524200000000002</v>
      </c>
      <c r="BF15" s="278">
        <v>100411.43004000001</v>
      </c>
      <c r="BG15" s="278">
        <v>6837.0637299999999</v>
      </c>
      <c r="BH15" s="278">
        <v>3502.1999500000002</v>
      </c>
      <c r="BI15" s="278">
        <v>6245.2526200000002</v>
      </c>
      <c r="BJ15" s="278">
        <v>12262.312120000001</v>
      </c>
      <c r="BK15" s="278">
        <v>9884.9170900000008</v>
      </c>
      <c r="BL15" s="278">
        <v>2852.9877299999998</v>
      </c>
      <c r="BM15" s="278">
        <v>791.23186999999996</v>
      </c>
      <c r="BN15" s="278">
        <v>390.9126</v>
      </c>
      <c r="BO15" s="278">
        <v>212.96089000000001</v>
      </c>
      <c r="BP15" s="278">
        <v>23.38861</v>
      </c>
      <c r="BQ15" s="278">
        <v>32.282429999999998</v>
      </c>
      <c r="BR15" s="278">
        <v>23.91404</v>
      </c>
      <c r="BS15" s="278">
        <v>0</v>
      </c>
      <c r="BT15" s="278">
        <v>43059.42368</v>
      </c>
      <c r="BU15" s="278">
        <v>4174.2937499999998</v>
      </c>
      <c r="BV15" s="278">
        <v>2056.9528300000002</v>
      </c>
      <c r="BW15" s="278">
        <v>3896.4773100000002</v>
      </c>
      <c r="BX15" s="278">
        <v>7180.76901</v>
      </c>
      <c r="BY15" s="278">
        <v>5719.8519699999997</v>
      </c>
      <c r="BZ15" s="278">
        <v>1632.47723</v>
      </c>
      <c r="CA15" s="278">
        <v>459.29147999999998</v>
      </c>
      <c r="CB15" s="278">
        <v>216.12056999999999</v>
      </c>
      <c r="CC15" s="278">
        <v>124.99115</v>
      </c>
      <c r="CD15" s="278">
        <v>17.195979999999999</v>
      </c>
      <c r="CE15" s="278">
        <v>14.66215</v>
      </c>
      <c r="CF15" s="278">
        <v>16.299199999999999</v>
      </c>
      <c r="CG15" s="278">
        <v>0</v>
      </c>
      <c r="CH15" s="278">
        <v>25509.38263</v>
      </c>
      <c r="CI15" s="278">
        <v>67300.276320000004</v>
      </c>
      <c r="CJ15" s="278">
        <v>33202.680130000001</v>
      </c>
      <c r="CK15" s="278">
        <v>66517.487160000004</v>
      </c>
      <c r="CL15" s="278">
        <v>136173.3697099</v>
      </c>
      <c r="CM15" s="278">
        <v>114252.09218989999</v>
      </c>
      <c r="CN15" s="278">
        <v>32686.433499999999</v>
      </c>
      <c r="CO15" s="278">
        <v>8459.7252800000006</v>
      </c>
      <c r="CP15" s="278">
        <v>4509.1222900000002</v>
      </c>
      <c r="CQ15" s="278">
        <v>2543.27682</v>
      </c>
      <c r="CR15" s="278">
        <v>354.09071999999998</v>
      </c>
      <c r="CS15" s="278">
        <v>360.69794999999999</v>
      </c>
      <c r="CT15" s="278">
        <v>276.58022</v>
      </c>
      <c r="CU15" s="278">
        <v>4.0918000000000001</v>
      </c>
      <c r="CV15" s="278">
        <v>466639.92408969998</v>
      </c>
    </row>
    <row r="16" spans="1:100" s="275" customFormat="1" ht="25.5">
      <c r="A16" s="275" t="s">
        <v>79</v>
      </c>
      <c r="B16" s="277" t="s">
        <v>491</v>
      </c>
      <c r="C16" s="278">
        <v>82470.751910000006</v>
      </c>
      <c r="D16" s="278">
        <v>8291.3072599999996</v>
      </c>
      <c r="E16" s="278">
        <v>13156.37132</v>
      </c>
      <c r="F16" s="278">
        <v>39508.941599999998</v>
      </c>
      <c r="G16" s="278">
        <v>61336.485769999999</v>
      </c>
      <c r="H16" s="278">
        <v>83988.483370000002</v>
      </c>
      <c r="I16" s="278">
        <v>105582.44590999999</v>
      </c>
      <c r="J16" s="278">
        <v>101845.68094000001</v>
      </c>
      <c r="K16" s="278">
        <v>56270.180119999997</v>
      </c>
      <c r="L16" s="278">
        <v>16069.71746</v>
      </c>
      <c r="M16" s="278">
        <v>4304.1268099999998</v>
      </c>
      <c r="N16" s="278">
        <v>3127.5882799999999</v>
      </c>
      <c r="O16" s="278">
        <v>24.40502</v>
      </c>
      <c r="P16" s="278">
        <v>575976.48577000003</v>
      </c>
      <c r="Q16" s="278">
        <v>11399.78737</v>
      </c>
      <c r="R16" s="278">
        <v>2894.7238699999998</v>
      </c>
      <c r="S16" s="278">
        <v>4579.2028899999996</v>
      </c>
      <c r="T16" s="278">
        <v>11088.923870000001</v>
      </c>
      <c r="U16" s="278">
        <v>13658.029280000001</v>
      </c>
      <c r="V16" s="278">
        <v>12178.94764</v>
      </c>
      <c r="W16" s="278">
        <v>6383.5297399999999</v>
      </c>
      <c r="X16" s="278">
        <v>2699.79702</v>
      </c>
      <c r="Y16" s="278">
        <v>721.06569999999999</v>
      </c>
      <c r="Z16" s="278">
        <v>128.54343</v>
      </c>
      <c r="AA16" s="278">
        <v>108.0085</v>
      </c>
      <c r="AB16" s="278">
        <v>65.958280000000002</v>
      </c>
      <c r="AC16" s="278">
        <v>0</v>
      </c>
      <c r="AD16" s="278">
        <v>65906.517590000003</v>
      </c>
      <c r="AE16" s="278">
        <v>6111.8423199999997</v>
      </c>
      <c r="AF16" s="278">
        <v>1982.2659000000001</v>
      </c>
      <c r="AG16" s="278">
        <v>3303.2916700000001</v>
      </c>
      <c r="AH16" s="278">
        <v>6848.9346299999997</v>
      </c>
      <c r="AI16" s="278">
        <v>6121.8741300000002</v>
      </c>
      <c r="AJ16" s="278">
        <v>2936.8484199999998</v>
      </c>
      <c r="AK16" s="278">
        <v>1188.0773099999999</v>
      </c>
      <c r="AL16" s="278">
        <v>587.84897999999998</v>
      </c>
      <c r="AM16" s="278">
        <v>234.18836999999999</v>
      </c>
      <c r="AN16" s="278">
        <v>39.76688</v>
      </c>
      <c r="AO16" s="278">
        <v>20.982220000000002</v>
      </c>
      <c r="AP16" s="278">
        <v>34.699689999999997</v>
      </c>
      <c r="AQ16" s="278">
        <v>0</v>
      </c>
      <c r="AR16" s="278">
        <v>29410.62052</v>
      </c>
      <c r="AS16" s="278">
        <v>1745.4501399999999</v>
      </c>
      <c r="AT16" s="278">
        <v>657.65274999999997</v>
      </c>
      <c r="AU16" s="278">
        <v>1022.34195</v>
      </c>
      <c r="AV16" s="278">
        <v>1969.7610099999999</v>
      </c>
      <c r="AW16" s="278">
        <v>1876.2802899999999</v>
      </c>
      <c r="AX16" s="278">
        <v>819.40224000000001</v>
      </c>
      <c r="AY16" s="278">
        <v>330.70789000000002</v>
      </c>
      <c r="AZ16" s="278">
        <v>208.19478000000001</v>
      </c>
      <c r="BA16" s="278">
        <v>86.161590000000004</v>
      </c>
      <c r="BB16" s="278">
        <v>21.83473</v>
      </c>
      <c r="BC16" s="278">
        <v>15.423769999999999</v>
      </c>
      <c r="BD16" s="278">
        <v>11.402200000000001</v>
      </c>
      <c r="BE16" s="278">
        <v>0</v>
      </c>
      <c r="BF16" s="278">
        <v>8764.6133399999999</v>
      </c>
      <c r="BG16" s="278">
        <v>771.82501999999999</v>
      </c>
      <c r="BH16" s="278">
        <v>329.65303</v>
      </c>
      <c r="BI16" s="278">
        <v>445.53145000000001</v>
      </c>
      <c r="BJ16" s="278">
        <v>893.09172999999998</v>
      </c>
      <c r="BK16" s="278">
        <v>786.92840999999999</v>
      </c>
      <c r="BL16" s="278">
        <v>344.04903999999999</v>
      </c>
      <c r="BM16" s="278">
        <v>138.72726</v>
      </c>
      <c r="BN16" s="278">
        <v>74.160039999999995</v>
      </c>
      <c r="BO16" s="278">
        <v>34.478749999999998</v>
      </c>
      <c r="BP16" s="278">
        <v>12.57314</v>
      </c>
      <c r="BQ16" s="278">
        <v>3.1997800000000001</v>
      </c>
      <c r="BR16" s="278">
        <v>7.2018300000000002</v>
      </c>
      <c r="BS16" s="278">
        <v>0</v>
      </c>
      <c r="BT16" s="278">
        <v>3841.41948</v>
      </c>
      <c r="BU16" s="278">
        <v>524.66812000000004</v>
      </c>
      <c r="BV16" s="278">
        <v>185.33143000000001</v>
      </c>
      <c r="BW16" s="278">
        <v>304.95452</v>
      </c>
      <c r="BX16" s="278">
        <v>581.59370000000001</v>
      </c>
      <c r="BY16" s="278">
        <v>480.42254000000003</v>
      </c>
      <c r="BZ16" s="278">
        <v>152.46807999999999</v>
      </c>
      <c r="CA16" s="278">
        <v>109.33732000000001</v>
      </c>
      <c r="CB16" s="278">
        <v>72.217169999999996</v>
      </c>
      <c r="CC16" s="278">
        <v>21.748699999999999</v>
      </c>
      <c r="CD16" s="278">
        <v>8.8962400000000006</v>
      </c>
      <c r="CE16" s="278">
        <v>3.2955899999999998</v>
      </c>
      <c r="CF16" s="278">
        <v>2.0991599999999999</v>
      </c>
      <c r="CG16" s="278">
        <v>0</v>
      </c>
      <c r="CH16" s="278">
        <v>2447.0325699999999</v>
      </c>
      <c r="CI16" s="278">
        <v>6229.5556299999998</v>
      </c>
      <c r="CJ16" s="278">
        <v>2305.0286799999999</v>
      </c>
      <c r="CK16" s="278">
        <v>4539.4524300000003</v>
      </c>
      <c r="CL16" s="278">
        <v>8092.5960599999999</v>
      </c>
      <c r="CM16" s="278">
        <v>6897.80195</v>
      </c>
      <c r="CN16" s="278">
        <v>2867.8906499999998</v>
      </c>
      <c r="CO16" s="278">
        <v>1596.0977600000001</v>
      </c>
      <c r="CP16" s="278">
        <v>854.21938</v>
      </c>
      <c r="CQ16" s="278">
        <v>424.48977000000002</v>
      </c>
      <c r="CR16" s="278">
        <v>87.880229999999997</v>
      </c>
      <c r="CS16" s="278">
        <v>42.425939999999997</v>
      </c>
      <c r="CT16" s="278">
        <v>42.008629999999997</v>
      </c>
      <c r="CU16" s="278">
        <v>1.13269</v>
      </c>
      <c r="CV16" s="278">
        <v>33980.5798</v>
      </c>
    </row>
    <row r="17" spans="1:100" s="275" customFormat="1" ht="25.5">
      <c r="A17" s="280" t="s">
        <v>458</v>
      </c>
      <c r="B17" s="277" t="s">
        <v>492</v>
      </c>
      <c r="C17" s="278">
        <v>9778.6827300000004</v>
      </c>
      <c r="D17" s="278">
        <v>754.33583999999996</v>
      </c>
      <c r="E17" s="278">
        <v>1055.7917299999999</v>
      </c>
      <c r="F17" s="278">
        <v>4310.3873599999997</v>
      </c>
      <c r="G17" s="278">
        <v>6030.8958199999997</v>
      </c>
      <c r="H17" s="278">
        <v>8696.8013499999997</v>
      </c>
      <c r="I17" s="278">
        <v>16033.39891</v>
      </c>
      <c r="J17" s="278">
        <v>26733.143339999999</v>
      </c>
      <c r="K17" s="278">
        <v>29309.013559999999</v>
      </c>
      <c r="L17" s="278">
        <v>17933.020260000001</v>
      </c>
      <c r="M17" s="278">
        <v>5402.3358799999996</v>
      </c>
      <c r="N17" s="278">
        <v>2423.80197</v>
      </c>
      <c r="O17" s="278">
        <v>25.628959999999999</v>
      </c>
      <c r="P17" s="278">
        <v>128487.23771</v>
      </c>
      <c r="Q17" s="278">
        <v>1315.2538400000001</v>
      </c>
      <c r="R17" s="278">
        <v>348.96426000000002</v>
      </c>
      <c r="S17" s="278">
        <v>551.28057999999999</v>
      </c>
      <c r="T17" s="278">
        <v>1422.46957</v>
      </c>
      <c r="U17" s="278">
        <v>1747.57268</v>
      </c>
      <c r="V17" s="278">
        <v>1591.3184900000001</v>
      </c>
      <c r="W17" s="278">
        <v>686.37166999999999</v>
      </c>
      <c r="X17" s="278">
        <v>424.00288999999998</v>
      </c>
      <c r="Y17" s="278">
        <v>317.863</v>
      </c>
      <c r="Z17" s="278">
        <v>160.78827999999999</v>
      </c>
      <c r="AA17" s="278">
        <v>60.708889999999997</v>
      </c>
      <c r="AB17" s="278">
        <v>28.202010000000001</v>
      </c>
      <c r="AC17" s="278">
        <v>0</v>
      </c>
      <c r="AD17" s="278">
        <v>8654.7961599999999</v>
      </c>
      <c r="AE17" s="278">
        <v>882.71765000000005</v>
      </c>
      <c r="AF17" s="278">
        <v>287.19578000000001</v>
      </c>
      <c r="AG17" s="278">
        <v>472.31144</v>
      </c>
      <c r="AH17" s="278">
        <v>935.51409000000001</v>
      </c>
      <c r="AI17" s="278">
        <v>951.37581999999998</v>
      </c>
      <c r="AJ17" s="278">
        <v>482.08276999999998</v>
      </c>
      <c r="AK17" s="278">
        <v>192.97908000000001</v>
      </c>
      <c r="AL17" s="278">
        <v>125.79983</v>
      </c>
      <c r="AM17" s="278">
        <v>89.70993</v>
      </c>
      <c r="AN17" s="278">
        <v>42.650709999999997</v>
      </c>
      <c r="AO17" s="278">
        <v>17.654669999999999</v>
      </c>
      <c r="AP17" s="278">
        <v>7.6991899999999998</v>
      </c>
      <c r="AQ17" s="278">
        <v>0</v>
      </c>
      <c r="AR17" s="278">
        <v>4487.6909599999999</v>
      </c>
      <c r="AS17" s="278">
        <v>224.15572</v>
      </c>
      <c r="AT17" s="278">
        <v>76.734700000000004</v>
      </c>
      <c r="AU17" s="278">
        <v>149.84044</v>
      </c>
      <c r="AV17" s="278">
        <v>245.67776000000001</v>
      </c>
      <c r="AW17" s="278">
        <v>238.82553999999999</v>
      </c>
      <c r="AX17" s="278">
        <v>111.63896</v>
      </c>
      <c r="AY17" s="278">
        <v>61.301389999999998</v>
      </c>
      <c r="AZ17" s="278">
        <v>62.04083</v>
      </c>
      <c r="BA17" s="278">
        <v>35.766970000000001</v>
      </c>
      <c r="BB17" s="278">
        <v>28.713699999999999</v>
      </c>
      <c r="BC17" s="278">
        <v>6.7449300000000001</v>
      </c>
      <c r="BD17" s="278">
        <v>3.4969899999999998</v>
      </c>
      <c r="BE17" s="278">
        <v>0</v>
      </c>
      <c r="BF17" s="278">
        <v>1244.9379300000001</v>
      </c>
      <c r="BG17" s="278">
        <v>88.439099999999996</v>
      </c>
      <c r="BH17" s="278">
        <v>35.178519999999999</v>
      </c>
      <c r="BI17" s="278">
        <v>59.35275</v>
      </c>
      <c r="BJ17" s="278">
        <v>98.200710000000001</v>
      </c>
      <c r="BK17" s="278">
        <v>103.28272</v>
      </c>
      <c r="BL17" s="278">
        <v>40.079000000000001</v>
      </c>
      <c r="BM17" s="278">
        <v>18.021319999999999</v>
      </c>
      <c r="BN17" s="278">
        <v>19.457930000000001</v>
      </c>
      <c r="BO17" s="278">
        <v>13.530609999999999</v>
      </c>
      <c r="BP17" s="278">
        <v>5.5423499999999999</v>
      </c>
      <c r="BQ17" s="278">
        <v>0</v>
      </c>
      <c r="BR17" s="278">
        <v>0</v>
      </c>
      <c r="BS17" s="278">
        <v>0</v>
      </c>
      <c r="BT17" s="278">
        <v>481.08501000000001</v>
      </c>
      <c r="BU17" s="278">
        <v>69.609470000000002</v>
      </c>
      <c r="BV17" s="278">
        <v>29.005330000000001</v>
      </c>
      <c r="BW17" s="278">
        <v>40.18327</v>
      </c>
      <c r="BX17" s="278">
        <v>60.509799999999998</v>
      </c>
      <c r="BY17" s="278">
        <v>71.934979999999996</v>
      </c>
      <c r="BZ17" s="278">
        <v>37.366680000000002</v>
      </c>
      <c r="CA17" s="278">
        <v>27.035520000000002</v>
      </c>
      <c r="CB17" s="278">
        <v>16.035820000000001</v>
      </c>
      <c r="CC17" s="278">
        <v>14.073460000000001</v>
      </c>
      <c r="CD17" s="278">
        <v>10.402139999999999</v>
      </c>
      <c r="CE17" s="278">
        <v>5.3367199999999997</v>
      </c>
      <c r="CF17" s="278">
        <v>0</v>
      </c>
      <c r="CG17" s="278">
        <v>0</v>
      </c>
      <c r="CH17" s="278">
        <v>381.49319000000003</v>
      </c>
      <c r="CI17" s="278">
        <v>465.98642000000001</v>
      </c>
      <c r="CJ17" s="278">
        <v>172.13513</v>
      </c>
      <c r="CK17" s="278">
        <v>276.83645999999999</v>
      </c>
      <c r="CL17" s="278">
        <v>598.73077000000001</v>
      </c>
      <c r="CM17" s="278">
        <v>569.30418999999995</v>
      </c>
      <c r="CN17" s="278">
        <v>203.04049000000001</v>
      </c>
      <c r="CO17" s="278">
        <v>132.565</v>
      </c>
      <c r="CP17" s="278">
        <v>97.369560000000007</v>
      </c>
      <c r="CQ17" s="278">
        <v>77.85472</v>
      </c>
      <c r="CR17" s="278">
        <v>41.107570000000003</v>
      </c>
      <c r="CS17" s="278">
        <v>11.518739999999999</v>
      </c>
      <c r="CT17" s="278">
        <v>8.7780100000000001</v>
      </c>
      <c r="CU17" s="278">
        <v>0</v>
      </c>
      <c r="CV17" s="278">
        <v>2655.2270600000002</v>
      </c>
    </row>
    <row r="18" spans="1:100" s="275" customFormat="1" ht="38.25">
      <c r="A18" s="280" t="s">
        <v>458</v>
      </c>
      <c r="B18" s="277" t="s">
        <v>493</v>
      </c>
      <c r="C18" s="278">
        <v>15513.93253</v>
      </c>
      <c r="D18" s="278">
        <v>1241.9371699999999</v>
      </c>
      <c r="E18" s="278">
        <v>1721.7496599999999</v>
      </c>
      <c r="F18" s="278">
        <v>5923.0575699999999</v>
      </c>
      <c r="G18" s="278">
        <v>8231.6795500000007</v>
      </c>
      <c r="H18" s="278">
        <v>14004.455089999999</v>
      </c>
      <c r="I18" s="278">
        <v>29274.30906</v>
      </c>
      <c r="J18" s="278">
        <v>50479.918270000002</v>
      </c>
      <c r="K18" s="278">
        <v>48259.750339999999</v>
      </c>
      <c r="L18" s="278">
        <v>20345.81741</v>
      </c>
      <c r="M18" s="278">
        <v>4063.28962</v>
      </c>
      <c r="N18" s="278">
        <v>2508.8456900000001</v>
      </c>
      <c r="O18" s="278">
        <v>23.463950000000001</v>
      </c>
      <c r="P18" s="278">
        <v>201592.20590999999</v>
      </c>
      <c r="Q18" s="278">
        <v>966.14016000000004</v>
      </c>
      <c r="R18" s="278">
        <v>281.97836000000001</v>
      </c>
      <c r="S18" s="278">
        <v>354.23878999999999</v>
      </c>
      <c r="T18" s="278">
        <v>876.47752000000003</v>
      </c>
      <c r="U18" s="278">
        <v>1268.96768</v>
      </c>
      <c r="V18" s="278">
        <v>886.21578999999997</v>
      </c>
      <c r="W18" s="278">
        <v>658.70142999999996</v>
      </c>
      <c r="X18" s="278">
        <v>667.07550000000003</v>
      </c>
      <c r="Y18" s="278">
        <v>522.96783000000005</v>
      </c>
      <c r="Z18" s="278">
        <v>182.7835</v>
      </c>
      <c r="AA18" s="278">
        <v>47.931690000000003</v>
      </c>
      <c r="AB18" s="278">
        <v>32.195819999999998</v>
      </c>
      <c r="AC18" s="278">
        <v>0</v>
      </c>
      <c r="AD18" s="278">
        <v>6745.67407</v>
      </c>
      <c r="AE18" s="278">
        <v>390.22474999999997</v>
      </c>
      <c r="AF18" s="278">
        <v>149.36593999999999</v>
      </c>
      <c r="AG18" s="278">
        <v>159.45052999999999</v>
      </c>
      <c r="AH18" s="278">
        <v>325.69535999999999</v>
      </c>
      <c r="AI18" s="278">
        <v>370.50664999999998</v>
      </c>
      <c r="AJ18" s="278">
        <v>215.78001</v>
      </c>
      <c r="AK18" s="278">
        <v>103.71547</v>
      </c>
      <c r="AL18" s="278">
        <v>104.90949000000001</v>
      </c>
      <c r="AM18" s="278">
        <v>63.881610000000002</v>
      </c>
      <c r="AN18" s="278">
        <v>29.012599999999999</v>
      </c>
      <c r="AO18" s="278">
        <v>7.4373800000000001</v>
      </c>
      <c r="AP18" s="278">
        <v>7.3827499999999997</v>
      </c>
      <c r="AQ18" s="278">
        <v>0</v>
      </c>
      <c r="AR18" s="278">
        <v>1927.3625400000001</v>
      </c>
      <c r="AS18" s="278">
        <v>113.07249</v>
      </c>
      <c r="AT18" s="278">
        <v>32.756810000000002</v>
      </c>
      <c r="AU18" s="278">
        <v>43.80585</v>
      </c>
      <c r="AV18" s="278">
        <v>103.36716</v>
      </c>
      <c r="AW18" s="278">
        <v>85.512280000000004</v>
      </c>
      <c r="AX18" s="278">
        <v>57.519750000000002</v>
      </c>
      <c r="AY18" s="278">
        <v>65.317310000000006</v>
      </c>
      <c r="AZ18" s="278">
        <v>76.872309999999999</v>
      </c>
      <c r="BA18" s="278">
        <v>53.687959999999997</v>
      </c>
      <c r="BB18" s="278">
        <v>17.563120000000001</v>
      </c>
      <c r="BC18" s="278">
        <v>7.0037799999999999</v>
      </c>
      <c r="BD18" s="278">
        <v>2.2096800000000001</v>
      </c>
      <c r="BE18" s="278">
        <v>0</v>
      </c>
      <c r="BF18" s="278">
        <v>658.68849999999998</v>
      </c>
      <c r="BG18" s="278">
        <v>52.005029999999998</v>
      </c>
      <c r="BH18" s="278">
        <v>25.352170000000001</v>
      </c>
      <c r="BI18" s="278">
        <v>31.330410000000001</v>
      </c>
      <c r="BJ18" s="278">
        <v>61.091349999999998</v>
      </c>
      <c r="BK18" s="278">
        <v>49.144820000000003</v>
      </c>
      <c r="BL18" s="278">
        <v>28.49381</v>
      </c>
      <c r="BM18" s="278">
        <v>18.07996</v>
      </c>
      <c r="BN18" s="278">
        <v>25.54476</v>
      </c>
      <c r="BO18" s="278">
        <v>21.726150000000001</v>
      </c>
      <c r="BP18" s="278">
        <v>9.5277600000000007</v>
      </c>
      <c r="BQ18" s="278">
        <v>1.2316100000000001</v>
      </c>
      <c r="BR18" s="278">
        <v>1.41612</v>
      </c>
      <c r="BS18" s="278">
        <v>0</v>
      </c>
      <c r="BT18" s="278">
        <v>324.94394999999997</v>
      </c>
      <c r="BU18" s="278">
        <v>32.746380000000002</v>
      </c>
      <c r="BV18" s="278">
        <v>8.0499500000000008</v>
      </c>
      <c r="BW18" s="278">
        <v>11.415800000000001</v>
      </c>
      <c r="BX18" s="278">
        <v>34.77778</v>
      </c>
      <c r="BY18" s="278">
        <v>20.04044</v>
      </c>
      <c r="BZ18" s="278">
        <v>21.777629999999998</v>
      </c>
      <c r="CA18" s="278">
        <v>13.12982</v>
      </c>
      <c r="CB18" s="278">
        <v>25.013179999999998</v>
      </c>
      <c r="CC18" s="278">
        <v>12.86079</v>
      </c>
      <c r="CD18" s="278">
        <v>5.7623699999999998</v>
      </c>
      <c r="CE18" s="278">
        <v>4.8187600000000002</v>
      </c>
      <c r="CF18" s="278">
        <v>0</v>
      </c>
      <c r="CG18" s="278">
        <v>0</v>
      </c>
      <c r="CH18" s="278">
        <v>190.3929</v>
      </c>
      <c r="CI18" s="278">
        <v>331.55432999999999</v>
      </c>
      <c r="CJ18" s="278">
        <v>88.828689999999995</v>
      </c>
      <c r="CK18" s="278">
        <v>134.07506000000001</v>
      </c>
      <c r="CL18" s="278">
        <v>269.43097</v>
      </c>
      <c r="CM18" s="278">
        <v>241.83174</v>
      </c>
      <c r="CN18" s="278">
        <v>141.32399000000001</v>
      </c>
      <c r="CO18" s="278">
        <v>130.81852000000001</v>
      </c>
      <c r="CP18" s="278">
        <v>142.90195</v>
      </c>
      <c r="CQ18" s="278">
        <v>111.36623</v>
      </c>
      <c r="CR18" s="278">
        <v>45.751649999999998</v>
      </c>
      <c r="CS18" s="278">
        <v>18.771989999999999</v>
      </c>
      <c r="CT18" s="278">
        <v>8.8507099999999994</v>
      </c>
      <c r="CU18" s="278">
        <v>0</v>
      </c>
      <c r="CV18" s="278">
        <v>1665.5058300000001</v>
      </c>
    </row>
    <row r="19" spans="1:100" s="275" customFormat="1" ht="25.5">
      <c r="A19" s="280" t="s">
        <v>458</v>
      </c>
      <c r="B19" s="277" t="s">
        <v>494</v>
      </c>
      <c r="C19" s="278">
        <v>18286.09708</v>
      </c>
      <c r="D19" s="278">
        <v>3463.63654</v>
      </c>
      <c r="E19" s="278">
        <v>5391.8041000000003</v>
      </c>
      <c r="F19" s="278">
        <v>21278.101739999998</v>
      </c>
      <c r="G19" s="278">
        <v>28735.37616</v>
      </c>
      <c r="H19" s="278">
        <v>31684.529930000001</v>
      </c>
      <c r="I19" s="278">
        <v>26196.638640000001</v>
      </c>
      <c r="J19" s="278">
        <v>16311.257949999999</v>
      </c>
      <c r="K19" s="278">
        <v>7446.4495299999999</v>
      </c>
      <c r="L19" s="278">
        <v>2055.9798300000002</v>
      </c>
      <c r="M19" s="278">
        <v>538.14548000000002</v>
      </c>
      <c r="N19" s="278">
        <v>332.76737000000003</v>
      </c>
      <c r="O19" s="278">
        <v>1.0435700000000001</v>
      </c>
      <c r="P19" s="278">
        <v>161721.82792000001</v>
      </c>
      <c r="Q19" s="278">
        <v>5920.6930899999998</v>
      </c>
      <c r="R19" s="278">
        <v>1684.67164</v>
      </c>
      <c r="S19" s="278">
        <v>2469.5085199999999</v>
      </c>
      <c r="T19" s="278">
        <v>8199.5426599999992</v>
      </c>
      <c r="U19" s="278">
        <v>10040.91173</v>
      </c>
      <c r="V19" s="278">
        <v>6983.7344300000004</v>
      </c>
      <c r="W19" s="278">
        <v>3208.6149399999999</v>
      </c>
      <c r="X19" s="278">
        <v>1107.3892699999999</v>
      </c>
      <c r="Y19" s="278">
        <v>329.59129999999999</v>
      </c>
      <c r="Z19" s="278">
        <v>63.476439999999997</v>
      </c>
      <c r="AA19" s="278">
        <v>40.49127</v>
      </c>
      <c r="AB19" s="278">
        <v>25.959009999999999</v>
      </c>
      <c r="AC19" s="278">
        <v>0</v>
      </c>
      <c r="AD19" s="278">
        <v>40074.584300000002</v>
      </c>
      <c r="AE19" s="278">
        <v>1637.1037899999999</v>
      </c>
      <c r="AF19" s="278">
        <v>376.11153000000002</v>
      </c>
      <c r="AG19" s="278">
        <v>580.60729000000003</v>
      </c>
      <c r="AH19" s="278">
        <v>1467.8373200000001</v>
      </c>
      <c r="AI19" s="278">
        <v>1462.23045</v>
      </c>
      <c r="AJ19" s="278">
        <v>785.97199000000001</v>
      </c>
      <c r="AK19" s="278">
        <v>240.30119999999999</v>
      </c>
      <c r="AL19" s="278">
        <v>79.227379999999997</v>
      </c>
      <c r="AM19" s="278">
        <v>36.618969999999997</v>
      </c>
      <c r="AN19" s="278">
        <v>5.2385700000000002</v>
      </c>
      <c r="AO19" s="278">
        <v>3.74255</v>
      </c>
      <c r="AP19" s="278">
        <v>3.1326900000000002</v>
      </c>
      <c r="AQ19" s="278">
        <v>0</v>
      </c>
      <c r="AR19" s="278">
        <v>6678.1237300000003</v>
      </c>
      <c r="AS19" s="278">
        <v>307.67282999999998</v>
      </c>
      <c r="AT19" s="278">
        <v>109.33984</v>
      </c>
      <c r="AU19" s="278">
        <v>154.20240999999999</v>
      </c>
      <c r="AV19" s="278">
        <v>280.17120999999997</v>
      </c>
      <c r="AW19" s="278">
        <v>319.75587000000002</v>
      </c>
      <c r="AX19" s="278">
        <v>136.35353000000001</v>
      </c>
      <c r="AY19" s="278">
        <v>56.080680000000001</v>
      </c>
      <c r="AZ19" s="278">
        <v>26.092659999999999</v>
      </c>
      <c r="BA19" s="278">
        <v>14.78065</v>
      </c>
      <c r="BB19" s="278">
        <v>2.1762600000000001</v>
      </c>
      <c r="BC19" s="278">
        <v>1.0762100000000001</v>
      </c>
      <c r="BD19" s="278">
        <v>3.71434</v>
      </c>
      <c r="BE19" s="278">
        <v>0</v>
      </c>
      <c r="BF19" s="278">
        <v>1411.4164900000001</v>
      </c>
      <c r="BG19" s="278">
        <v>96.071190000000001</v>
      </c>
      <c r="BH19" s="278">
        <v>38.786000000000001</v>
      </c>
      <c r="BI19" s="278">
        <v>63.942950000000003</v>
      </c>
      <c r="BJ19" s="278">
        <v>136.69665000000001</v>
      </c>
      <c r="BK19" s="278">
        <v>84.780270000000002</v>
      </c>
      <c r="BL19" s="278">
        <v>60.625430000000001</v>
      </c>
      <c r="BM19" s="278">
        <v>33.737929999999999</v>
      </c>
      <c r="BN19" s="278">
        <v>12.029170000000001</v>
      </c>
      <c r="BO19" s="278">
        <v>8.1866699999999994</v>
      </c>
      <c r="BP19" s="278">
        <v>1.13269</v>
      </c>
      <c r="BQ19" s="278">
        <v>0</v>
      </c>
      <c r="BR19" s="278">
        <v>1.13269</v>
      </c>
      <c r="BS19" s="278">
        <v>0</v>
      </c>
      <c r="BT19" s="278">
        <v>537.12163999999996</v>
      </c>
      <c r="BU19" s="278">
        <v>175.64356000000001</v>
      </c>
      <c r="BV19" s="278">
        <v>76.069599999999994</v>
      </c>
      <c r="BW19" s="278">
        <v>23.804539999999999</v>
      </c>
      <c r="BX19" s="278">
        <v>67.086669999999998</v>
      </c>
      <c r="BY19" s="278">
        <v>56.647390000000001</v>
      </c>
      <c r="BZ19" s="278">
        <v>32.350180000000002</v>
      </c>
      <c r="CA19" s="278">
        <v>21.204470000000001</v>
      </c>
      <c r="CB19" s="278">
        <v>10.94721</v>
      </c>
      <c r="CC19" s="278">
        <v>4.2812000000000001</v>
      </c>
      <c r="CD19" s="278">
        <v>0</v>
      </c>
      <c r="CE19" s="278">
        <v>0</v>
      </c>
      <c r="CF19" s="278">
        <v>0</v>
      </c>
      <c r="CG19" s="278">
        <v>0</v>
      </c>
      <c r="CH19" s="278">
        <v>468.03482000000002</v>
      </c>
      <c r="CI19" s="278">
        <v>430.78213</v>
      </c>
      <c r="CJ19" s="278">
        <v>148.55719999999999</v>
      </c>
      <c r="CK19" s="278">
        <v>248.98056</v>
      </c>
      <c r="CL19" s="278">
        <v>642.66548</v>
      </c>
      <c r="CM19" s="278">
        <v>564.45694000000003</v>
      </c>
      <c r="CN19" s="278">
        <v>337.3535</v>
      </c>
      <c r="CO19" s="278">
        <v>152.14180999999999</v>
      </c>
      <c r="CP19" s="278">
        <v>93.03922</v>
      </c>
      <c r="CQ19" s="278">
        <v>29.613769999999999</v>
      </c>
      <c r="CR19" s="278">
        <v>10.334289999999999</v>
      </c>
      <c r="CS19" s="278">
        <v>8.9992000000000001</v>
      </c>
      <c r="CT19" s="278">
        <v>1.13269</v>
      </c>
      <c r="CU19" s="278">
        <v>0</v>
      </c>
      <c r="CV19" s="278">
        <v>2668.0567900000001</v>
      </c>
    </row>
    <row r="20" spans="1:100" s="275" customFormat="1" ht="25.5">
      <c r="A20" s="280" t="s">
        <v>79</v>
      </c>
      <c r="B20" s="277" t="s">
        <v>495</v>
      </c>
      <c r="C20" s="278">
        <v>24326.706310000001</v>
      </c>
      <c r="D20" s="278">
        <v>4412.9441500000003</v>
      </c>
      <c r="E20" s="278">
        <v>6872.3473700000004</v>
      </c>
      <c r="F20" s="278">
        <v>19184.634849999999</v>
      </c>
      <c r="G20" s="278">
        <v>29732.381450000001</v>
      </c>
      <c r="H20" s="278">
        <v>28669.194739999999</v>
      </c>
      <c r="I20" s="278">
        <v>23173.261490000001</v>
      </c>
      <c r="J20" s="278">
        <v>14383.10554</v>
      </c>
      <c r="K20" s="278">
        <v>6642.7826599999999</v>
      </c>
      <c r="L20" s="278">
        <v>2082.97831</v>
      </c>
      <c r="M20" s="278">
        <v>631.70884999999998</v>
      </c>
      <c r="N20" s="278">
        <v>472.41802999999999</v>
      </c>
      <c r="O20" s="278">
        <v>3.4170400000000001</v>
      </c>
      <c r="P20" s="278">
        <v>160587.88079</v>
      </c>
      <c r="Q20" s="278">
        <v>32801.957860000002</v>
      </c>
      <c r="R20" s="278">
        <v>7430.0602699999999</v>
      </c>
      <c r="S20" s="278">
        <v>11930.386909999999</v>
      </c>
      <c r="T20" s="278">
        <v>29609.43117</v>
      </c>
      <c r="U20" s="278">
        <v>46697.38132</v>
      </c>
      <c r="V20" s="278">
        <v>41453.970679999999</v>
      </c>
      <c r="W20" s="278">
        <v>21215.752519999998</v>
      </c>
      <c r="X20" s="278">
        <v>6305.9738500000003</v>
      </c>
      <c r="Y20" s="278">
        <v>1387.6288400000001</v>
      </c>
      <c r="Z20" s="278">
        <v>230.55477999999999</v>
      </c>
      <c r="AA20" s="278">
        <v>194.40466000000001</v>
      </c>
      <c r="AB20" s="278">
        <v>142.28775999999999</v>
      </c>
      <c r="AC20" s="278">
        <v>0</v>
      </c>
      <c r="AD20" s="278">
        <v>199399.79062000001</v>
      </c>
      <c r="AE20" s="278">
        <v>4389.58824</v>
      </c>
      <c r="AF20" s="278">
        <v>1421.52223</v>
      </c>
      <c r="AG20" s="278">
        <v>2565.40274</v>
      </c>
      <c r="AH20" s="278">
        <v>5218.8063000000002</v>
      </c>
      <c r="AI20" s="278">
        <v>4930.6173900000003</v>
      </c>
      <c r="AJ20" s="278">
        <v>2263.4919500000001</v>
      </c>
      <c r="AK20" s="278">
        <v>973.87315999999998</v>
      </c>
      <c r="AL20" s="278">
        <v>452.70409000000001</v>
      </c>
      <c r="AM20" s="278">
        <v>152.60513</v>
      </c>
      <c r="AN20" s="278">
        <v>26.018419999999999</v>
      </c>
      <c r="AO20" s="278">
        <v>25.46106</v>
      </c>
      <c r="AP20" s="278">
        <v>14.4876</v>
      </c>
      <c r="AQ20" s="278">
        <v>0</v>
      </c>
      <c r="AR20" s="278">
        <v>22434.578310000001</v>
      </c>
      <c r="AS20" s="278">
        <v>1545.73793</v>
      </c>
      <c r="AT20" s="278">
        <v>448.59102999999999</v>
      </c>
      <c r="AU20" s="278">
        <v>816.76457000000005</v>
      </c>
      <c r="AV20" s="278">
        <v>1681.7469599999999</v>
      </c>
      <c r="AW20" s="278">
        <v>1579.07385</v>
      </c>
      <c r="AX20" s="278">
        <v>716.09577000000002</v>
      </c>
      <c r="AY20" s="278">
        <v>377.23802000000001</v>
      </c>
      <c r="AZ20" s="278">
        <v>173.71802</v>
      </c>
      <c r="BA20" s="278">
        <v>47.55988</v>
      </c>
      <c r="BB20" s="278">
        <v>11.668229999999999</v>
      </c>
      <c r="BC20" s="278">
        <v>4.1994499999999997</v>
      </c>
      <c r="BD20" s="278">
        <v>5.31128</v>
      </c>
      <c r="BE20" s="278">
        <v>0</v>
      </c>
      <c r="BF20" s="278">
        <v>7407.7049900000002</v>
      </c>
      <c r="BG20" s="278">
        <v>538.41238999999996</v>
      </c>
      <c r="BH20" s="278">
        <v>278.85419999999999</v>
      </c>
      <c r="BI20" s="278">
        <v>396.72786000000002</v>
      </c>
      <c r="BJ20" s="278">
        <v>666.98539000000005</v>
      </c>
      <c r="BK20" s="278">
        <v>648.39669000000004</v>
      </c>
      <c r="BL20" s="278">
        <v>283.92029000000002</v>
      </c>
      <c r="BM20" s="278">
        <v>141.2413</v>
      </c>
      <c r="BN20" s="278">
        <v>57.353520000000003</v>
      </c>
      <c r="BO20" s="278">
        <v>28.451080000000001</v>
      </c>
      <c r="BP20" s="278">
        <v>4.81203</v>
      </c>
      <c r="BQ20" s="278">
        <v>1.02295</v>
      </c>
      <c r="BR20" s="278">
        <v>5.4530399999999997</v>
      </c>
      <c r="BS20" s="278">
        <v>0</v>
      </c>
      <c r="BT20" s="278">
        <v>3051.6307400000001</v>
      </c>
      <c r="BU20" s="278">
        <v>332.77994999999999</v>
      </c>
      <c r="BV20" s="278">
        <v>113.20292000000001</v>
      </c>
      <c r="BW20" s="278">
        <v>200.43283</v>
      </c>
      <c r="BX20" s="278">
        <v>380.79950000000002</v>
      </c>
      <c r="BY20" s="278">
        <v>343.74007999999998</v>
      </c>
      <c r="BZ20" s="278">
        <v>200.0258</v>
      </c>
      <c r="CA20" s="278">
        <v>105.84026</v>
      </c>
      <c r="CB20" s="278">
        <v>42.04242</v>
      </c>
      <c r="CC20" s="278">
        <v>19.275549999999999</v>
      </c>
      <c r="CD20" s="278">
        <v>6.5847499999999997</v>
      </c>
      <c r="CE20" s="278">
        <v>2.2661500000000001</v>
      </c>
      <c r="CF20" s="278">
        <v>0</v>
      </c>
      <c r="CG20" s="278">
        <v>0</v>
      </c>
      <c r="CH20" s="278">
        <v>1746.9902099999999</v>
      </c>
      <c r="CI20" s="278">
        <v>4920.4240300000001</v>
      </c>
      <c r="CJ20" s="278">
        <v>1967.53503</v>
      </c>
      <c r="CK20" s="278">
        <v>3637.4929699999998</v>
      </c>
      <c r="CL20" s="278">
        <v>6729.9301999999998</v>
      </c>
      <c r="CM20" s="278">
        <v>5934.2223800000002</v>
      </c>
      <c r="CN20" s="278">
        <v>2594.28314</v>
      </c>
      <c r="CO20" s="278">
        <v>1313.0876000000001</v>
      </c>
      <c r="CP20" s="278">
        <v>748.93141000000003</v>
      </c>
      <c r="CQ20" s="278">
        <v>265.73061000000001</v>
      </c>
      <c r="CR20" s="278">
        <v>51.615389999999998</v>
      </c>
      <c r="CS20" s="278">
        <v>37.023290000000003</v>
      </c>
      <c r="CT20" s="278">
        <v>20.296109999999999</v>
      </c>
      <c r="CU20" s="278">
        <v>0</v>
      </c>
      <c r="CV20" s="278">
        <v>28220.57216</v>
      </c>
    </row>
    <row r="21" spans="1:100" s="275" customFormat="1" ht="25.5">
      <c r="A21" s="275" t="s">
        <v>508</v>
      </c>
      <c r="B21" s="277" t="s">
        <v>496</v>
      </c>
      <c r="C21" s="278">
        <v>27592.101790000001</v>
      </c>
      <c r="D21" s="278">
        <v>7334.9311900000002</v>
      </c>
      <c r="E21" s="278">
        <v>10546.67936</v>
      </c>
      <c r="F21" s="278">
        <v>22044.60368</v>
      </c>
      <c r="G21" s="278">
        <v>30663.144199999999</v>
      </c>
      <c r="H21" s="278">
        <v>20256.384709999998</v>
      </c>
      <c r="I21" s="278">
        <v>7736.7936499999996</v>
      </c>
      <c r="J21" s="278">
        <v>2772.41527</v>
      </c>
      <c r="K21" s="278">
        <v>1295.85879</v>
      </c>
      <c r="L21" s="278">
        <v>362.2636</v>
      </c>
      <c r="M21" s="278">
        <v>167.83697000000001</v>
      </c>
      <c r="N21" s="278">
        <v>94.896839999999997</v>
      </c>
      <c r="O21" s="278">
        <v>0</v>
      </c>
      <c r="P21" s="278">
        <v>130867.91005000001</v>
      </c>
      <c r="Q21" s="278">
        <v>87137.015069999994</v>
      </c>
      <c r="R21" s="278">
        <v>23563.32879</v>
      </c>
      <c r="S21" s="278">
        <v>35005.72451</v>
      </c>
      <c r="T21" s="278">
        <v>75460.947379999998</v>
      </c>
      <c r="U21" s="278">
        <v>102490.32506</v>
      </c>
      <c r="V21" s="278">
        <v>64027.285909999999</v>
      </c>
      <c r="W21" s="278">
        <v>19247.543430000002</v>
      </c>
      <c r="X21" s="278">
        <v>4379.3873299999996</v>
      </c>
      <c r="Y21" s="278">
        <v>1374.8332700000001</v>
      </c>
      <c r="Z21" s="278">
        <v>192.48474999999999</v>
      </c>
      <c r="AA21" s="278">
        <v>236.47783999999999</v>
      </c>
      <c r="AB21" s="278">
        <v>160.10769999999999</v>
      </c>
      <c r="AC21" s="278">
        <v>0</v>
      </c>
      <c r="AD21" s="278">
        <v>413275.46103990002</v>
      </c>
      <c r="AE21" s="278">
        <v>23621.286039999999</v>
      </c>
      <c r="AF21" s="278">
        <v>6476.4893099999999</v>
      </c>
      <c r="AG21" s="278">
        <v>9648.3285699999997</v>
      </c>
      <c r="AH21" s="278">
        <v>17901.07936</v>
      </c>
      <c r="AI21" s="278">
        <v>18056.9385</v>
      </c>
      <c r="AJ21" s="278">
        <v>8370.3160100000005</v>
      </c>
      <c r="AK21" s="278">
        <v>2093.8431399999999</v>
      </c>
      <c r="AL21" s="278">
        <v>637.3347</v>
      </c>
      <c r="AM21" s="278">
        <v>252.82469</v>
      </c>
      <c r="AN21" s="278">
        <v>46.185209999999998</v>
      </c>
      <c r="AO21" s="278">
        <v>40.948819999999998</v>
      </c>
      <c r="AP21" s="278">
        <v>31.864820000000002</v>
      </c>
      <c r="AQ21" s="278">
        <v>0</v>
      </c>
      <c r="AR21" s="278">
        <v>87177.439169999998</v>
      </c>
      <c r="AS21" s="278">
        <v>6712.8102200000003</v>
      </c>
      <c r="AT21" s="278">
        <v>1952.70668</v>
      </c>
      <c r="AU21" s="278">
        <v>2691.6794199999999</v>
      </c>
      <c r="AV21" s="278">
        <v>5142.3160200000002</v>
      </c>
      <c r="AW21" s="278">
        <v>5140.3790200000003</v>
      </c>
      <c r="AX21" s="278">
        <v>2458.0106099999998</v>
      </c>
      <c r="AY21" s="278">
        <v>634.55561</v>
      </c>
      <c r="AZ21" s="278">
        <v>174.55404999999999</v>
      </c>
      <c r="BA21" s="278">
        <v>98.196950000000001</v>
      </c>
      <c r="BB21" s="278">
        <v>12.036020000000001</v>
      </c>
      <c r="BC21" s="278">
        <v>7.2426700000000004</v>
      </c>
      <c r="BD21" s="278">
        <v>9.6905000000000001</v>
      </c>
      <c r="BE21" s="278">
        <v>0</v>
      </c>
      <c r="BF21" s="278">
        <v>25034.177769999998</v>
      </c>
      <c r="BG21" s="278">
        <v>3371.5896200000002</v>
      </c>
      <c r="BH21" s="278">
        <v>923.45141999999998</v>
      </c>
      <c r="BI21" s="278">
        <v>1283.2592400000001</v>
      </c>
      <c r="BJ21" s="278">
        <v>2250.30089</v>
      </c>
      <c r="BK21" s="278">
        <v>2230.1938</v>
      </c>
      <c r="BL21" s="278">
        <v>1159.77638</v>
      </c>
      <c r="BM21" s="278">
        <v>320.74416000000002</v>
      </c>
      <c r="BN21" s="278">
        <v>102.14364</v>
      </c>
      <c r="BO21" s="278">
        <v>54.73901</v>
      </c>
      <c r="BP21" s="278">
        <v>5.1209899999999999</v>
      </c>
      <c r="BQ21" s="278">
        <v>4.3761299999999999</v>
      </c>
      <c r="BR21" s="278">
        <v>5.01938</v>
      </c>
      <c r="BS21" s="278">
        <v>0</v>
      </c>
      <c r="BT21" s="278">
        <v>11710.71466</v>
      </c>
      <c r="BU21" s="278">
        <v>1756.9362900000001</v>
      </c>
      <c r="BV21" s="278">
        <v>539.60355000000004</v>
      </c>
      <c r="BW21" s="278">
        <v>701.44421999999997</v>
      </c>
      <c r="BX21" s="278">
        <v>1138.7035900000001</v>
      </c>
      <c r="BY21" s="278">
        <v>1126.2128499999999</v>
      </c>
      <c r="BZ21" s="278">
        <v>588.82753000000002</v>
      </c>
      <c r="CA21" s="278">
        <v>155.33651</v>
      </c>
      <c r="CB21" s="278">
        <v>35.720309999999998</v>
      </c>
      <c r="CC21" s="278">
        <v>27.27825</v>
      </c>
      <c r="CD21" s="278">
        <v>3.4969899999999998</v>
      </c>
      <c r="CE21" s="278">
        <v>2.6187900000000002</v>
      </c>
      <c r="CF21" s="278">
        <v>2.3643000000000001</v>
      </c>
      <c r="CG21" s="278">
        <v>0</v>
      </c>
      <c r="CH21" s="278">
        <v>6078.5431799999997</v>
      </c>
      <c r="CI21" s="278">
        <v>9871.33122</v>
      </c>
      <c r="CJ21" s="278">
        <v>2811.5486500000002</v>
      </c>
      <c r="CK21" s="278">
        <v>4539.74748</v>
      </c>
      <c r="CL21" s="278">
        <v>8097.3739299999997</v>
      </c>
      <c r="CM21" s="278">
        <v>7488.5426699999998</v>
      </c>
      <c r="CN21" s="278">
        <v>4198.4974199999997</v>
      </c>
      <c r="CO21" s="278">
        <v>1189.32629</v>
      </c>
      <c r="CP21" s="278">
        <v>406.06232999999997</v>
      </c>
      <c r="CQ21" s="278">
        <v>146.10882000000001</v>
      </c>
      <c r="CR21" s="278">
        <v>32.730420000000002</v>
      </c>
      <c r="CS21" s="278">
        <v>17.818850000000001</v>
      </c>
      <c r="CT21" s="278">
        <v>12.382009999999999</v>
      </c>
      <c r="CU21" s="278">
        <v>0</v>
      </c>
      <c r="CV21" s="278">
        <v>38811.470090000003</v>
      </c>
    </row>
    <row r="22" spans="1:100" s="275" customFormat="1" ht="76.5">
      <c r="A22" s="275" t="s">
        <v>508</v>
      </c>
      <c r="B22" s="277" t="s">
        <v>497</v>
      </c>
      <c r="C22" s="278">
        <v>18251.816330000001</v>
      </c>
      <c r="D22" s="278">
        <v>5189.7832600000002</v>
      </c>
      <c r="E22" s="278">
        <v>7515.2677400000002</v>
      </c>
      <c r="F22" s="278">
        <v>15005.677030000001</v>
      </c>
      <c r="G22" s="278">
        <v>17834.238700000002</v>
      </c>
      <c r="H22" s="278">
        <v>11438.672130000001</v>
      </c>
      <c r="I22" s="278">
        <v>4882.6626900000001</v>
      </c>
      <c r="J22" s="278">
        <v>2399.62248</v>
      </c>
      <c r="K22" s="278">
        <v>1410.5615700000001</v>
      </c>
      <c r="L22" s="278">
        <v>437.58398999999997</v>
      </c>
      <c r="M22" s="278">
        <v>141.23475999999999</v>
      </c>
      <c r="N22" s="278">
        <v>103.55804000000001</v>
      </c>
      <c r="O22" s="278">
        <v>2.2653799999999999</v>
      </c>
      <c r="P22" s="278">
        <v>84612.944099999993</v>
      </c>
      <c r="Q22" s="278">
        <v>64994.054259999997</v>
      </c>
      <c r="R22" s="278">
        <v>19735.655760000001</v>
      </c>
      <c r="S22" s="278">
        <v>31214.83553</v>
      </c>
      <c r="T22" s="278">
        <v>63022.767970000001</v>
      </c>
      <c r="U22" s="278">
        <v>75666.872319999995</v>
      </c>
      <c r="V22" s="278">
        <v>46977.160459999999</v>
      </c>
      <c r="W22" s="278">
        <v>15612.61009</v>
      </c>
      <c r="X22" s="278">
        <v>3653.5874800000001</v>
      </c>
      <c r="Y22" s="278">
        <v>1192.4458</v>
      </c>
      <c r="Z22" s="278">
        <v>189.17498000000001</v>
      </c>
      <c r="AA22" s="278">
        <v>173.19076999999999</v>
      </c>
      <c r="AB22" s="278">
        <v>114.3627</v>
      </c>
      <c r="AC22" s="278">
        <v>1.0435700000000001</v>
      </c>
      <c r="AD22" s="278">
        <v>322547.76169000001</v>
      </c>
      <c r="AE22" s="278">
        <v>132817.81831</v>
      </c>
      <c r="AF22" s="278">
        <v>36771.435100000002</v>
      </c>
      <c r="AG22" s="278">
        <v>50333.927669999997</v>
      </c>
      <c r="AH22" s="278">
        <v>98460.014420000007</v>
      </c>
      <c r="AI22" s="278">
        <v>110911.2519</v>
      </c>
      <c r="AJ22" s="278">
        <v>51785.015249999997</v>
      </c>
      <c r="AK22" s="278">
        <v>12437.49221</v>
      </c>
      <c r="AL22" s="278">
        <v>2840.2216400000002</v>
      </c>
      <c r="AM22" s="278">
        <v>1405.7214100000001</v>
      </c>
      <c r="AN22" s="278">
        <v>188.22873999999999</v>
      </c>
      <c r="AO22" s="278">
        <v>223.80117999999999</v>
      </c>
      <c r="AP22" s="278">
        <v>143.04338999999999</v>
      </c>
      <c r="AQ22" s="278">
        <v>1.0435700000000001</v>
      </c>
      <c r="AR22" s="278">
        <v>498319.01478989999</v>
      </c>
      <c r="AS22" s="278">
        <v>39228.589939999998</v>
      </c>
      <c r="AT22" s="278">
        <v>10708.659229999999</v>
      </c>
      <c r="AU22" s="278">
        <v>15290.960719999999</v>
      </c>
      <c r="AV22" s="278">
        <v>28814.465510000002</v>
      </c>
      <c r="AW22" s="278">
        <v>31016.337029999999</v>
      </c>
      <c r="AX22" s="278">
        <v>14751.386689999999</v>
      </c>
      <c r="AY22" s="278">
        <v>3448.60961</v>
      </c>
      <c r="AZ22" s="278">
        <v>860.05709999999999</v>
      </c>
      <c r="BA22" s="278">
        <v>395.73253</v>
      </c>
      <c r="BB22" s="278">
        <v>47.162709999999997</v>
      </c>
      <c r="BC22" s="278">
        <v>71.255750000000006</v>
      </c>
      <c r="BD22" s="278">
        <v>47.282670000000003</v>
      </c>
      <c r="BE22" s="278">
        <v>0</v>
      </c>
      <c r="BF22" s="278">
        <v>144680.49948999999</v>
      </c>
      <c r="BG22" s="278">
        <v>17412.273130000001</v>
      </c>
      <c r="BH22" s="278">
        <v>4574.9779500000004</v>
      </c>
      <c r="BI22" s="278">
        <v>6330.7719200000001</v>
      </c>
      <c r="BJ22" s="278">
        <v>11371.787829999999</v>
      </c>
      <c r="BK22" s="278">
        <v>12506.23307</v>
      </c>
      <c r="BL22" s="278">
        <v>5999.7699499999999</v>
      </c>
      <c r="BM22" s="278">
        <v>1472.3543999999999</v>
      </c>
      <c r="BN22" s="278">
        <v>360.76105000000001</v>
      </c>
      <c r="BO22" s="278">
        <v>182.02674999999999</v>
      </c>
      <c r="BP22" s="278">
        <v>24.06485</v>
      </c>
      <c r="BQ22" s="278">
        <v>32.586449999999999</v>
      </c>
      <c r="BR22" s="278">
        <v>13.90752</v>
      </c>
      <c r="BS22" s="278">
        <v>0</v>
      </c>
      <c r="BT22" s="278">
        <v>60281.514869999999</v>
      </c>
      <c r="BU22" s="278">
        <v>8432.0158300000003</v>
      </c>
      <c r="BV22" s="278">
        <v>2142.3746700000002</v>
      </c>
      <c r="BW22" s="278">
        <v>3052.1116099999999</v>
      </c>
      <c r="BX22" s="278">
        <v>5312.0116799999996</v>
      </c>
      <c r="BY22" s="278">
        <v>5561.3071099999997</v>
      </c>
      <c r="BZ22" s="278">
        <v>2640.3063900000002</v>
      </c>
      <c r="CA22" s="278">
        <v>610.46464000000003</v>
      </c>
      <c r="CB22" s="278">
        <v>159.45634000000001</v>
      </c>
      <c r="CC22" s="278">
        <v>69.379019999999997</v>
      </c>
      <c r="CD22" s="278">
        <v>16.640419999999999</v>
      </c>
      <c r="CE22" s="278">
        <v>7.8997900000000003</v>
      </c>
      <c r="CF22" s="278">
        <v>11.851330000000001</v>
      </c>
      <c r="CG22" s="278">
        <v>0</v>
      </c>
      <c r="CH22" s="278">
        <v>28015.81883</v>
      </c>
      <c r="CI22" s="278">
        <v>28018.139879999999</v>
      </c>
      <c r="CJ22" s="278">
        <v>7405.3725299999996</v>
      </c>
      <c r="CK22" s="278">
        <v>12034.572</v>
      </c>
      <c r="CL22" s="278">
        <v>22627.08253</v>
      </c>
      <c r="CM22" s="278">
        <v>23000.686519999999</v>
      </c>
      <c r="CN22" s="278">
        <v>13186.21348</v>
      </c>
      <c r="CO22" s="278">
        <v>3717.2251200000001</v>
      </c>
      <c r="CP22" s="278">
        <v>867.48384999999996</v>
      </c>
      <c r="CQ22" s="278">
        <v>331.91617000000002</v>
      </c>
      <c r="CR22" s="278">
        <v>45.020589999999999</v>
      </c>
      <c r="CS22" s="278">
        <v>56.839179999999999</v>
      </c>
      <c r="CT22" s="278">
        <v>27.354299999999999</v>
      </c>
      <c r="CU22" s="278">
        <v>1.13269</v>
      </c>
      <c r="CV22" s="278">
        <v>111319.03883999999</v>
      </c>
    </row>
    <row r="23" spans="1:100" s="275" customFormat="1" ht="51">
      <c r="A23" s="280" t="s">
        <v>79</v>
      </c>
      <c r="B23" s="277" t="s">
        <v>498</v>
      </c>
      <c r="C23" s="278">
        <v>8525.8123699999996</v>
      </c>
      <c r="D23" s="278">
        <v>1370.49434</v>
      </c>
      <c r="E23" s="278">
        <v>2033.6768400000001</v>
      </c>
      <c r="F23" s="278">
        <v>7808.0550300000004</v>
      </c>
      <c r="G23" s="278">
        <v>12018.135759999999</v>
      </c>
      <c r="H23" s="278">
        <v>11363.214809999999</v>
      </c>
      <c r="I23" s="278">
        <v>8969.8681799999995</v>
      </c>
      <c r="J23" s="278">
        <v>4976.4762899999996</v>
      </c>
      <c r="K23" s="278">
        <v>1823.82708</v>
      </c>
      <c r="L23" s="278">
        <v>444.92079999999999</v>
      </c>
      <c r="M23" s="278">
        <v>184.42339000000001</v>
      </c>
      <c r="N23" s="278">
        <v>117.68713</v>
      </c>
      <c r="O23" s="278">
        <v>1.0769899999999999</v>
      </c>
      <c r="P23" s="278">
        <v>59637.669009999998</v>
      </c>
      <c r="Q23" s="278">
        <v>6994.78737</v>
      </c>
      <c r="R23" s="278">
        <v>1399.47171</v>
      </c>
      <c r="S23" s="278">
        <v>2279.61366</v>
      </c>
      <c r="T23" s="278">
        <v>9215.3068700000003</v>
      </c>
      <c r="U23" s="278">
        <v>11147.111430000001</v>
      </c>
      <c r="V23" s="278">
        <v>8898.8763400000007</v>
      </c>
      <c r="W23" s="278">
        <v>4554.6706299999996</v>
      </c>
      <c r="X23" s="278">
        <v>1370.5248799999999</v>
      </c>
      <c r="Y23" s="278">
        <v>251.46575000000001</v>
      </c>
      <c r="Z23" s="278">
        <v>47.579300000000003</v>
      </c>
      <c r="AA23" s="278">
        <v>54.14302</v>
      </c>
      <c r="AB23" s="278">
        <v>25.979199999999999</v>
      </c>
      <c r="AC23" s="278">
        <v>0</v>
      </c>
      <c r="AD23" s="278">
        <v>46239.530160000002</v>
      </c>
      <c r="AE23" s="278">
        <v>1377.00684</v>
      </c>
      <c r="AF23" s="278">
        <v>325.21967000000001</v>
      </c>
      <c r="AG23" s="278">
        <v>469.27445</v>
      </c>
      <c r="AH23" s="278">
        <v>1234.31494</v>
      </c>
      <c r="AI23" s="278">
        <v>1406.4201499999999</v>
      </c>
      <c r="AJ23" s="278">
        <v>852.54732999999999</v>
      </c>
      <c r="AK23" s="278">
        <v>412.71242000000001</v>
      </c>
      <c r="AL23" s="278">
        <v>122.09155</v>
      </c>
      <c r="AM23" s="278">
        <v>26.177209999999999</v>
      </c>
      <c r="AN23" s="278">
        <v>1.13269</v>
      </c>
      <c r="AO23" s="278">
        <v>2.3643000000000001</v>
      </c>
      <c r="AP23" s="278">
        <v>3.8993500000000001</v>
      </c>
      <c r="AQ23" s="278">
        <v>0</v>
      </c>
      <c r="AR23" s="278">
        <v>6233.1608999999999</v>
      </c>
      <c r="AS23" s="278">
        <v>326.77028000000001</v>
      </c>
      <c r="AT23" s="278">
        <v>81.416070000000005</v>
      </c>
      <c r="AU23" s="278">
        <v>120.62779</v>
      </c>
      <c r="AV23" s="278">
        <v>296.04869000000002</v>
      </c>
      <c r="AW23" s="278">
        <v>366.64010999999999</v>
      </c>
      <c r="AX23" s="278">
        <v>211.68737999999999</v>
      </c>
      <c r="AY23" s="278">
        <v>71.930090000000007</v>
      </c>
      <c r="AZ23" s="278">
        <v>19.85716</v>
      </c>
      <c r="BA23" s="278">
        <v>13.78046</v>
      </c>
      <c r="BB23" s="278">
        <v>1.2316100000000001</v>
      </c>
      <c r="BC23" s="278">
        <v>1</v>
      </c>
      <c r="BD23" s="278">
        <v>1.02295</v>
      </c>
      <c r="BE23" s="278">
        <v>0</v>
      </c>
      <c r="BF23" s="278">
        <v>1512.01259</v>
      </c>
      <c r="BG23" s="278">
        <v>270.44675999999998</v>
      </c>
      <c r="BH23" s="278">
        <v>52.71246</v>
      </c>
      <c r="BI23" s="278">
        <v>73.662430000000001</v>
      </c>
      <c r="BJ23" s="278">
        <v>127.76521</v>
      </c>
      <c r="BK23" s="278">
        <v>132.55064999999999</v>
      </c>
      <c r="BL23" s="278">
        <v>116.86462</v>
      </c>
      <c r="BM23" s="278">
        <v>47.902769999999997</v>
      </c>
      <c r="BN23" s="278">
        <v>8.8565699999999996</v>
      </c>
      <c r="BO23" s="278">
        <v>7.8614699999999997</v>
      </c>
      <c r="BP23" s="278">
        <v>0</v>
      </c>
      <c r="BQ23" s="278">
        <v>1.02295</v>
      </c>
      <c r="BR23" s="278">
        <v>0</v>
      </c>
      <c r="BS23" s="278">
        <v>0</v>
      </c>
      <c r="BT23" s="278">
        <v>839.64589000000001</v>
      </c>
      <c r="BU23" s="278">
        <v>46.378839999999997</v>
      </c>
      <c r="BV23" s="278">
        <v>30.272459999999999</v>
      </c>
      <c r="BW23" s="278">
        <v>30.19999</v>
      </c>
      <c r="BX23" s="278">
        <v>87.072400000000002</v>
      </c>
      <c r="BY23" s="278">
        <v>60.566760000000002</v>
      </c>
      <c r="BZ23" s="278">
        <v>25.186029999999999</v>
      </c>
      <c r="CA23" s="278">
        <v>24.354980000000001</v>
      </c>
      <c r="CB23" s="278">
        <v>3.2414499999999999</v>
      </c>
      <c r="CC23" s="278">
        <v>1.05497</v>
      </c>
      <c r="CD23" s="278">
        <v>0</v>
      </c>
      <c r="CE23" s="278">
        <v>0</v>
      </c>
      <c r="CF23" s="278">
        <v>1.1980200000000001</v>
      </c>
      <c r="CG23" s="278">
        <v>0</v>
      </c>
      <c r="CH23" s="278">
        <v>309.52589999999998</v>
      </c>
      <c r="CI23" s="278">
        <v>608.87588000000005</v>
      </c>
      <c r="CJ23" s="278">
        <v>195.06375</v>
      </c>
      <c r="CK23" s="278">
        <v>443.33850000000001</v>
      </c>
      <c r="CL23" s="278">
        <v>978.08549000000005</v>
      </c>
      <c r="CM23" s="278">
        <v>975.86167999999998</v>
      </c>
      <c r="CN23" s="278">
        <v>531.06430999999998</v>
      </c>
      <c r="CO23" s="278">
        <v>280.29854</v>
      </c>
      <c r="CP23" s="278">
        <v>156.26446999999999</v>
      </c>
      <c r="CQ23" s="278">
        <v>33.756509999999999</v>
      </c>
      <c r="CR23" s="278">
        <v>2.0459000000000001</v>
      </c>
      <c r="CS23" s="278">
        <v>3.9271600000000002</v>
      </c>
      <c r="CT23" s="278">
        <v>4.5763299999999996</v>
      </c>
      <c r="CU23" s="278">
        <v>0</v>
      </c>
      <c r="CV23" s="278">
        <v>4213.15852</v>
      </c>
    </row>
    <row r="24" spans="1:100" s="275" customFormat="1">
      <c r="A24" s="275" t="s">
        <v>508</v>
      </c>
      <c r="B24" s="277" t="s">
        <v>499</v>
      </c>
      <c r="C24" s="278">
        <v>589.85095999999999</v>
      </c>
      <c r="D24" s="278">
        <v>149.52019999999999</v>
      </c>
      <c r="E24" s="278">
        <v>178.00845000000001</v>
      </c>
      <c r="F24" s="278">
        <v>506.92174</v>
      </c>
      <c r="G24" s="278">
        <v>749.03049999999996</v>
      </c>
      <c r="H24" s="278">
        <v>842.61089000000004</v>
      </c>
      <c r="I24" s="278">
        <v>758.19799</v>
      </c>
      <c r="J24" s="278">
        <v>454.72376000000003</v>
      </c>
      <c r="K24" s="278">
        <v>214.59453999999999</v>
      </c>
      <c r="L24" s="278">
        <v>70.309330000000003</v>
      </c>
      <c r="M24" s="278">
        <v>25.364540000000002</v>
      </c>
      <c r="N24" s="278">
        <v>12.81663</v>
      </c>
      <c r="O24" s="278">
        <v>0</v>
      </c>
      <c r="P24" s="278">
        <v>4551.9495299999999</v>
      </c>
      <c r="Q24" s="278">
        <v>735.34960999999998</v>
      </c>
      <c r="R24" s="278">
        <v>202.15432000000001</v>
      </c>
      <c r="S24" s="278">
        <v>340.32830999999999</v>
      </c>
      <c r="T24" s="278">
        <v>1282.5418</v>
      </c>
      <c r="U24" s="278">
        <v>1550.4168199999999</v>
      </c>
      <c r="V24" s="278">
        <v>1332.79817</v>
      </c>
      <c r="W24" s="278">
        <v>613.60650999999996</v>
      </c>
      <c r="X24" s="278">
        <v>180.19907000000001</v>
      </c>
      <c r="Y24" s="278">
        <v>58.186149999999998</v>
      </c>
      <c r="Z24" s="278">
        <v>14.67728</v>
      </c>
      <c r="AA24" s="278">
        <v>11.02135</v>
      </c>
      <c r="AB24" s="278">
        <v>4.9348299999999998</v>
      </c>
      <c r="AC24" s="278">
        <v>1.0435700000000001</v>
      </c>
      <c r="AD24" s="278">
        <v>6327.2577899999997</v>
      </c>
      <c r="AE24" s="278">
        <v>292.71287999999998</v>
      </c>
      <c r="AF24" s="278">
        <v>113.23667</v>
      </c>
      <c r="AG24" s="278">
        <v>127.88473999999999</v>
      </c>
      <c r="AH24" s="278">
        <v>259.41858999999999</v>
      </c>
      <c r="AI24" s="278">
        <v>333.01733999999999</v>
      </c>
      <c r="AJ24" s="278">
        <v>192.54356999999999</v>
      </c>
      <c r="AK24" s="278">
        <v>61.057830000000003</v>
      </c>
      <c r="AL24" s="278">
        <v>20.231249999999999</v>
      </c>
      <c r="AM24" s="278">
        <v>4.4198000000000004</v>
      </c>
      <c r="AN24" s="278">
        <v>0</v>
      </c>
      <c r="AO24" s="278">
        <v>3.9760599999999999</v>
      </c>
      <c r="AP24" s="278">
        <v>1.0435700000000001</v>
      </c>
      <c r="AQ24" s="278">
        <v>0</v>
      </c>
      <c r="AR24" s="278">
        <v>1409.5423000000001</v>
      </c>
      <c r="AS24" s="278">
        <v>77.213620000000006</v>
      </c>
      <c r="AT24" s="278">
        <v>30.922630000000002</v>
      </c>
      <c r="AU24" s="278">
        <v>39.658859999999997</v>
      </c>
      <c r="AV24" s="278">
        <v>81.939599999999999</v>
      </c>
      <c r="AW24" s="278">
        <v>66.577680000000001</v>
      </c>
      <c r="AX24" s="278">
        <v>39.209350000000001</v>
      </c>
      <c r="AY24" s="278">
        <v>24.095849999999999</v>
      </c>
      <c r="AZ24" s="278">
        <v>7.98393</v>
      </c>
      <c r="BA24" s="278">
        <v>4.9034599999999999</v>
      </c>
      <c r="BB24" s="278">
        <v>2.0762100000000001</v>
      </c>
      <c r="BC24" s="278">
        <v>1.0762100000000001</v>
      </c>
      <c r="BD24" s="278">
        <v>0</v>
      </c>
      <c r="BE24" s="278">
        <v>0</v>
      </c>
      <c r="BF24" s="278">
        <v>375.6574</v>
      </c>
      <c r="BG24" s="278">
        <v>32.08549</v>
      </c>
      <c r="BH24" s="278">
        <v>4.9226599999999996</v>
      </c>
      <c r="BI24" s="278">
        <v>17.491759999999999</v>
      </c>
      <c r="BJ24" s="278">
        <v>35.342280000000002</v>
      </c>
      <c r="BK24" s="278">
        <v>19.19969</v>
      </c>
      <c r="BL24" s="278">
        <v>13.31732</v>
      </c>
      <c r="BM24" s="278">
        <v>4.6280200000000002</v>
      </c>
      <c r="BN24" s="278">
        <v>2.3266800000000001</v>
      </c>
      <c r="BO24" s="278">
        <v>0</v>
      </c>
      <c r="BP24" s="278">
        <v>0</v>
      </c>
      <c r="BQ24" s="278">
        <v>2.1524200000000002</v>
      </c>
      <c r="BR24" s="278">
        <v>0</v>
      </c>
      <c r="BS24" s="278">
        <v>0</v>
      </c>
      <c r="BT24" s="278">
        <v>131.46632</v>
      </c>
      <c r="BU24" s="278">
        <v>39.694499999999998</v>
      </c>
      <c r="BV24" s="278">
        <v>11.82286</v>
      </c>
      <c r="BW24" s="278">
        <v>20.527660000000001</v>
      </c>
      <c r="BX24" s="278">
        <v>16.632149999999999</v>
      </c>
      <c r="BY24" s="278">
        <v>19.647359999999999</v>
      </c>
      <c r="BZ24" s="278">
        <v>10.91633</v>
      </c>
      <c r="CA24" s="278">
        <v>8.0939800000000002</v>
      </c>
      <c r="CB24" s="278">
        <v>1.24969</v>
      </c>
      <c r="CC24" s="278">
        <v>0</v>
      </c>
      <c r="CD24" s="278">
        <v>0</v>
      </c>
      <c r="CE24" s="278">
        <v>0</v>
      </c>
      <c r="CF24" s="278">
        <v>0</v>
      </c>
      <c r="CG24" s="278">
        <v>0</v>
      </c>
      <c r="CH24" s="278">
        <v>128.58453</v>
      </c>
      <c r="CI24" s="278">
        <v>257.84188999999998</v>
      </c>
      <c r="CJ24" s="278">
        <v>79.664199999999994</v>
      </c>
      <c r="CK24" s="278">
        <v>168.8749</v>
      </c>
      <c r="CL24" s="278">
        <v>361.07592</v>
      </c>
      <c r="CM24" s="278">
        <v>286.19970000000001</v>
      </c>
      <c r="CN24" s="278">
        <v>195.47470000000001</v>
      </c>
      <c r="CO24" s="278">
        <v>110.44634000000001</v>
      </c>
      <c r="CP24" s="278">
        <v>30.456849999999999</v>
      </c>
      <c r="CQ24" s="278">
        <v>14.553039999999999</v>
      </c>
      <c r="CR24" s="278">
        <v>6.2919900000000002</v>
      </c>
      <c r="CS24" s="278">
        <v>3.0991599999999999</v>
      </c>
      <c r="CT24" s="278">
        <v>1.03454</v>
      </c>
      <c r="CU24" s="278">
        <v>0</v>
      </c>
      <c r="CV24" s="278">
        <v>1515.01323</v>
      </c>
    </row>
    <row r="25" spans="1:100" s="275" customFormat="1">
      <c r="A25" s="275" t="s">
        <v>158</v>
      </c>
      <c r="B25" s="277" t="s">
        <v>41</v>
      </c>
      <c r="C25" s="278">
        <v>6587.54738</v>
      </c>
      <c r="D25" s="278">
        <v>1187.62022</v>
      </c>
      <c r="E25" s="278">
        <v>1848.94975</v>
      </c>
      <c r="F25" s="278">
        <v>4950.7260399999996</v>
      </c>
      <c r="G25" s="278">
        <v>6649.2595300000003</v>
      </c>
      <c r="H25" s="278">
        <v>6393.5026200000002</v>
      </c>
      <c r="I25" s="278">
        <v>4882.0699199999999</v>
      </c>
      <c r="J25" s="278">
        <v>3245.7413799999999</v>
      </c>
      <c r="K25" s="278">
        <v>1508.40724</v>
      </c>
      <c r="L25" s="278">
        <v>457.96418999999997</v>
      </c>
      <c r="M25" s="278">
        <v>136.61751000000001</v>
      </c>
      <c r="N25" s="278">
        <v>103.02115999999999</v>
      </c>
      <c r="O25" s="278">
        <v>2.1762600000000001</v>
      </c>
      <c r="P25" s="278">
        <v>37953.603199999998</v>
      </c>
      <c r="Q25" s="278">
        <v>6958.1915799999997</v>
      </c>
      <c r="R25" s="278">
        <v>1899.31194</v>
      </c>
      <c r="S25" s="278">
        <v>2975.2714099999998</v>
      </c>
      <c r="T25" s="278">
        <v>7457.7665800000004</v>
      </c>
      <c r="U25" s="278">
        <v>8719.8587900000002</v>
      </c>
      <c r="V25" s="278">
        <v>7108.3163400000003</v>
      </c>
      <c r="W25" s="278">
        <v>2523.0673999999999</v>
      </c>
      <c r="X25" s="278">
        <v>752.65553</v>
      </c>
      <c r="Y25" s="278">
        <v>257.59552000000002</v>
      </c>
      <c r="Z25" s="278">
        <v>45.427149999999997</v>
      </c>
      <c r="AA25" s="278">
        <v>41.023739999999997</v>
      </c>
      <c r="AB25" s="278">
        <v>36.918889999999998</v>
      </c>
      <c r="AC25" s="278">
        <v>0</v>
      </c>
      <c r="AD25" s="278">
        <v>38775.404869999998</v>
      </c>
      <c r="AE25" s="278">
        <v>4045.7379500000002</v>
      </c>
      <c r="AF25" s="278">
        <v>1100.8795700000001</v>
      </c>
      <c r="AG25" s="278">
        <v>1788.6179500000001</v>
      </c>
      <c r="AH25" s="278">
        <v>3939.80062</v>
      </c>
      <c r="AI25" s="278">
        <v>3360.9261900000001</v>
      </c>
      <c r="AJ25" s="278">
        <v>1835.2499499999999</v>
      </c>
      <c r="AK25" s="278">
        <v>525.20870000000002</v>
      </c>
      <c r="AL25" s="278">
        <v>187.65407999999999</v>
      </c>
      <c r="AM25" s="278">
        <v>71.099209999999999</v>
      </c>
      <c r="AN25" s="278">
        <v>15.95111</v>
      </c>
      <c r="AO25" s="278">
        <v>15.124879999999999</v>
      </c>
      <c r="AP25" s="278">
        <v>12.62128</v>
      </c>
      <c r="AQ25" s="278">
        <v>0</v>
      </c>
      <c r="AR25" s="278">
        <v>16898.871490000001</v>
      </c>
      <c r="AS25" s="278">
        <v>1193.8679999999999</v>
      </c>
      <c r="AT25" s="278">
        <v>414.23154</v>
      </c>
      <c r="AU25" s="278">
        <v>623.75825999999995</v>
      </c>
      <c r="AV25" s="278">
        <v>1167.9019599999999</v>
      </c>
      <c r="AW25" s="278">
        <v>990.93971999999997</v>
      </c>
      <c r="AX25" s="278">
        <v>382.73606999999998</v>
      </c>
      <c r="AY25" s="278">
        <v>112.98296999999999</v>
      </c>
      <c r="AZ25" s="278">
        <v>47.539360000000002</v>
      </c>
      <c r="BA25" s="278">
        <v>21.286529999999999</v>
      </c>
      <c r="BB25" s="278">
        <v>2.7268599999999998</v>
      </c>
      <c r="BC25" s="278">
        <v>6.5208399999999997</v>
      </c>
      <c r="BD25" s="278">
        <v>5.8080699999999998</v>
      </c>
      <c r="BE25" s="278">
        <v>0</v>
      </c>
      <c r="BF25" s="278">
        <v>4970.3001800000002</v>
      </c>
      <c r="BG25" s="278">
        <v>576.49153000000001</v>
      </c>
      <c r="BH25" s="278">
        <v>235.33313999999999</v>
      </c>
      <c r="BI25" s="278">
        <v>280.26803000000001</v>
      </c>
      <c r="BJ25" s="278">
        <v>453.03793000000002</v>
      </c>
      <c r="BK25" s="278">
        <v>418.70046000000002</v>
      </c>
      <c r="BL25" s="278">
        <v>131.34249</v>
      </c>
      <c r="BM25" s="278">
        <v>52.429029999999997</v>
      </c>
      <c r="BN25" s="278">
        <v>25.77018</v>
      </c>
      <c r="BO25" s="278">
        <v>13.618169999999999</v>
      </c>
      <c r="BP25" s="278">
        <v>1.02295</v>
      </c>
      <c r="BQ25" s="278">
        <v>2.15564</v>
      </c>
      <c r="BR25" s="278">
        <v>3.3415900000000001</v>
      </c>
      <c r="BS25" s="278">
        <v>0</v>
      </c>
      <c r="BT25" s="278">
        <v>2193.5111400000001</v>
      </c>
      <c r="BU25" s="278">
        <v>263.88421</v>
      </c>
      <c r="BV25" s="278">
        <v>102.92213</v>
      </c>
      <c r="BW25" s="278">
        <v>162.20251999999999</v>
      </c>
      <c r="BX25" s="278">
        <v>277.94986</v>
      </c>
      <c r="BY25" s="278">
        <v>182.68073999999999</v>
      </c>
      <c r="BZ25" s="278">
        <v>95.511080000000007</v>
      </c>
      <c r="CA25" s="278">
        <v>29.218440000000001</v>
      </c>
      <c r="CB25" s="278">
        <v>12.74639</v>
      </c>
      <c r="CC25" s="278">
        <v>3.6328100000000001</v>
      </c>
      <c r="CD25" s="278">
        <v>1.13269</v>
      </c>
      <c r="CE25" s="278">
        <v>2.2653799999999999</v>
      </c>
      <c r="CF25" s="278">
        <v>1.5380799999999999</v>
      </c>
      <c r="CG25" s="278">
        <v>0</v>
      </c>
      <c r="CH25" s="278">
        <v>1135.68433</v>
      </c>
      <c r="CI25" s="278">
        <v>2696.5163899999998</v>
      </c>
      <c r="CJ25" s="278">
        <v>919.34153000000003</v>
      </c>
      <c r="CK25" s="278">
        <v>1420.82421</v>
      </c>
      <c r="CL25" s="278">
        <v>2900.7755499999998</v>
      </c>
      <c r="CM25" s="278">
        <v>2300.1394300000002</v>
      </c>
      <c r="CN25" s="278">
        <v>980.50756999999999</v>
      </c>
      <c r="CO25" s="278">
        <v>399.44592</v>
      </c>
      <c r="CP25" s="278">
        <v>162.53925000000001</v>
      </c>
      <c r="CQ25" s="278">
        <v>78.323599999999999</v>
      </c>
      <c r="CR25" s="278">
        <v>18.982289999999999</v>
      </c>
      <c r="CS25" s="278">
        <v>15.95421</v>
      </c>
      <c r="CT25" s="278">
        <v>5.4096299999999999</v>
      </c>
      <c r="CU25" s="278">
        <v>0</v>
      </c>
      <c r="CV25" s="278">
        <v>11898.75958</v>
      </c>
    </row>
    <row r="26" spans="1:100" s="275" customFormat="1">
      <c r="A26" s="275" t="s">
        <v>158</v>
      </c>
      <c r="B26" s="277" t="s">
        <v>286</v>
      </c>
      <c r="C26" s="278">
        <v>0</v>
      </c>
      <c r="D26" s="278">
        <v>0</v>
      </c>
      <c r="E26" s="278">
        <v>0</v>
      </c>
      <c r="F26" s="278">
        <v>0</v>
      </c>
      <c r="G26" s="278">
        <v>0</v>
      </c>
      <c r="H26" s="278">
        <v>0</v>
      </c>
      <c r="I26" s="278">
        <v>0</v>
      </c>
      <c r="J26" s="278">
        <v>0</v>
      </c>
      <c r="K26" s="278">
        <v>0</v>
      </c>
      <c r="L26" s="278">
        <v>0</v>
      </c>
      <c r="M26" s="278">
        <v>0</v>
      </c>
      <c r="N26" s="278">
        <v>0</v>
      </c>
      <c r="O26" s="278">
        <v>0</v>
      </c>
      <c r="P26" s="278">
        <v>0</v>
      </c>
      <c r="Q26" s="278">
        <v>0</v>
      </c>
      <c r="R26" s="278">
        <v>0</v>
      </c>
      <c r="S26" s="278">
        <v>0</v>
      </c>
      <c r="T26" s="278">
        <v>0</v>
      </c>
      <c r="U26" s="278">
        <v>0</v>
      </c>
      <c r="V26" s="278">
        <v>0</v>
      </c>
      <c r="W26" s="278">
        <v>0</v>
      </c>
      <c r="X26" s="278">
        <v>0</v>
      </c>
      <c r="Y26" s="278">
        <v>0</v>
      </c>
      <c r="Z26" s="278">
        <v>0</v>
      </c>
      <c r="AA26" s="278">
        <v>0</v>
      </c>
      <c r="AB26" s="278">
        <v>0</v>
      </c>
      <c r="AC26" s="278">
        <v>0</v>
      </c>
      <c r="AD26" s="278">
        <v>0</v>
      </c>
      <c r="AE26" s="278">
        <v>0</v>
      </c>
      <c r="AF26" s="278">
        <v>0</v>
      </c>
      <c r="AG26" s="278">
        <v>0</v>
      </c>
      <c r="AH26" s="278">
        <v>0</v>
      </c>
      <c r="AI26" s="278">
        <v>0</v>
      </c>
      <c r="AJ26" s="278">
        <v>0</v>
      </c>
      <c r="AK26" s="278">
        <v>0</v>
      </c>
      <c r="AL26" s="278">
        <v>0</v>
      </c>
      <c r="AM26" s="278">
        <v>0</v>
      </c>
      <c r="AN26" s="278">
        <v>0</v>
      </c>
      <c r="AO26" s="278">
        <v>0</v>
      </c>
      <c r="AP26" s="278">
        <v>0</v>
      </c>
      <c r="AQ26" s="278">
        <v>0</v>
      </c>
      <c r="AR26" s="278">
        <v>0</v>
      </c>
      <c r="AS26" s="278">
        <v>0</v>
      </c>
      <c r="AT26" s="278">
        <v>0</v>
      </c>
      <c r="AU26" s="278">
        <v>0</v>
      </c>
      <c r="AV26" s="278">
        <v>0</v>
      </c>
      <c r="AW26" s="278">
        <v>0</v>
      </c>
      <c r="AX26" s="278">
        <v>0</v>
      </c>
      <c r="AY26" s="278">
        <v>0</v>
      </c>
      <c r="AZ26" s="278">
        <v>0</v>
      </c>
      <c r="BA26" s="278">
        <v>0</v>
      </c>
      <c r="BB26" s="278">
        <v>0</v>
      </c>
      <c r="BC26" s="278">
        <v>0</v>
      </c>
      <c r="BD26" s="278">
        <v>0</v>
      </c>
      <c r="BE26" s="278">
        <v>0</v>
      </c>
      <c r="BF26" s="278">
        <v>0</v>
      </c>
      <c r="BG26" s="278">
        <v>0</v>
      </c>
      <c r="BH26" s="278">
        <v>0</v>
      </c>
      <c r="BI26" s="278">
        <v>0</v>
      </c>
      <c r="BJ26" s="278">
        <v>0</v>
      </c>
      <c r="BK26" s="278">
        <v>0</v>
      </c>
      <c r="BL26" s="278">
        <v>0</v>
      </c>
      <c r="BM26" s="278">
        <v>0</v>
      </c>
      <c r="BN26" s="278">
        <v>0</v>
      </c>
      <c r="BO26" s="278">
        <v>0</v>
      </c>
      <c r="BP26" s="278">
        <v>0</v>
      </c>
      <c r="BQ26" s="278">
        <v>0</v>
      </c>
      <c r="BR26" s="278">
        <v>0</v>
      </c>
      <c r="BS26" s="278">
        <v>0</v>
      </c>
      <c r="BT26" s="278">
        <v>0</v>
      </c>
      <c r="BU26" s="278">
        <v>0</v>
      </c>
      <c r="BV26" s="278">
        <v>0</v>
      </c>
      <c r="BW26" s="278">
        <v>0</v>
      </c>
      <c r="BX26" s="278">
        <v>0</v>
      </c>
      <c r="BY26" s="278">
        <v>0</v>
      </c>
      <c r="BZ26" s="278">
        <v>0</v>
      </c>
      <c r="CA26" s="278">
        <v>0</v>
      </c>
      <c r="CB26" s="278">
        <v>0</v>
      </c>
      <c r="CC26" s="278">
        <v>0</v>
      </c>
      <c r="CD26" s="278">
        <v>0</v>
      </c>
      <c r="CE26" s="278">
        <v>0</v>
      </c>
      <c r="CF26" s="278">
        <v>0</v>
      </c>
      <c r="CG26" s="278">
        <v>0</v>
      </c>
      <c r="CH26" s="278">
        <v>0</v>
      </c>
      <c r="CI26" s="278">
        <v>0</v>
      </c>
      <c r="CJ26" s="278">
        <v>0</v>
      </c>
      <c r="CK26" s="278">
        <v>0</v>
      </c>
      <c r="CL26" s="278">
        <v>0</v>
      </c>
      <c r="CM26" s="278">
        <v>0</v>
      </c>
      <c r="CN26" s="278">
        <v>0</v>
      </c>
      <c r="CO26" s="278">
        <v>0</v>
      </c>
      <c r="CP26" s="278">
        <v>0</v>
      </c>
      <c r="CQ26" s="278">
        <v>0</v>
      </c>
      <c r="CR26" s="278">
        <v>0</v>
      </c>
      <c r="CS26" s="278">
        <v>0</v>
      </c>
      <c r="CT26" s="278">
        <v>0</v>
      </c>
      <c r="CU26" s="278">
        <v>0</v>
      </c>
      <c r="CV26" s="278">
        <v>0</v>
      </c>
    </row>
    <row r="27" spans="1:100" s="275" customFormat="1">
      <c r="A27" s="275" t="s">
        <v>158</v>
      </c>
      <c r="B27" s="277" t="s">
        <v>475</v>
      </c>
      <c r="C27" s="278">
        <v>0</v>
      </c>
      <c r="D27" s="278">
        <v>0</v>
      </c>
      <c r="E27" s="278">
        <v>0</v>
      </c>
      <c r="F27" s="278">
        <v>0</v>
      </c>
      <c r="G27" s="278">
        <v>0</v>
      </c>
      <c r="H27" s="278">
        <v>0</v>
      </c>
      <c r="I27" s="278">
        <v>0</v>
      </c>
      <c r="J27" s="278">
        <v>0</v>
      </c>
      <c r="K27" s="278">
        <v>0</v>
      </c>
      <c r="L27" s="278">
        <v>0</v>
      </c>
      <c r="M27" s="278">
        <v>0</v>
      </c>
      <c r="N27" s="278">
        <v>0</v>
      </c>
      <c r="O27" s="278">
        <v>0</v>
      </c>
      <c r="P27" s="278">
        <v>0</v>
      </c>
      <c r="Q27" s="278">
        <v>0</v>
      </c>
      <c r="R27" s="278">
        <v>0</v>
      </c>
      <c r="S27" s="278">
        <v>0</v>
      </c>
      <c r="T27" s="278">
        <v>0</v>
      </c>
      <c r="U27" s="278">
        <v>0</v>
      </c>
      <c r="V27" s="278">
        <v>0</v>
      </c>
      <c r="W27" s="278">
        <v>0</v>
      </c>
      <c r="X27" s="278">
        <v>0</v>
      </c>
      <c r="Y27" s="278">
        <v>0</v>
      </c>
      <c r="Z27" s="278">
        <v>0</v>
      </c>
      <c r="AA27" s="278">
        <v>0</v>
      </c>
      <c r="AB27" s="278">
        <v>0</v>
      </c>
      <c r="AC27" s="278">
        <v>0</v>
      </c>
      <c r="AD27" s="278">
        <v>0</v>
      </c>
      <c r="AE27" s="278">
        <v>0</v>
      </c>
      <c r="AF27" s="278">
        <v>0</v>
      </c>
      <c r="AG27" s="278">
        <v>0</v>
      </c>
      <c r="AH27" s="278">
        <v>0</v>
      </c>
      <c r="AI27" s="278">
        <v>0</v>
      </c>
      <c r="AJ27" s="278">
        <v>0</v>
      </c>
      <c r="AK27" s="278">
        <v>0</v>
      </c>
      <c r="AL27" s="278">
        <v>0</v>
      </c>
      <c r="AM27" s="278">
        <v>0</v>
      </c>
      <c r="AN27" s="278">
        <v>0</v>
      </c>
      <c r="AO27" s="278">
        <v>0</v>
      </c>
      <c r="AP27" s="278">
        <v>0</v>
      </c>
      <c r="AQ27" s="278">
        <v>0</v>
      </c>
      <c r="AR27" s="278">
        <v>0</v>
      </c>
      <c r="AS27" s="278">
        <v>0</v>
      </c>
      <c r="AT27" s="278">
        <v>0</v>
      </c>
      <c r="AU27" s="278">
        <v>0</v>
      </c>
      <c r="AV27" s="278">
        <v>0</v>
      </c>
      <c r="AW27" s="278">
        <v>0</v>
      </c>
      <c r="AX27" s="278">
        <v>0</v>
      </c>
      <c r="AY27" s="278">
        <v>0</v>
      </c>
      <c r="AZ27" s="278">
        <v>0</v>
      </c>
      <c r="BA27" s="278">
        <v>0</v>
      </c>
      <c r="BB27" s="278">
        <v>0</v>
      </c>
      <c r="BC27" s="278">
        <v>0</v>
      </c>
      <c r="BD27" s="278">
        <v>0</v>
      </c>
      <c r="BE27" s="278">
        <v>0</v>
      </c>
      <c r="BF27" s="278">
        <v>0</v>
      </c>
      <c r="BG27" s="278">
        <v>0</v>
      </c>
      <c r="BH27" s="278">
        <v>0</v>
      </c>
      <c r="BI27" s="278">
        <v>0</v>
      </c>
      <c r="BJ27" s="278">
        <v>0</v>
      </c>
      <c r="BK27" s="278">
        <v>0</v>
      </c>
      <c r="BL27" s="278">
        <v>0</v>
      </c>
      <c r="BM27" s="278">
        <v>0</v>
      </c>
      <c r="BN27" s="278">
        <v>0</v>
      </c>
      <c r="BO27" s="278">
        <v>0</v>
      </c>
      <c r="BP27" s="278">
        <v>0</v>
      </c>
      <c r="BQ27" s="278">
        <v>0</v>
      </c>
      <c r="BR27" s="278">
        <v>0</v>
      </c>
      <c r="BS27" s="278">
        <v>0</v>
      </c>
      <c r="BT27" s="278">
        <v>0</v>
      </c>
      <c r="BU27" s="278">
        <v>0</v>
      </c>
      <c r="BV27" s="278">
        <v>0</v>
      </c>
      <c r="BW27" s="278">
        <v>0</v>
      </c>
      <c r="BX27" s="278">
        <v>0</v>
      </c>
      <c r="BY27" s="278">
        <v>0</v>
      </c>
      <c r="BZ27" s="278">
        <v>0</v>
      </c>
      <c r="CA27" s="278">
        <v>0</v>
      </c>
      <c r="CB27" s="278">
        <v>0</v>
      </c>
      <c r="CC27" s="278">
        <v>0</v>
      </c>
      <c r="CD27" s="278">
        <v>0</v>
      </c>
      <c r="CE27" s="278">
        <v>0</v>
      </c>
      <c r="CF27" s="278">
        <v>0</v>
      </c>
      <c r="CG27" s="278">
        <v>0</v>
      </c>
      <c r="CH27" s="278">
        <v>0</v>
      </c>
      <c r="CI27" s="278">
        <v>0</v>
      </c>
      <c r="CJ27" s="278">
        <v>0</v>
      </c>
      <c r="CK27" s="278">
        <v>0</v>
      </c>
      <c r="CL27" s="278">
        <v>0</v>
      </c>
      <c r="CM27" s="278">
        <v>0</v>
      </c>
      <c r="CN27" s="278">
        <v>0</v>
      </c>
      <c r="CO27" s="278">
        <v>0</v>
      </c>
      <c r="CP27" s="278">
        <v>0</v>
      </c>
      <c r="CQ27" s="278">
        <v>0</v>
      </c>
      <c r="CR27" s="278">
        <v>0</v>
      </c>
      <c r="CS27" s="278">
        <v>0</v>
      </c>
      <c r="CT27" s="278">
        <v>0</v>
      </c>
      <c r="CU27" s="278">
        <v>0</v>
      </c>
      <c r="CV27" s="278">
        <v>0</v>
      </c>
    </row>
    <row r="28" spans="1:100" s="275" customFormat="1">
      <c r="A28" s="275" t="s">
        <v>509</v>
      </c>
      <c r="B28" s="277" t="s">
        <v>27</v>
      </c>
      <c r="C28" s="278">
        <v>821002.33950999996</v>
      </c>
      <c r="D28" s="278">
        <v>170425.40763999999</v>
      </c>
      <c r="E28" s="278">
        <v>263156.97550990002</v>
      </c>
      <c r="F28" s="278">
        <v>732065.28398029995</v>
      </c>
      <c r="G28" s="278">
        <v>952529.37020999996</v>
      </c>
      <c r="H28" s="278">
        <v>931199.5519198</v>
      </c>
      <c r="I28" s="278">
        <v>930349.54739980004</v>
      </c>
      <c r="J28" s="278">
        <v>884684.18953980005</v>
      </c>
      <c r="K28" s="278">
        <v>626254.78719980002</v>
      </c>
      <c r="L28" s="278">
        <v>257855.27198990001</v>
      </c>
      <c r="M28" s="278">
        <v>72954.327179999993</v>
      </c>
      <c r="N28" s="278">
        <v>41511.471899999997</v>
      </c>
      <c r="O28" s="278">
        <v>632.09312</v>
      </c>
      <c r="P28" s="278">
        <v>6684620.6170993</v>
      </c>
      <c r="Q28" s="278">
        <v>622502.47773030004</v>
      </c>
      <c r="R28" s="278">
        <v>202393.74737990001</v>
      </c>
      <c r="S28" s="278">
        <v>330628.14214990003</v>
      </c>
      <c r="T28" s="278">
        <v>805892.33423100004</v>
      </c>
      <c r="U28" s="278">
        <v>925304.62394079997</v>
      </c>
      <c r="V28" s="278">
        <v>597734.50296039996</v>
      </c>
      <c r="W28" s="278">
        <v>280033.67496999999</v>
      </c>
      <c r="X28" s="278">
        <v>105191.60625</v>
      </c>
      <c r="Y28" s="278">
        <v>35300.937870000002</v>
      </c>
      <c r="Z28" s="278">
        <v>6695.7583000000004</v>
      </c>
      <c r="AA28" s="278">
        <v>3922.3776600000001</v>
      </c>
      <c r="AB28" s="278">
        <v>2846.6645800000001</v>
      </c>
      <c r="AC28" s="278">
        <v>33.390749999999997</v>
      </c>
      <c r="AD28" s="278">
        <v>3918480.2387724002</v>
      </c>
      <c r="AE28" s="278">
        <v>344138.08731989999</v>
      </c>
      <c r="AF28" s="278">
        <v>121273.39443</v>
      </c>
      <c r="AG28" s="278">
        <v>197643.56685989999</v>
      </c>
      <c r="AH28" s="278">
        <v>403188.12323999999</v>
      </c>
      <c r="AI28" s="278">
        <v>379748.1386299</v>
      </c>
      <c r="AJ28" s="278">
        <v>159071.21724</v>
      </c>
      <c r="AK28" s="278">
        <v>52328.980609999999</v>
      </c>
      <c r="AL28" s="278">
        <v>20452.700219999999</v>
      </c>
      <c r="AM28" s="278">
        <v>8405.6999099999994</v>
      </c>
      <c r="AN28" s="278">
        <v>1333.88156</v>
      </c>
      <c r="AO28" s="278">
        <v>1102.90914</v>
      </c>
      <c r="AP28" s="278">
        <v>815.33159999999998</v>
      </c>
      <c r="AQ28" s="278">
        <v>7.3146599999999999</v>
      </c>
      <c r="AR28" s="278">
        <v>1689509.3454197</v>
      </c>
      <c r="AS28" s="278">
        <v>106572.01295</v>
      </c>
      <c r="AT28" s="278">
        <v>39169.381159999997</v>
      </c>
      <c r="AU28" s="278">
        <v>64746.323380000002</v>
      </c>
      <c r="AV28" s="278">
        <v>127056.7928</v>
      </c>
      <c r="AW28" s="278">
        <v>118032.83152000001</v>
      </c>
      <c r="AX28" s="278">
        <v>47910.201930000003</v>
      </c>
      <c r="AY28" s="278">
        <v>16468.823899999999</v>
      </c>
      <c r="AZ28" s="278">
        <v>6997.0524599999999</v>
      </c>
      <c r="BA28" s="278">
        <v>2987.8701299999998</v>
      </c>
      <c r="BB28" s="278">
        <v>553.41786999999999</v>
      </c>
      <c r="BC28" s="278">
        <v>390.70612999999997</v>
      </c>
      <c r="BD28" s="278">
        <v>288.13952999999998</v>
      </c>
      <c r="BE28" s="278">
        <v>5.7941399999999996</v>
      </c>
      <c r="BF28" s="278">
        <v>531179.34789990005</v>
      </c>
      <c r="BG28" s="278">
        <v>47577.01629</v>
      </c>
      <c r="BH28" s="278">
        <v>18152.811470000001</v>
      </c>
      <c r="BI28" s="278">
        <v>29756.940299999998</v>
      </c>
      <c r="BJ28" s="278">
        <v>53962.375</v>
      </c>
      <c r="BK28" s="278">
        <v>50220.983809999998</v>
      </c>
      <c r="BL28" s="278">
        <v>20555.899099999999</v>
      </c>
      <c r="BM28" s="278">
        <v>7385.4297900000001</v>
      </c>
      <c r="BN28" s="278">
        <v>3103.5844999999999</v>
      </c>
      <c r="BO28" s="278">
        <v>1385.91992</v>
      </c>
      <c r="BP28" s="278">
        <v>230.74337</v>
      </c>
      <c r="BQ28" s="278">
        <v>177.48524</v>
      </c>
      <c r="BR28" s="278">
        <v>122.53805</v>
      </c>
      <c r="BS28" s="278">
        <v>2.0459000000000001</v>
      </c>
      <c r="BT28" s="278">
        <v>232633.77273999999</v>
      </c>
      <c r="BU28" s="278">
        <v>25968.632089999999</v>
      </c>
      <c r="BV28" s="278">
        <v>10115.3673</v>
      </c>
      <c r="BW28" s="278">
        <v>17276.63912</v>
      </c>
      <c r="BX28" s="278">
        <v>29898.335179999998</v>
      </c>
      <c r="BY28" s="278">
        <v>26594.57734</v>
      </c>
      <c r="BZ28" s="278">
        <v>10670.51389</v>
      </c>
      <c r="CA28" s="278">
        <v>4103.46054</v>
      </c>
      <c r="CB28" s="278">
        <v>1960.14113</v>
      </c>
      <c r="CC28" s="278">
        <v>810.42603999999994</v>
      </c>
      <c r="CD28" s="278">
        <v>210.3382</v>
      </c>
      <c r="CE28" s="278">
        <v>113.49975000000001</v>
      </c>
      <c r="CF28" s="278">
        <v>97.52843</v>
      </c>
      <c r="CG28" s="278">
        <v>4.2015399999999996</v>
      </c>
      <c r="CH28" s="278">
        <v>127823.66055</v>
      </c>
      <c r="CI28" s="278">
        <v>209777.0485299</v>
      </c>
      <c r="CJ28" s="278">
        <v>87223.671109999996</v>
      </c>
      <c r="CK28" s="278">
        <v>163155.01626989999</v>
      </c>
      <c r="CL28" s="278">
        <v>323176.97602980002</v>
      </c>
      <c r="CM28" s="278">
        <v>288165.25445980002</v>
      </c>
      <c r="CN28" s="278">
        <v>112093.13314999999</v>
      </c>
      <c r="CO28" s="278">
        <v>44986.771070000003</v>
      </c>
      <c r="CP28" s="278">
        <v>22903.218639999999</v>
      </c>
      <c r="CQ28" s="278">
        <v>10218.222100000001</v>
      </c>
      <c r="CR28" s="278">
        <v>2054.3519900000001</v>
      </c>
      <c r="CS28" s="278">
        <v>1234.9079400000001</v>
      </c>
      <c r="CT28" s="278">
        <v>911.14684</v>
      </c>
      <c r="CU28" s="278">
        <v>14.79034</v>
      </c>
      <c r="CV28" s="278">
        <v>1265914.5084694</v>
      </c>
    </row>
    <row r="29" spans="1:100" s="275" customFormat="1">
      <c r="B29" s="277"/>
      <c r="C29" s="278"/>
      <c r="D29" s="278"/>
      <c r="E29" s="278"/>
      <c r="F29" s="278"/>
      <c r="G29" s="278"/>
      <c r="H29" s="278"/>
      <c r="I29" s="278"/>
      <c r="J29" s="278"/>
      <c r="K29" s="278"/>
      <c r="L29" s="278"/>
      <c r="M29" s="278"/>
      <c r="N29" s="278"/>
      <c r="O29" s="278"/>
      <c r="P29" s="278">
        <f>SUM(P14:P28)</f>
        <v>13369241.234198701</v>
      </c>
      <c r="Q29" s="278"/>
      <c r="R29" s="278"/>
      <c r="S29" s="278"/>
      <c r="T29" s="278"/>
      <c r="U29" s="278"/>
      <c r="V29" s="278"/>
      <c r="W29" s="278"/>
      <c r="X29" s="278"/>
      <c r="Y29" s="278"/>
      <c r="Z29" s="278"/>
      <c r="AA29" s="278"/>
      <c r="AB29" s="278"/>
      <c r="AC29" s="278"/>
      <c r="AD29" s="278">
        <f>SUM(AD14:AD28)</f>
        <v>7836960.4775448013</v>
      </c>
      <c r="AE29" s="278"/>
      <c r="AF29" s="278"/>
      <c r="AG29" s="278"/>
      <c r="AH29" s="278"/>
      <c r="AI29" s="278"/>
      <c r="AJ29" s="278"/>
      <c r="AK29" s="278"/>
      <c r="AL29" s="278"/>
      <c r="AM29" s="278"/>
      <c r="AN29" s="278"/>
      <c r="AO29" s="278"/>
      <c r="AP29" s="278"/>
      <c r="AQ29" s="278"/>
      <c r="AR29" s="278">
        <f>SUM(AR14:AR28)</f>
        <v>3379018.6908392999</v>
      </c>
      <c r="AS29" s="278"/>
      <c r="AT29" s="278"/>
      <c r="AU29" s="278"/>
      <c r="AV29" s="278"/>
      <c r="AW29" s="278"/>
      <c r="AX29" s="278"/>
      <c r="AY29" s="278"/>
      <c r="AZ29" s="278"/>
      <c r="BA29" s="278"/>
      <c r="BB29" s="278"/>
      <c r="BC29" s="278"/>
      <c r="BD29" s="278"/>
      <c r="BE29" s="278"/>
      <c r="BF29" s="278"/>
      <c r="BG29" s="278"/>
      <c r="BH29" s="278"/>
      <c r="BI29" s="278"/>
      <c r="BJ29" s="278"/>
      <c r="BK29" s="278"/>
      <c r="BL29" s="278"/>
      <c r="BM29" s="278"/>
      <c r="BN29" s="278"/>
      <c r="BO29" s="278"/>
      <c r="BP29" s="278"/>
      <c r="BQ29" s="278"/>
      <c r="BR29" s="278"/>
      <c r="BS29" s="278"/>
      <c r="BT29" s="278"/>
      <c r="BU29" s="278"/>
      <c r="BV29" s="278"/>
      <c r="BW29" s="278"/>
      <c r="BX29" s="278"/>
      <c r="BY29" s="278"/>
      <c r="BZ29" s="278"/>
      <c r="CA29" s="278"/>
      <c r="CB29" s="278"/>
      <c r="CC29" s="278"/>
      <c r="CD29" s="278"/>
      <c r="CE29" s="278"/>
      <c r="CF29" s="278"/>
      <c r="CG29" s="278"/>
      <c r="CH29" s="278"/>
      <c r="CI29" s="278"/>
      <c r="CJ29" s="278"/>
      <c r="CK29" s="278"/>
      <c r="CL29" s="278"/>
      <c r="CM29" s="278"/>
      <c r="CN29" s="278"/>
      <c r="CO29" s="278"/>
      <c r="CP29" s="278"/>
      <c r="CQ29" s="278"/>
      <c r="CR29" s="278"/>
      <c r="CS29" s="278"/>
      <c r="CT29" s="278"/>
      <c r="CU29" s="278"/>
      <c r="CV29" s="278"/>
    </row>
    <row r="30" spans="1:100">
      <c r="AD30">
        <f>AD29+P29</f>
        <v>21206201.711743504</v>
      </c>
      <c r="AR30">
        <f>AR29+AD29+P29</f>
        <v>24585220.402582802</v>
      </c>
    </row>
    <row r="31" spans="1:100">
      <c r="B31" t="s">
        <v>505</v>
      </c>
      <c r="C31" t="s">
        <v>505</v>
      </c>
      <c r="D31" t="s">
        <v>505</v>
      </c>
      <c r="F31" t="s">
        <v>506</v>
      </c>
      <c r="G31" t="s">
        <v>506</v>
      </c>
      <c r="H31" t="s">
        <v>506</v>
      </c>
      <c r="J31" t="s">
        <v>507</v>
      </c>
      <c r="K31" t="s">
        <v>507</v>
      </c>
      <c r="L31" t="s">
        <v>507</v>
      </c>
    </row>
    <row r="32" spans="1:100">
      <c r="B32" t="s">
        <v>510</v>
      </c>
      <c r="C32" t="s">
        <v>511</v>
      </c>
      <c r="D32" t="s">
        <v>512</v>
      </c>
      <c r="F32" t="s">
        <v>514</v>
      </c>
      <c r="G32" t="s">
        <v>515</v>
      </c>
      <c r="H32" t="s">
        <v>516</v>
      </c>
      <c r="J32" t="s">
        <v>518</v>
      </c>
      <c r="K32" t="s">
        <v>519</v>
      </c>
      <c r="L32" t="s">
        <v>520</v>
      </c>
      <c r="P32" t="s">
        <v>505</v>
      </c>
      <c r="Q32" t="s">
        <v>506</v>
      </c>
      <c r="R32" t="s">
        <v>507</v>
      </c>
    </row>
    <row r="33" spans="1:21">
      <c r="A33" s="275" t="s">
        <v>78</v>
      </c>
      <c r="B33">
        <f t="array" ref="B33">SUM(IF($C$13:$CV$13=B$32,IF($A$14:$A$28=$A33,$C$14:$CV$28)))</f>
        <v>2808913.9341312996</v>
      </c>
      <c r="C33">
        <f t="array" ref="C33">SUM(IF($C$13:$CV$13=C$32,IF($A$14:$A$28=$A33,$C$14:$CV$28)))</f>
        <v>2442873.8185411999</v>
      </c>
      <c r="D33">
        <f t="array" ref="D33">SUM(IF($C$13:$CV$13=D$32,IF($A$14:$A$28=$A33,$C$14:$CV$28)))</f>
        <v>2428734.9810592998</v>
      </c>
      <c r="F33">
        <f t="array" ref="F33">SUM(IF($C$13:$CV$13=F$32,IF($A$14:$A$28=$A33,$C$14:$CV$28)))</f>
        <v>700839.76406980003</v>
      </c>
      <c r="G33">
        <f t="array" ref="G33">SUM(IF($C$13:$CV$13=G$32,IF($A$14:$A$28=$A33,$C$14:$CV$28)))</f>
        <v>363806.67836000008</v>
      </c>
      <c r="H33">
        <f t="array" ref="H33">SUM(IF($C$13:$CV$13=H$32,IF($A$14:$A$28=$A33,$C$14:$CV$28)))</f>
        <v>76533.211630000005</v>
      </c>
      <c r="J33">
        <f t="array" ref="J33">SUM(IF($C$13:$CV$13=J$32,IF($A$14:$A$28=$A33,$C$14:$CV$28)))</f>
        <v>331472.8739599</v>
      </c>
      <c r="K33">
        <f t="array" ref="K33">SUM(IF($C$13:$CV$13=K$32,IF($A$14:$A$28=$A33,$C$14:$CV$28)))</f>
        <v>179825.16546990001</v>
      </c>
      <c r="L33">
        <f t="array" ref="L33">SUM(IF($C$13:$CV$13=L$32,IF($A$14:$A$28=$A33,$C$14:$CV$28)))</f>
        <v>51029.163050000003</v>
      </c>
      <c r="P33" t="s">
        <v>513</v>
      </c>
      <c r="Q33" t="s">
        <v>517</v>
      </c>
      <c r="R33" t="s">
        <v>521</v>
      </c>
    </row>
    <row r="34" spans="1:21">
      <c r="A34" s="275" t="s">
        <v>79</v>
      </c>
      <c r="B34">
        <f t="array" ref="B34">SUM(IF($C$13:$CV$13=B$32,IF($A$14:$A$28=$A34,$C$14:$CV$28)))</f>
        <v>349585.69716999994</v>
      </c>
      <c r="C34">
        <f t="array" ref="C34">SUM(IF($C$13:$CV$13=C$32,IF($A$14:$A$28=$A34,$C$14:$CV$28)))</f>
        <v>361142.21258999995</v>
      </c>
      <c r="D34">
        <f t="array" ref="D34">SUM(IF($C$13:$CV$13=D$32,IF($A$14:$A$28=$A34,$C$14:$CV$28)))</f>
        <v>397019.96418000001</v>
      </c>
      <c r="F34">
        <f t="array" ref="F34">SUM(IF($C$13:$CV$13=F$32,IF($A$14:$A$28=$A34,$C$14:$CV$28)))</f>
        <v>53623.733689999979</v>
      </c>
      <c r="G34">
        <f t="array" ref="G34">SUM(IF($C$13:$CV$13=G$32,IF($A$14:$A$28=$A34,$C$14:$CV$28)))</f>
        <v>27656.098000000002</v>
      </c>
      <c r="H34">
        <f t="array" ref="H34">SUM(IF($C$13:$CV$13=H$32,IF($A$14:$A$28=$A34,$C$14:$CV$28)))</f>
        <v>6719.1037499999984</v>
      </c>
      <c r="J34">
        <f t="array" ref="J34">SUM(IF($C$13:$CV$13=J$32,IF($A$14:$A$28=$A34,$C$14:$CV$28)))</f>
        <v>40647.378649999999</v>
      </c>
      <c r="K34">
        <f t="array" ref="K34">SUM(IF($C$13:$CV$13=K$32,IF($A$14:$A$28=$A34,$C$14:$CV$28)))</f>
        <v>19801.124110000004</v>
      </c>
      <c r="L34">
        <f t="array" ref="L34">SUM(IF($C$13:$CV$13=L$32,IF($A$14:$A$28=$A34,$C$14:$CV$28)))</f>
        <v>5965.8077200000007</v>
      </c>
      <c r="P34">
        <f t="array" ref="P34">SUM(IF($C$13:$CV$13=P$33,IF($A$14:$A$28=$A33,$C$14:$CV$28)))</f>
        <v>7680522.7337319003</v>
      </c>
      <c r="Q34">
        <f t="array" ref="Q34">SUM(IF($C$13:$CV$13=Q$33,IF($A$14:$A$28=$A33,$C$14:$CV$28)))</f>
        <v>1079767.4765997999</v>
      </c>
      <c r="R34">
        <f t="array" ref="R34">SUM(IF($C$13:$CV$13=R$33,IF($A$14:$A$28=$A33,$C$14:$CV$28)))</f>
        <v>623739.37993970001</v>
      </c>
    </row>
    <row r="35" spans="1:21">
      <c r="A35" s="280" t="s">
        <v>458</v>
      </c>
      <c r="B35">
        <f t="array" ref="B35">SUM(IF($C$13:$CV$13=B$32,IF($A$14:$A$28=$A35,$C$14:$CV$28)))</f>
        <v>113110.73303999999</v>
      </c>
      <c r="C35">
        <f t="array" ref="C35">SUM(IF($C$13:$CV$13=C$32,IF($A$14:$A$28=$A35,$C$14:$CV$28)))</f>
        <v>119902.4587</v>
      </c>
      <c r="D35">
        <f t="array" ref="D35">SUM(IF($C$13:$CV$13=D$32,IF($A$14:$A$28=$A35,$C$14:$CV$28)))</f>
        <v>314263.13432999991</v>
      </c>
      <c r="E35" s="281"/>
      <c r="F35">
        <f t="array" ref="F35">SUM(IF($C$13:$CV$13=F$32,IF($A$14:$A$28=$A35,$C$14:$CV$28)))</f>
        <v>10920.28167</v>
      </c>
      <c r="G35">
        <f t="array" ref="G35">SUM(IF($C$13:$CV$13=G$32,IF($A$14:$A$28=$A35,$C$14:$CV$28)))</f>
        <v>5824.076970000001</v>
      </c>
      <c r="H35">
        <f t="array" ref="H35">SUM(IF($C$13:$CV$13=H$32,IF($A$14:$A$28=$A35,$C$14:$CV$28)))</f>
        <v>2046.9330199999997</v>
      </c>
      <c r="I35" s="281"/>
      <c r="J35">
        <f t="array" ref="J35">SUM(IF($C$13:$CV$13=J$32,IF($A$14:$A$28=$A35,$C$14:$CV$28)))</f>
        <v>3808.5632000000001</v>
      </c>
      <c r="K35">
        <f t="array" ref="K35">SUM(IF($C$13:$CV$13=K$32,IF($A$14:$A$28=$A35,$C$14:$CV$28)))</f>
        <v>2057.3108499999998</v>
      </c>
      <c r="L35">
        <f t="array" ref="L35">SUM(IF($C$13:$CV$13=L$32,IF($A$14:$A$28=$A35,$C$14:$CV$28)))</f>
        <v>1122.91563</v>
      </c>
      <c r="P35">
        <f t="array" ref="P35">SUM(IF($C$13:$CV$13=P$33,IF($A$14:$A$28=$A37,$C$14:$CV$28)))</f>
        <v>228641.62985999999</v>
      </c>
      <c r="Q35">
        <f t="array" ref="Q35">SUM(IF($C$13:$CV$13=Q$33,IF($A$14:$A$28=$A37,$C$14:$CV$28)))</f>
        <v>419125.52236990002</v>
      </c>
      <c r="R35">
        <f t="array" ref="R35">SUM(IF($C$13:$CV$13=R$33,IF($A$14:$A$28=$A37,$C$14:$CV$28)))</f>
        <v>492149.30671969999</v>
      </c>
    </row>
    <row r="36" spans="1:21" s="281" customFormat="1">
      <c r="A36" s="280" t="s">
        <v>508</v>
      </c>
      <c r="B36">
        <f t="array" ref="B36">SUM(IF($C$13:$CV$13=B$32,IF($A$14:$A$28=$A36,$C$14:$CV$28)))</f>
        <v>517599.86504</v>
      </c>
      <c r="C36">
        <f t="array" ref="C36">SUM(IF($C$13:$CV$13=C$32,IF($A$14:$A$28=$A36,$C$14:$CV$28)))</f>
        <v>373828.93987</v>
      </c>
      <c r="D36">
        <f t="array" ref="D36">SUM(IF($C$13:$CV$13=D$32,IF($A$14:$A$28=$A36,$C$14:$CV$28)))</f>
        <v>70754.479289999974</v>
      </c>
      <c r="F36">
        <f t="array" ref="F36">SUM(IF($C$13:$CV$13=F$32,IF($A$14:$A$28=$A36,$C$14:$CV$28)))</f>
        <v>558367.68691000016</v>
      </c>
      <c r="G36">
        <f t="array" ref="G36">SUM(IF($C$13:$CV$13=G$32,IF($A$14:$A$28=$A36,$C$14:$CV$28)))</f>
        <v>274996.69072999991</v>
      </c>
      <c r="H36">
        <f t="array" ref="H36">SUM(IF($C$13:$CV$13=H$32,IF($A$14:$A$28=$A36,$C$14:$CV$28)))</f>
        <v>29978.59567000001</v>
      </c>
      <c r="J36">
        <f t="array" ref="J36">SUM(IF($C$13:$CV$13=J$32,IF($A$14:$A$28=$A36,$C$14:$CV$28)))</f>
        <v>96272.62513</v>
      </c>
      <c r="K36">
        <f t="array" ref="K36">SUM(IF($C$13:$CV$13=K$32,IF($A$14:$A$28=$A36,$C$14:$CV$28)))</f>
        <v>48355.614489999993</v>
      </c>
      <c r="L36">
        <f t="array" ref="L36">SUM(IF($C$13:$CV$13=L$32,IF($A$14:$A$28=$A36,$C$14:$CV$28)))</f>
        <v>7017.2825399999992</v>
      </c>
      <c r="P36">
        <f t="array" ref="P36">SUM(IF($C$13:$CV$13=P$33,IF($A$14:$A$28=$A34,$C$14:$CV$28)))</f>
        <v>1107747.8739400001</v>
      </c>
      <c r="Q36">
        <f t="array" ref="Q36">SUM(IF($C$13:$CV$13=Q$33,IF($A$14:$A$28=$A34,$C$14:$CV$28)))</f>
        <v>83495.386759999994</v>
      </c>
      <c r="R36">
        <f t="array" ref="R36">SUM(IF($C$13:$CV$13=R$33,IF($A$14:$A$28=$A34,$C$14:$CV$28)))</f>
        <v>70917.859159999993</v>
      </c>
    </row>
    <row r="37" spans="1:21" s="281" customFormat="1">
      <c r="A37" s="275" t="s">
        <v>504</v>
      </c>
      <c r="B37">
        <f t="array" ref="B37">SUM(IF($C$13:$CV$13=B$32,IF($A$14:$A$28=$A37,$C$14:$CV$28)))</f>
        <v>124991.09385</v>
      </c>
      <c r="C37">
        <f t="array" ref="C37">SUM(IF($C$13:$CV$13=C$32,IF($A$14:$A$28=$A37,$C$14:$CV$28)))</f>
        <v>80149.682050000003</v>
      </c>
      <c r="D37">
        <f t="array" ref="D37">SUM(IF($C$13:$CV$13=D$32,IF($A$14:$A$28=$A37,$C$14:$CV$28)))</f>
        <v>23500.85396</v>
      </c>
      <c r="E37"/>
      <c r="F37">
        <f t="array" ref="F37">SUM(IF($C$13:$CV$13=F$32,IF($A$14:$A$28=$A37,$C$14:$CV$28)))</f>
        <v>296117.44735000003</v>
      </c>
      <c r="G37">
        <f t="array" ref="G37">SUM(IF($C$13:$CV$13=G$32,IF($A$14:$A$28=$A37,$C$14:$CV$28)))</f>
        <v>133122.73269999999</v>
      </c>
      <c r="H37">
        <f t="array" ref="H37">SUM(IF($C$13:$CV$13=H$32,IF($A$14:$A$28=$A37,$C$14:$CV$28)))</f>
        <v>15394.724949999996</v>
      </c>
      <c r="I37"/>
      <c r="J37">
        <f t="array" ref="J37">SUM(IF($C$13:$CV$13=J$32,IF($A$14:$A$28=$A37,$C$14:$CV$28)))</f>
        <v>303193.81331990001</v>
      </c>
      <c r="K37">
        <f t="array" ref="K37">SUM(IF($C$13:$CV$13=K$32,IF($A$14:$A$28=$A37,$C$14:$CV$28)))</f>
        <v>146938.52568989998</v>
      </c>
      <c r="L37">
        <f t="array" ref="L37">SUM(IF($C$13:$CV$13=L$32,IF($A$14:$A$28=$A37,$C$14:$CV$28)))</f>
        <v>16507.585080000001</v>
      </c>
      <c r="P37">
        <f t="array" ref="P37">SUM(IF($C$13:$CV$13=P$33,IF($A$14:$A$28=$A35,$C$14:$CV$28)))</f>
        <v>547276.32607000007</v>
      </c>
      <c r="Q37">
        <f t="array" ref="Q37">SUM(IF($C$13:$CV$13=Q$33,IF($A$14:$A$28=$A35,$C$14:$CV$28)))</f>
        <v>17751.370750000002</v>
      </c>
      <c r="R37">
        <f t="array" ref="R37">SUM(IF($C$13:$CV$13=R$33,IF($A$14:$A$28=$A35,$C$14:$CV$28)))</f>
        <v>8028.7105900000006</v>
      </c>
    </row>
    <row r="38" spans="1:21" s="281" customFormat="1">
      <c r="A38" s="280" t="s">
        <v>509</v>
      </c>
      <c r="B38">
        <f t="array" ref="B38">SUM(IF($C$13:$CV$13=B$32,IF($A$14:$A$28=$A38,$C$14:$CV$28)))</f>
        <v>3948066.7081312998</v>
      </c>
      <c r="C38">
        <f t="array" ref="C38">SUM(IF($C$13:$CV$13=C$32,IF($A$14:$A$28=$A38,$C$14:$CV$28)))</f>
        <v>3406768.0490309997</v>
      </c>
      <c r="D38">
        <f t="array" ref="D38">SUM(IF($C$13:$CV$13=D$32,IF($A$14:$A$28=$A38,$C$14:$CV$28)))</f>
        <v>3248266.0987093002</v>
      </c>
      <c r="F38">
        <f t="array" ref="F38">SUM(IF($C$13:$CV$13=F$32,IF($A$14:$A$28=$A38,$C$14:$CV$28)))</f>
        <v>1636495.7988897995</v>
      </c>
      <c r="G38">
        <f t="array" ref="G38">SUM(IF($C$13:$CV$13=G$32,IF($A$14:$A$28=$A38,$C$14:$CV$28)))</f>
        <v>812804.36345989991</v>
      </c>
      <c r="H38">
        <f t="array" ref="H38">SUM(IF($C$13:$CV$13=H$32,IF($A$14:$A$28=$A38,$C$14:$CV$28)))</f>
        <v>131845.96426000001</v>
      </c>
      <c r="J38">
        <f t="array" ref="J38">SUM(IF($C$13:$CV$13=J$32,IF($A$14:$A$28=$A38,$C$14:$CV$28)))</f>
        <v>783332.71193960006</v>
      </c>
      <c r="K38">
        <f t="array" ref="K38">SUM(IF($C$13:$CV$13=K$32,IF($A$14:$A$28=$A38,$C$14:$CV$28)))</f>
        <v>400258.38760980003</v>
      </c>
      <c r="L38">
        <f t="array" ref="L38">SUM(IF($C$13:$CV$13=L$32,IF($A$14:$A$28=$A38,$C$14:$CV$28)))</f>
        <v>82323.408920000002</v>
      </c>
      <c r="P38">
        <f t="array" ref="P38">SUM(IF($C$13:$CV$13=P$33,IF($A$14:$A$28=$A36,$C$14:$CV$28)))</f>
        <v>962183.28419989988</v>
      </c>
      <c r="Q38">
        <f t="array" ref="Q38">SUM(IF($C$13:$CV$13=Q$33,IF($A$14:$A$28=$A36,$C$14:$CV$28)))</f>
        <v>829120.02676989988</v>
      </c>
      <c r="R38">
        <f t="array" ref="R38">SUM(IF($C$13:$CV$13=R$33,IF($A$14:$A$28=$A36,$C$14:$CV$28)))</f>
        <v>185868.4687</v>
      </c>
    </row>
    <row r="39" spans="1:21" s="281" customFormat="1">
      <c r="A39" s="280" t="s">
        <v>158</v>
      </c>
      <c r="B39">
        <f t="array" ref="B39">SUM(IF($C$13:$CV$13=B$32,IF($A$14:$A$28=$A39,$C$14:$CV$28)))</f>
        <v>33865.384900000005</v>
      </c>
      <c r="C39">
        <f t="array" ref="C39">SUM(IF($C$13:$CV$13=C$32,IF($A$14:$A$28=$A39,$C$14:$CV$28)))</f>
        <v>28870.937280000002</v>
      </c>
      <c r="D39">
        <f t="array" ref="D39">SUM(IF($C$13:$CV$13=D$32,IF($A$14:$A$28=$A39,$C$14:$CV$28)))</f>
        <v>13992.685890000002</v>
      </c>
      <c r="F39">
        <f t="array" ref="F39">SUM(IF($C$13:$CV$13=F$32,IF($A$14:$A$28=$A39,$C$14:$CV$28)))</f>
        <v>16626.885200000001</v>
      </c>
      <c r="G39">
        <f t="array" ref="G39">SUM(IF($C$13:$CV$13=G$32,IF($A$14:$A$28=$A39,$C$14:$CV$28)))</f>
        <v>7398.0866999999998</v>
      </c>
      <c r="H39">
        <f t="array" ref="H39">SUM(IF($C$13:$CV$13=H$32,IF($A$14:$A$28=$A39,$C$14:$CV$28)))</f>
        <v>1173.3952400000001</v>
      </c>
      <c r="J39">
        <f t="array" ref="J39">SUM(IF($C$13:$CV$13=J$32,IF($A$14:$A$28=$A39,$C$14:$CV$28)))</f>
        <v>7937.4576799999995</v>
      </c>
      <c r="K39">
        <f t="array" ref="K39">SUM(IF($C$13:$CV$13=K$32,IF($A$14:$A$28=$A39,$C$14:$CV$28)))</f>
        <v>3280.6469999999999</v>
      </c>
      <c r="L39">
        <f t="array" ref="L39">SUM(IF($C$13:$CV$13=L$32,IF($A$14:$A$28=$A39,$C$14:$CV$28)))</f>
        <v>680.65490000000011</v>
      </c>
      <c r="O39" s="281">
        <f>SUM(B33:M38)</f>
        <v>28786496.847111896</v>
      </c>
      <c r="P39">
        <f t="array" ref="P39">SUM(IF($C$13:$CV$13=P$33,IF($A$14:$A$28=$A39,$C$14:$CV$28)))</f>
        <v>76729.008069999996</v>
      </c>
      <c r="Q39">
        <f t="array" ref="Q39">SUM(IF($C$13:$CV$13=Q$33,IF($A$14:$A$28=$A39,$C$14:$CV$28)))</f>
        <v>24062.682810000002</v>
      </c>
      <c r="R39">
        <f t="array" ref="R39">SUM(IF($C$13:$CV$13=R$33,IF($A$14:$A$28=$A39,$C$14:$CV$28)))</f>
        <v>13034.44391</v>
      </c>
    </row>
    <row r="40" spans="1:21">
      <c r="O40">
        <f>SUM(M39:M39)</f>
        <v>0</v>
      </c>
      <c r="P40">
        <f t="array" ref="P40">SUM(IF($C$13:$CV$13=P$33,IF($A$14:$A$28=$A38,$C$14:$CV$28)))</f>
        <v>10603100.8558717</v>
      </c>
      <c r="Q40">
        <f t="array" ref="Q40">SUM(IF($C$13:$CV$13=Q$33,IF($A$14:$A$28=$A38,$C$14:$CV$28)))</f>
        <v>2453322.4660596</v>
      </c>
      <c r="R40">
        <f t="array" ref="R40">SUM(IF($C$13:$CV$13=R$33,IF($A$14:$A$28=$A38,$C$14:$CV$28)))</f>
        <v>1393738.1690193999</v>
      </c>
    </row>
    <row r="41" spans="1:21">
      <c r="P41">
        <f>SUM(P34:P40)</f>
        <v>21206201.711743496</v>
      </c>
      <c r="Q41">
        <f>SUM(Q34:Q40)</f>
        <v>4906644.9321192</v>
      </c>
      <c r="R41">
        <f>SUM(R34:R40)</f>
        <v>2787476.3380387998</v>
      </c>
    </row>
    <row r="42" spans="1:21">
      <c r="A42" s="280" t="s">
        <v>528</v>
      </c>
      <c r="P42" t="str">
        <f>P33</f>
        <v>pT</v>
      </c>
      <c r="Q42" t="str">
        <f>Q33</f>
        <v>sT</v>
      </c>
      <c r="R42" t="str">
        <f>R33</f>
        <v>nT</v>
      </c>
    </row>
    <row r="43" spans="1:21">
      <c r="B43" t="str">
        <f>B32</f>
        <v>pl</v>
      </c>
      <c r="C43" t="str">
        <f>C32</f>
        <v>pm</v>
      </c>
      <c r="D43" t="str">
        <f>D32</f>
        <v>ph</v>
      </c>
      <c r="F43" t="str">
        <f>F32</f>
        <v>sl</v>
      </c>
      <c r="G43" t="str">
        <f>G32</f>
        <v>sm</v>
      </c>
      <c r="H43" t="str">
        <f>H32</f>
        <v>sh</v>
      </c>
      <c r="J43" t="str">
        <f>J32</f>
        <v>nl</v>
      </c>
      <c r="K43" t="str">
        <f>K32</f>
        <v>nm</v>
      </c>
      <c r="L43" t="str">
        <f>L32</f>
        <v>nh</v>
      </c>
      <c r="P43" s="50">
        <f t="shared" ref="P43:R48" si="2">P34/P$40</f>
        <v>0.72436571509914882</v>
      </c>
      <c r="Q43" s="50">
        <f t="shared" si="2"/>
        <v>0.44012456231816388</v>
      </c>
      <c r="R43" s="50">
        <f t="shared" si="2"/>
        <v>0.44752981141253223</v>
      </c>
    </row>
    <row r="44" spans="1:21">
      <c r="A44" s="280" t="s">
        <v>27</v>
      </c>
      <c r="B44" s="50">
        <f>B38/($B$38+$F$38+$J$38)</f>
        <v>0.61999555149333341</v>
      </c>
      <c r="C44" s="50">
        <f>C38/($C$38+$G$38+$K$38)</f>
        <v>0.73742268850121984</v>
      </c>
      <c r="D44" s="50">
        <f>D38/($D$38+$H$38+$L$38)</f>
        <v>0.93814487665725743</v>
      </c>
      <c r="F44" s="50">
        <f>F38/($B$38+$F$38+$J$38)</f>
        <v>0.25699163422429727</v>
      </c>
      <c r="G44" s="50">
        <f>G38/($C$38+$G$38+$K$38)</f>
        <v>0.17593812384691296</v>
      </c>
      <c r="H44" s="50">
        <f>H38/($D$38+$H$38+$L$38)</f>
        <v>3.8078966476177367E-2</v>
      </c>
      <c r="J44" s="50">
        <f>J38/($B$38+$F$38+$J$38)</f>
        <v>0.12301281428236932</v>
      </c>
      <c r="K44" s="50">
        <f>K38/($C$38+$G$38+$K$38)</f>
        <v>8.6639187651867136E-2</v>
      </c>
      <c r="L44" s="50">
        <f>L38/($D$38+$H$38+$L$38)</f>
        <v>2.3776156866565288E-2</v>
      </c>
      <c r="P44" s="50">
        <f t="shared" si="2"/>
        <v>2.1563656987510844E-2</v>
      </c>
      <c r="Q44" s="50">
        <f t="shared" si="2"/>
        <v>0.1708399642396288</v>
      </c>
      <c r="R44" s="50">
        <f t="shared" si="2"/>
        <v>0.35311460764970237</v>
      </c>
      <c r="U44" s="12"/>
    </row>
    <row r="45" spans="1:21">
      <c r="A45" s="280"/>
      <c r="P45" s="50">
        <f t="shared" si="2"/>
        <v>0.10447395427032653</v>
      </c>
      <c r="Q45" s="50">
        <f t="shared" si="2"/>
        <v>3.4033596445275281E-2</v>
      </c>
      <c r="R45" s="50">
        <f t="shared" si="2"/>
        <v>5.0883200830968173E-2</v>
      </c>
    </row>
    <row r="46" spans="1:21">
      <c r="A46" s="280" t="s">
        <v>529</v>
      </c>
      <c r="B46" s="50">
        <f>B33/($B$38+$F$38+$J$38)</f>
        <v>0.44110555176341937</v>
      </c>
      <c r="C46" s="50">
        <f>C33/($C$33+$C$34+$C$35+$G$33+$G$34+$G$35+$K$33+$K$34+$K$35)</f>
        <v>0.69342913093678915</v>
      </c>
      <c r="D46" s="50">
        <f>D33/($D$33+$D$34+$D$35+$H$33+$H$34+$H$35+$L$33+$L$34+$L$35)</f>
        <v>0.73969328538307244</v>
      </c>
      <c r="E46" s="50"/>
      <c r="F46" s="50">
        <f>F33/($B$38+$F$38+$J$38)</f>
        <v>0.11005830654735296</v>
      </c>
      <c r="G46" s="50">
        <f>G33/($C$33+$C$34+$C$35+$G$33+$G$34+$G$35+$K$33+$K$34+$K$35)</f>
        <v>0.10326941444516535</v>
      </c>
      <c r="H46" s="50">
        <f>H33/($D$33+$D$34+$D$35+$H$33+$H$34+$H$35+$L$33+$L$34+$L$35)</f>
        <v>2.3308884334025434E-2</v>
      </c>
      <c r="I46" s="50"/>
      <c r="J46" s="50">
        <f>J33/($B$38+$F$38+$J$38)</f>
        <v>5.2053757570150391E-2</v>
      </c>
      <c r="K46" s="50">
        <f>K33/($C$33+$C$34+$C$35+$G$33+$G$34+$G$35+$K$33+$K$34+$K$35)</f>
        <v>5.1044801113313838E-2</v>
      </c>
      <c r="L46" s="50">
        <f>L33/($D$33+$D$34+$D$35+$H$33+$H$34+$H$35+$L$33+$L$34+$L$35)</f>
        <v>1.5541394825358833E-2</v>
      </c>
      <c r="N46" s="12">
        <f>C46+C47+C48+G46+G47+G48+K46+K47+K48</f>
        <v>1</v>
      </c>
      <c r="P46" s="50">
        <f t="shared" si="2"/>
        <v>5.1614743036885645E-2</v>
      </c>
      <c r="Q46" s="50">
        <f t="shared" si="2"/>
        <v>7.2356451284251019E-3</v>
      </c>
      <c r="R46" s="50">
        <f t="shared" si="2"/>
        <v>5.7605587394143083E-3</v>
      </c>
    </row>
    <row r="47" spans="1:21">
      <c r="A47" s="280" t="s">
        <v>530</v>
      </c>
      <c r="B47" s="50">
        <f>B34/($B$38+$F$38+$J$38)</f>
        <v>5.4898154751210813E-2</v>
      </c>
      <c r="C47" s="50">
        <f>C34/($C$33+$C$34+$C$35+$G$33+$G$34+$G$35+$K$33+$K$34+$K$35)</f>
        <v>0.10251308467926475</v>
      </c>
      <c r="D47" s="50">
        <f>D34/($D$33+$D$34+$D$35+$H$33+$H$34+$H$35+$L$33+$L$34+$L$35)</f>
        <v>0.12091603404949831</v>
      </c>
      <c r="E47" s="50"/>
      <c r="F47" s="50">
        <f>F34/($B$38+$F$38+$J$38)</f>
        <v>8.4209510122485766E-3</v>
      </c>
      <c r="G47" s="50">
        <f>G34/($C$33+$C$34+$C$35+$G$33+$G$34+$G$35+$K$33+$K$34+$K$35)</f>
        <v>7.8504030194628902E-3</v>
      </c>
      <c r="H47" s="50">
        <f>H34/($D$33+$D$34+$D$35+$H$33+$H$34+$H$35+$L$33+$L$34+$L$35)</f>
        <v>2.0463640398918734E-3</v>
      </c>
      <c r="I47" s="50"/>
      <c r="J47" s="50">
        <f>J34/($B$38+$F$38+$J$38)</f>
        <v>6.3831732860444327E-3</v>
      </c>
      <c r="K47" s="50">
        <f>K34/($C$33+$C$34+$C$35+$G$33+$G$34+$G$35+$K$33+$K$34+$K$35)</f>
        <v>5.6207063086738934E-3</v>
      </c>
      <c r="L47" s="50">
        <f>L34/($D$33+$D$34+$D$35+$H$33+$H$34+$H$35+$L$33+$L$34+$L$35)</f>
        <v>1.8169408958921538E-3</v>
      </c>
      <c r="P47" s="50">
        <f t="shared" si="2"/>
        <v>9.0745461849216474E-2</v>
      </c>
      <c r="Q47" s="50">
        <f t="shared" si="2"/>
        <v>0.33795802966806465</v>
      </c>
      <c r="R47" s="50">
        <f t="shared" si="2"/>
        <v>0.13335967460141562</v>
      </c>
    </row>
    <row r="48" spans="1:21">
      <c r="A48" s="280" t="s">
        <v>531</v>
      </c>
      <c r="B48" s="50">
        <f>B35/($B$38+$F$38+$J$38)</f>
        <v>1.7762656129015376E-2</v>
      </c>
      <c r="C48" s="50">
        <f>C35/($C$33+$C$34+$C$35+$G$33+$G$34+$G$35+$K$33+$K$34+$K$35)</f>
        <v>3.4035264982771769E-2</v>
      </c>
      <c r="D48" s="50">
        <f>D35/($D$33+$D$34+$D$35+$H$33+$H$34+$H$35+$L$33+$L$34+$L$35)</f>
        <v>9.5711690291524557E-2</v>
      </c>
      <c r="E48" s="50"/>
      <c r="F48" s="50">
        <f>F35/($B$38+$F$38+$J$38)</f>
        <v>1.7148965701389623E-3</v>
      </c>
      <c r="G48" s="50">
        <f>G35/($C$33+$C$34+$C$35+$G$33+$G$34+$G$35+$K$33+$K$34+$K$35)</f>
        <v>1.6532104937895535E-3</v>
      </c>
      <c r="H48" s="50">
        <f>H35/($D$33+$D$34+$D$35+$H$33+$H$34+$H$35+$L$33+$L$34+$L$35)</f>
        <v>6.2341203232578056E-4</v>
      </c>
      <c r="I48" s="50"/>
      <c r="J48" s="50">
        <f>J35/($B$38+$F$38+$J$38)</f>
        <v>5.9808823308835687E-4</v>
      </c>
      <c r="K48" s="50">
        <f>K35/($C$33+$C$34+$C$35+$G$33+$G$34+$G$35+$K$33+$K$34+$K$35)</f>
        <v>5.8398402076872025E-4</v>
      </c>
      <c r="L48" s="50">
        <f>L35/($D$33+$D$34+$D$35+$H$33+$H$34+$H$35+$L$33+$L$34+$L$35)</f>
        <v>3.4199414841072049E-4</v>
      </c>
      <c r="P48" s="50">
        <f t="shared" si="2"/>
        <v>7.2364687569212004E-3</v>
      </c>
      <c r="Q48" s="50">
        <f t="shared" si="2"/>
        <v>9.8082022004421787E-3</v>
      </c>
      <c r="R48" s="50">
        <f t="shared" si="2"/>
        <v>9.352146765967323E-3</v>
      </c>
    </row>
    <row r="49" spans="1:12">
      <c r="A49" s="280" t="s">
        <v>523</v>
      </c>
      <c r="B49" s="50">
        <f>B36/($B$38+$F$38+$J$38)</f>
        <v>8.1282723292748715E-2</v>
      </c>
      <c r="C49" s="50">
        <f>C36/($C$36+$C$37+$G$37+$G$36+$K$37+$K$36)</f>
        <v>0.35353858765530777</v>
      </c>
      <c r="D49" s="50">
        <f>D36/($D$36+$D$37+$H$37+$H$36+$L$37+$L$36)</f>
        <v>0.43366810991166177</v>
      </c>
      <c r="E49" s="50"/>
      <c r="F49" s="50">
        <f>F36/($B$38+$F$38+$J$38)</f>
        <v>8.7684810712248346E-2</v>
      </c>
      <c r="G49" s="50">
        <f>G36/($C$36+$C$37+$G$37+$G$36+$K$37+$K$36)</f>
        <v>0.26007066677175078</v>
      </c>
      <c r="H49" s="50">
        <f>H36/($D$36+$D$37+$H$37+$H$36+$L$37+$L$36)</f>
        <v>0.18374470496389173</v>
      </c>
      <c r="I49" s="50"/>
      <c r="J49" s="50">
        <f>J36/($B$38+$F$38+$J$38)</f>
        <v>1.5118437383100125E-2</v>
      </c>
      <c r="K49" s="50">
        <f>K36/($C$36+$C$37+$G$37+$G$36+$K$37+$K$36)</f>
        <v>4.573101177759048E-2</v>
      </c>
      <c r="L49" s="50">
        <f>L36/($D$36+$D$37+$H$37+$H$36+$L$37+$L$36)</f>
        <v>4.3010303889947629E-2</v>
      </c>
    </row>
    <row r="50" spans="1:12">
      <c r="A50" s="280" t="s">
        <v>522</v>
      </c>
      <c r="B50" s="50">
        <f>B37/($B$38+$F$38+$J$38)</f>
        <v>1.9628321376556779E-2</v>
      </c>
      <c r="C50" s="50">
        <f>C37/($C$36+$C$37+$G$37+$G$36+$K$37+$K$36)</f>
        <v>7.5799389428846509E-2</v>
      </c>
      <c r="D50" s="50">
        <f>D37/($D$36+$D$37+$H$37+$H$36+$L$37+$L$36)</f>
        <v>0.14404135286433534</v>
      </c>
      <c r="E50" s="50"/>
      <c r="F50" s="50">
        <f>F37/($B$38+$F$38+$J$38)</f>
        <v>4.6501620577596312E-2</v>
      </c>
      <c r="G50" s="50">
        <f>G37/($C$36+$C$37+$G$37+$G$36+$K$37+$K$36)</f>
        <v>0.12589721630417294</v>
      </c>
      <c r="H50" s="50">
        <f>H37/($D$36+$D$37+$H$37+$H$36+$L$37+$L$36)</f>
        <v>9.4357294953903728E-2</v>
      </c>
      <c r="I50" s="50"/>
      <c r="J50" s="50">
        <f>J37/($B$38+$F$38+$J$38)</f>
        <v>4.7612877237226917E-2</v>
      </c>
      <c r="K50" s="50">
        <f>K37/($C$36+$C$37+$G$37+$G$36+$K$37+$K$36)</f>
        <v>0.13896312806233141</v>
      </c>
      <c r="L50" s="50">
        <f>L37/($D$36+$D$37+$H$37+$H$36+$L$37+$L$36)</f>
        <v>0.10117823341625996</v>
      </c>
    </row>
    <row r="52" spans="1:12">
      <c r="A52" t="s">
        <v>524</v>
      </c>
      <c r="E52" t="s">
        <v>526</v>
      </c>
    </row>
    <row r="53" spans="1:12">
      <c r="A53" s="280" t="s">
        <v>529</v>
      </c>
      <c r="B53">
        <f>(E53+E55)/2*C53</f>
        <v>52.5</v>
      </c>
      <c r="C53">
        <v>0.7</v>
      </c>
      <c r="E53">
        <v>91</v>
      </c>
    </row>
    <row r="54" spans="1:12">
      <c r="A54" s="280" t="s">
        <v>530</v>
      </c>
      <c r="B54">
        <v>25</v>
      </c>
      <c r="E54">
        <v>25</v>
      </c>
    </row>
    <row r="55" spans="1:12">
      <c r="A55" s="280" t="s">
        <v>531</v>
      </c>
      <c r="B55">
        <f>E55/2+E54/2</f>
        <v>42</v>
      </c>
      <c r="E55">
        <v>59</v>
      </c>
    </row>
    <row r="56" spans="1:12">
      <c r="A56" s="280" t="s">
        <v>523</v>
      </c>
      <c r="B56">
        <v>2.7</v>
      </c>
      <c r="E56">
        <v>2.7</v>
      </c>
    </row>
    <row r="57" spans="1:12">
      <c r="A57" s="280" t="s">
        <v>522</v>
      </c>
      <c r="B57">
        <v>5.6</v>
      </c>
      <c r="E57">
        <v>5.6</v>
      </c>
    </row>
    <row r="58" spans="1:12">
      <c r="A58" t="s">
        <v>525</v>
      </c>
    </row>
    <row r="59" spans="1:12">
      <c r="B59" t="str">
        <f>B43</f>
        <v>pl</v>
      </c>
      <c r="C59" t="str">
        <f>C43</f>
        <v>pm</v>
      </c>
      <c r="D59" t="str">
        <f>D43</f>
        <v>ph</v>
      </c>
      <c r="F59" t="str">
        <f>F43</f>
        <v>sl</v>
      </c>
      <c r="G59" t="str">
        <f>G43</f>
        <v>sm</v>
      </c>
      <c r="H59" t="str">
        <f>H43</f>
        <v>sh</v>
      </c>
      <c r="J59" t="str">
        <f>J43</f>
        <v>nl</v>
      </c>
      <c r="K59" t="str">
        <f>K43</f>
        <v>nm</v>
      </c>
      <c r="L59" t="str">
        <f>L43</f>
        <v>nh</v>
      </c>
    </row>
    <row r="60" spans="1:12">
      <c r="A60" s="280" t="s">
        <v>529</v>
      </c>
      <c r="B60">
        <f>B56</f>
        <v>2.7</v>
      </c>
      <c r="C60">
        <f>B55</f>
        <v>42</v>
      </c>
      <c r="D60">
        <f>B53</f>
        <v>52.5</v>
      </c>
      <c r="F60">
        <f>B60</f>
        <v>2.7</v>
      </c>
      <c r="G60">
        <f>F60</f>
        <v>2.7</v>
      </c>
      <c r="H60">
        <f>G60</f>
        <v>2.7</v>
      </c>
      <c r="J60">
        <f>F60</f>
        <v>2.7</v>
      </c>
      <c r="K60">
        <f>J60</f>
        <v>2.7</v>
      </c>
      <c r="L60">
        <f>K60</f>
        <v>2.7</v>
      </c>
    </row>
    <row r="61" spans="1:12">
      <c r="A61" s="280" t="s">
        <v>530</v>
      </c>
      <c r="B61">
        <f>B60</f>
        <v>2.7</v>
      </c>
      <c r="C61">
        <f>B54</f>
        <v>25</v>
      </c>
      <c r="D61">
        <f>B54</f>
        <v>25</v>
      </c>
      <c r="F61">
        <f t="shared" ref="F61:F63" si="3">B61</f>
        <v>2.7</v>
      </c>
      <c r="G61">
        <f t="shared" ref="G61:H63" si="4">F61</f>
        <v>2.7</v>
      </c>
      <c r="H61">
        <f t="shared" si="4"/>
        <v>2.7</v>
      </c>
      <c r="J61">
        <f t="shared" ref="J61:J63" si="5">F61</f>
        <v>2.7</v>
      </c>
      <c r="K61">
        <f t="shared" ref="K61:L63" si="6">J61</f>
        <v>2.7</v>
      </c>
      <c r="L61">
        <f t="shared" si="6"/>
        <v>2.7</v>
      </c>
    </row>
    <row r="62" spans="1:12">
      <c r="A62" s="280" t="s">
        <v>531</v>
      </c>
      <c r="B62">
        <f>B64</f>
        <v>5.6</v>
      </c>
      <c r="C62">
        <f>C60/2+C61/2</f>
        <v>33.5</v>
      </c>
      <c r="D62">
        <f>B55</f>
        <v>42</v>
      </c>
      <c r="F62">
        <f t="shared" si="3"/>
        <v>5.6</v>
      </c>
      <c r="G62">
        <f t="shared" si="4"/>
        <v>5.6</v>
      </c>
      <c r="H62">
        <f t="shared" si="4"/>
        <v>5.6</v>
      </c>
      <c r="J62">
        <f t="shared" si="5"/>
        <v>5.6</v>
      </c>
      <c r="K62">
        <f t="shared" si="6"/>
        <v>5.6</v>
      </c>
      <c r="L62">
        <f t="shared" si="6"/>
        <v>5.6</v>
      </c>
    </row>
    <row r="63" spans="1:12">
      <c r="A63" s="280" t="s">
        <v>523</v>
      </c>
      <c r="B63">
        <f t="shared" ref="B63" si="7">B61</f>
        <v>2.7</v>
      </c>
      <c r="C63">
        <f>B56</f>
        <v>2.7</v>
      </c>
      <c r="D63">
        <f>B56</f>
        <v>2.7</v>
      </c>
      <c r="F63">
        <f t="shared" si="3"/>
        <v>2.7</v>
      </c>
      <c r="G63">
        <f t="shared" si="4"/>
        <v>2.7</v>
      </c>
      <c r="H63">
        <f t="shared" si="4"/>
        <v>2.7</v>
      </c>
      <c r="J63">
        <f t="shared" si="5"/>
        <v>2.7</v>
      </c>
      <c r="K63">
        <f t="shared" si="6"/>
        <v>2.7</v>
      </c>
      <c r="L63">
        <f t="shared" si="6"/>
        <v>2.7</v>
      </c>
    </row>
    <row r="64" spans="1:12">
      <c r="A64" s="280" t="s">
        <v>522</v>
      </c>
      <c r="B64">
        <f>B57</f>
        <v>5.6</v>
      </c>
      <c r="C64">
        <f>B57</f>
        <v>5.6</v>
      </c>
      <c r="D64">
        <f>B57</f>
        <v>5.6</v>
      </c>
      <c r="F64">
        <f>B64</f>
        <v>5.6</v>
      </c>
      <c r="G64">
        <f>F64</f>
        <v>5.6</v>
      </c>
      <c r="H64">
        <f>G64</f>
        <v>5.6</v>
      </c>
      <c r="J64">
        <f>F64</f>
        <v>5.6</v>
      </c>
      <c r="K64">
        <f>J64</f>
        <v>5.6</v>
      </c>
      <c r="L64">
        <f>K64</f>
        <v>5.6</v>
      </c>
    </row>
    <row r="65" spans="1:12">
      <c r="A65" t="s">
        <v>525</v>
      </c>
    </row>
    <row r="66" spans="1:12">
      <c r="B66" t="str">
        <f>B59</f>
        <v>pl</v>
      </c>
      <c r="C66" t="str">
        <f t="shared" ref="C66:D66" si="8">C59</f>
        <v>pm</v>
      </c>
      <c r="D66" t="str">
        <f t="shared" si="8"/>
        <v>ph</v>
      </c>
      <c r="F66" t="str">
        <f>F59</f>
        <v>sl</v>
      </c>
      <c r="G66" t="str">
        <f t="shared" ref="G66:H66" si="9">G59</f>
        <v>sm</v>
      </c>
      <c r="H66" t="str">
        <f t="shared" si="9"/>
        <v>sh</v>
      </c>
      <c r="J66" t="str">
        <f>J59</f>
        <v>nl</v>
      </c>
      <c r="K66" t="str">
        <f t="shared" ref="K66:L66" si="10">K59</f>
        <v>nm</v>
      </c>
      <c r="L66" t="str">
        <f t="shared" si="10"/>
        <v>nh</v>
      </c>
    </row>
    <row r="67" spans="1:12">
      <c r="A67" s="280" t="s">
        <v>529</v>
      </c>
      <c r="B67">
        <f t="shared" ref="B67:D71" si="11">B60*$D107</f>
        <v>9.4520151879631591</v>
      </c>
      <c r="C67">
        <f t="shared" si="11"/>
        <v>147.03134736831581</v>
      </c>
      <c r="D67">
        <f t="shared" si="11"/>
        <v>183.78918421039475</v>
      </c>
      <c r="F67">
        <f t="shared" ref="F67:H71" si="12">F60*$D107</f>
        <v>9.4520151879631591</v>
      </c>
      <c r="G67">
        <f t="shared" si="12"/>
        <v>9.4520151879631591</v>
      </c>
      <c r="H67">
        <f t="shared" si="12"/>
        <v>9.4520151879631591</v>
      </c>
      <c r="J67">
        <f t="shared" ref="J67:L71" si="13">J60*$D107</f>
        <v>9.4520151879631591</v>
      </c>
      <c r="K67">
        <f t="shared" si="13"/>
        <v>9.4520151879631591</v>
      </c>
      <c r="L67">
        <f t="shared" si="13"/>
        <v>9.4520151879631591</v>
      </c>
    </row>
    <row r="68" spans="1:12">
      <c r="A68" s="280" t="s">
        <v>530</v>
      </c>
      <c r="B68">
        <f t="shared" si="11"/>
        <v>6.6952855184763331</v>
      </c>
      <c r="C68">
        <f t="shared" si="11"/>
        <v>61.99338443033642</v>
      </c>
      <c r="D68">
        <f t="shared" si="11"/>
        <v>61.99338443033642</v>
      </c>
      <c r="F68">
        <f t="shared" si="12"/>
        <v>6.6952855184763331</v>
      </c>
      <c r="G68">
        <f t="shared" si="12"/>
        <v>6.6952855184763331</v>
      </c>
      <c r="H68">
        <f t="shared" si="12"/>
        <v>6.6952855184763331</v>
      </c>
      <c r="J68">
        <f t="shared" si="13"/>
        <v>6.6952855184763331</v>
      </c>
      <c r="K68">
        <f t="shared" si="13"/>
        <v>6.6952855184763331</v>
      </c>
      <c r="L68">
        <f t="shared" si="13"/>
        <v>6.6952855184763331</v>
      </c>
    </row>
    <row r="69" spans="1:12">
      <c r="A69" s="280" t="s">
        <v>531</v>
      </c>
      <c r="B69">
        <f t="shared" si="11"/>
        <v>15.985384909416068</v>
      </c>
      <c r="C69">
        <f t="shared" si="11"/>
        <v>95.626856154542551</v>
      </c>
      <c r="D69">
        <f t="shared" si="11"/>
        <v>119.89038682062051</v>
      </c>
      <c r="F69">
        <f t="shared" si="12"/>
        <v>15.985384909416068</v>
      </c>
      <c r="G69">
        <f t="shared" si="12"/>
        <v>15.985384909416068</v>
      </c>
      <c r="H69">
        <f t="shared" si="12"/>
        <v>15.985384909416068</v>
      </c>
      <c r="J69">
        <f t="shared" si="13"/>
        <v>15.985384909416068</v>
      </c>
      <c r="K69">
        <f t="shared" si="13"/>
        <v>15.985384909416068</v>
      </c>
      <c r="L69">
        <f t="shared" si="13"/>
        <v>15.985384909416068</v>
      </c>
    </row>
    <row r="70" spans="1:12">
      <c r="A70" s="280" t="s">
        <v>523</v>
      </c>
      <c r="B70">
        <f t="shared" si="11"/>
        <v>6.9191033000606179</v>
      </c>
      <c r="C70">
        <f t="shared" si="11"/>
        <v>6.9191033000606179</v>
      </c>
      <c r="D70">
        <f t="shared" si="11"/>
        <v>6.9191033000606179</v>
      </c>
      <c r="F70">
        <f t="shared" si="12"/>
        <v>6.9191033000606179</v>
      </c>
      <c r="G70">
        <f t="shared" si="12"/>
        <v>6.9191033000606179</v>
      </c>
      <c r="H70">
        <f t="shared" si="12"/>
        <v>6.9191033000606179</v>
      </c>
      <c r="J70">
        <f t="shared" si="13"/>
        <v>6.9191033000606179</v>
      </c>
      <c r="K70">
        <f t="shared" si="13"/>
        <v>6.9191033000606179</v>
      </c>
      <c r="L70">
        <f t="shared" si="13"/>
        <v>6.9191033000606179</v>
      </c>
    </row>
    <row r="71" spans="1:12">
      <c r="A71" s="280" t="s">
        <v>522</v>
      </c>
      <c r="B71">
        <f t="shared" si="11"/>
        <v>23.595145442117481</v>
      </c>
      <c r="C71">
        <f t="shared" si="11"/>
        <v>23.595145442117481</v>
      </c>
      <c r="D71">
        <f t="shared" si="11"/>
        <v>23.595145442117481</v>
      </c>
      <c r="F71">
        <f t="shared" si="12"/>
        <v>23.595145442117481</v>
      </c>
      <c r="G71">
        <f t="shared" si="12"/>
        <v>23.595145442117481</v>
      </c>
      <c r="H71">
        <f t="shared" si="12"/>
        <v>23.595145442117481</v>
      </c>
      <c r="J71">
        <f t="shared" si="13"/>
        <v>23.595145442117481</v>
      </c>
      <c r="K71">
        <f t="shared" si="13"/>
        <v>23.595145442117481</v>
      </c>
      <c r="L71">
        <f t="shared" si="13"/>
        <v>23.595145442117481</v>
      </c>
    </row>
    <row r="75" spans="1:12">
      <c r="A75" s="286" t="s">
        <v>54</v>
      </c>
      <c r="B75" s="287" t="s">
        <v>501</v>
      </c>
      <c r="C75" s="287" t="s">
        <v>502</v>
      </c>
      <c r="D75" s="287" t="s">
        <v>503</v>
      </c>
    </row>
    <row r="76" spans="1:12">
      <c r="A76" s="286" t="s">
        <v>527</v>
      </c>
      <c r="B76" s="283"/>
      <c r="C76" s="284">
        <f>SUMPRODUCT(C46:C48,C67:C69)+SUMPRODUCT(G46:G48,G67:G69)+SUMPRODUCT(K46:K48,K67:K69)</f>
        <v>113.15017353023923</v>
      </c>
      <c r="D76" s="284">
        <f>SUMPRODUCT(D46:D48,D67:D69)+SUMPRODUCT(H46:H48,H67:H69)+SUMPRODUCT(L46:L48,L67:L69)</f>
        <v>155.3270429890442</v>
      </c>
    </row>
    <row r="77" spans="1:12">
      <c r="A77" s="286" t="s">
        <v>36</v>
      </c>
      <c r="B77" s="285">
        <f>SUMPRODUCT(B46:B50,B67:B71)+SUMPRODUCT(F46:F50,F67:F71)+SUMPRODUCT(J46:J50,J67:J71)</f>
        <v>10.446703788026806</v>
      </c>
      <c r="C77" s="284">
        <f>SUMPRODUCT(C49:C50,C70:C71)+SUMPRODUCT(G49:G50,G70:G71)+SUMPRODUCT(K49:K50,K70:K71)</f>
        <v>12.599959376933761</v>
      </c>
      <c r="D77" s="284">
        <f>SUMPRODUCT(D49:D50,D70:D71)+SUMPRODUCT(H49:H50,H70:H71)+SUMPRODUCT(L49:L50,L70:L71)</f>
        <v>12.581901681995364</v>
      </c>
    </row>
    <row r="80" spans="1:12">
      <c r="A80" s="280" t="s">
        <v>532</v>
      </c>
    </row>
    <row r="81" spans="1:18" s="275" customFormat="1" ht="18" customHeight="1">
      <c r="A81" s="279" t="s">
        <v>461</v>
      </c>
    </row>
    <row r="82" spans="1:18" s="275" customFormat="1" ht="18" customHeight="1">
      <c r="A82" s="279" t="s">
        <v>534</v>
      </c>
    </row>
    <row r="83" spans="1:18" s="275" customFormat="1" ht="18" customHeight="1">
      <c r="A83" s="279" t="s">
        <v>463</v>
      </c>
    </row>
    <row r="84" spans="1:18" s="275" customFormat="1"/>
    <row r="85" spans="1:18" s="275" customFormat="1" ht="18" customHeight="1">
      <c r="A85" s="279" t="s">
        <v>464</v>
      </c>
    </row>
    <row r="86" spans="1:18" s="275" customFormat="1" ht="12.75" customHeight="1">
      <c r="A86" s="275" t="s">
        <v>465</v>
      </c>
      <c r="B86" s="275" t="s">
        <v>466</v>
      </c>
    </row>
    <row r="87" spans="1:18" s="275" customFormat="1"/>
    <row r="88" spans="1:18" s="275" customFormat="1" ht="26.25" customHeight="1">
      <c r="A88" s="609" t="s">
        <v>535</v>
      </c>
      <c r="B88" s="608"/>
      <c r="C88" s="274" t="s">
        <v>536</v>
      </c>
      <c r="D88" s="274" t="s">
        <v>537</v>
      </c>
      <c r="E88" s="274" t="s">
        <v>538</v>
      </c>
      <c r="F88" s="274" t="s">
        <v>539</v>
      </c>
      <c r="G88" s="274" t="s">
        <v>540</v>
      </c>
      <c r="H88" s="274" t="s">
        <v>541</v>
      </c>
      <c r="I88" s="274" t="s">
        <v>542</v>
      </c>
      <c r="J88" s="274" t="s">
        <v>543</v>
      </c>
      <c r="K88" s="274" t="s">
        <v>544</v>
      </c>
      <c r="L88" s="274">
        <v>12</v>
      </c>
      <c r="M88" s="274" t="s">
        <v>27</v>
      </c>
      <c r="O88" s="275" t="s">
        <v>546</v>
      </c>
      <c r="P88" s="275" t="s">
        <v>547</v>
      </c>
      <c r="R88" s="275" t="s">
        <v>596</v>
      </c>
    </row>
    <row r="89" spans="1:18" s="275" customFormat="1" ht="26.25" customHeight="1">
      <c r="B89" s="276" t="s">
        <v>488</v>
      </c>
    </row>
    <row r="90" spans="1:18" s="275" customFormat="1" ht="63.75">
      <c r="A90" s="275" t="str">
        <f t="shared" ref="A90:A102" si="14">IF(B90=B14,A14,"")</f>
        <v>L</v>
      </c>
      <c r="B90" s="277" t="s">
        <v>489</v>
      </c>
      <c r="C90" s="297">
        <v>2117696.0892588999</v>
      </c>
      <c r="D90" s="297">
        <v>1761331.8806296</v>
      </c>
      <c r="E90" s="297">
        <v>1467804.7678459999</v>
      </c>
      <c r="F90" s="297">
        <v>1471299.8148059</v>
      </c>
      <c r="G90" s="297">
        <v>987750.8621427</v>
      </c>
      <c r="H90" s="297">
        <v>627040.68597989995</v>
      </c>
      <c r="I90" s="297">
        <v>373027.53149109997</v>
      </c>
      <c r="J90" s="297">
        <v>228219.4482705</v>
      </c>
      <c r="K90" s="297">
        <v>138038.2597499</v>
      </c>
      <c r="L90" s="297">
        <v>211820.25014039999</v>
      </c>
      <c r="M90" s="297">
        <v>9384029.5903149992</v>
      </c>
      <c r="O90" s="298">
        <f>C90*C$88+D$88*D90+E90*E$88+F$88*F90+G90*G$88+H$88*H90+I90*I$88+J$88*J90+K90*K$88+L$88*L90</f>
        <v>32851107.485908199</v>
      </c>
      <c r="P90" s="298">
        <f>O90/(SUM(C90:L90))</f>
        <v>3.5007463659122808</v>
      </c>
      <c r="Q90" s="298">
        <f>SUM(C90:L90)</f>
        <v>9384029.5903149005</v>
      </c>
    </row>
    <row r="91" spans="1:18" s="275" customFormat="1" ht="51">
      <c r="A91" s="275" t="str">
        <f t="shared" si="14"/>
        <v>T</v>
      </c>
      <c r="B91" s="277" t="s">
        <v>490</v>
      </c>
      <c r="C91" s="297">
        <v>241513.3152601</v>
      </c>
      <c r="D91" s="297">
        <v>155108.4619699</v>
      </c>
      <c r="E91" s="297">
        <v>145990.6639599</v>
      </c>
      <c r="F91" s="297">
        <v>147918.62279990001</v>
      </c>
      <c r="G91" s="297">
        <v>127089.0013298</v>
      </c>
      <c r="H91" s="297">
        <v>101090.63813989999</v>
      </c>
      <c r="I91" s="297">
        <v>72848.727389899999</v>
      </c>
      <c r="J91" s="297">
        <v>51773.98429</v>
      </c>
      <c r="K91" s="297">
        <v>34516.525990000002</v>
      </c>
      <c r="L91" s="297">
        <v>62066.517820000001</v>
      </c>
      <c r="M91" s="297">
        <v>1139916.4589494001</v>
      </c>
      <c r="O91" s="298">
        <f t="shared" ref="O91:O103" si="15">C91*C$88+D$88*D91+E91*E$88+F$88*F91+G91*G$88+H$88*H91+I91*I$88+J$88*J91+K91*K$88+L$88*L91</f>
        <v>4802945.4715668997</v>
      </c>
      <c r="P91" s="298">
        <f t="shared" ref="P91:P103" si="16">O91/(SUM(C91:L91))</f>
        <v>4.2134188289495507</v>
      </c>
      <c r="Q91" s="298">
        <f t="shared" ref="Q91:Q103" si="17">SUM(C91:L91)</f>
        <v>1139916.4589494001</v>
      </c>
    </row>
    <row r="92" spans="1:18" s="275" customFormat="1" ht="25.5">
      <c r="A92" s="275" t="str">
        <f t="shared" si="14"/>
        <v>H</v>
      </c>
      <c r="B92" s="277" t="s">
        <v>491</v>
      </c>
      <c r="C92" s="297">
        <v>280347.08147989999</v>
      </c>
      <c r="D92" s="297">
        <v>176309.10764989999</v>
      </c>
      <c r="E92" s="297">
        <v>100483.28619</v>
      </c>
      <c r="F92" s="297">
        <v>71840.956030000001</v>
      </c>
      <c r="G92" s="297">
        <v>39325.433380000002</v>
      </c>
      <c r="H92" s="297">
        <v>22159.058290000001</v>
      </c>
      <c r="I92" s="297">
        <v>11687.029070000001</v>
      </c>
      <c r="J92" s="297">
        <v>6952.10862</v>
      </c>
      <c r="K92" s="297">
        <v>4239.45622</v>
      </c>
      <c r="L92" s="297">
        <v>6983.7521399999996</v>
      </c>
      <c r="M92" s="297">
        <v>720327.26906980004</v>
      </c>
      <c r="O92" s="298">
        <f t="shared" si="15"/>
        <v>1810746.7002197001</v>
      </c>
      <c r="P92" s="298">
        <f t="shared" si="16"/>
        <v>2.5137833564985277</v>
      </c>
      <c r="Q92" s="298">
        <f t="shared" si="17"/>
        <v>720327.26906980004</v>
      </c>
    </row>
    <row r="93" spans="1:18" s="275" customFormat="1" ht="25.5">
      <c r="A93" s="275" t="str">
        <f t="shared" si="14"/>
        <v>M</v>
      </c>
      <c r="B93" s="277" t="s">
        <v>492</v>
      </c>
      <c r="C93" s="297">
        <v>46197.766280000003</v>
      </c>
      <c r="D93" s="297">
        <v>46424.532319999998</v>
      </c>
      <c r="E93" s="297">
        <v>22955.751179999999</v>
      </c>
      <c r="F93" s="297">
        <v>18102.240430000002</v>
      </c>
      <c r="G93" s="297">
        <v>6892.6310400000002</v>
      </c>
      <c r="H93" s="297">
        <v>2851.3323999999998</v>
      </c>
      <c r="I93" s="297">
        <v>1269.9243799999999</v>
      </c>
      <c r="J93" s="297">
        <v>645.64400000000001</v>
      </c>
      <c r="K93" s="297">
        <v>398.78798999999998</v>
      </c>
      <c r="L93" s="297">
        <v>653.85799999999995</v>
      </c>
      <c r="M93" s="297">
        <v>146392.46802</v>
      </c>
      <c r="O93" s="298">
        <f t="shared" si="15"/>
        <v>357384.20634999999</v>
      </c>
      <c r="P93" s="298">
        <f t="shared" si="16"/>
        <v>2.4412745490510779</v>
      </c>
      <c r="Q93" s="298">
        <f t="shared" si="17"/>
        <v>146392.46802000006</v>
      </c>
    </row>
    <row r="94" spans="1:18" s="275" customFormat="1" ht="38.25">
      <c r="A94" s="275" t="str">
        <f t="shared" si="14"/>
        <v>M</v>
      </c>
      <c r="B94" s="277" t="s">
        <v>493</v>
      </c>
      <c r="C94" s="297">
        <v>71611.402000000002</v>
      </c>
      <c r="D94" s="297">
        <v>70762.417279999994</v>
      </c>
      <c r="E94" s="297">
        <v>33841.16244</v>
      </c>
      <c r="F94" s="297">
        <v>23097.285670000001</v>
      </c>
      <c r="G94" s="297">
        <v>8224.6480100000008</v>
      </c>
      <c r="H94" s="297">
        <v>3135.02412</v>
      </c>
      <c r="I94" s="297">
        <v>1191.8893800000001</v>
      </c>
      <c r="J94" s="297">
        <v>536.65828999999997</v>
      </c>
      <c r="K94" s="297">
        <v>261.38542000000001</v>
      </c>
      <c r="L94" s="297">
        <v>442.90109000000001</v>
      </c>
      <c r="M94" s="297">
        <v>213104.77369999999</v>
      </c>
      <c r="O94" s="298">
        <f t="shared" si="15"/>
        <v>487286.02516999998</v>
      </c>
      <c r="P94" s="298">
        <f t="shared" si="16"/>
        <v>2.2866030483952504</v>
      </c>
      <c r="Q94" s="298">
        <f t="shared" si="17"/>
        <v>213104.77369999999</v>
      </c>
    </row>
    <row r="95" spans="1:18" s="275" customFormat="1" ht="25.5">
      <c r="A95" s="275" t="str">
        <f t="shared" si="14"/>
        <v>M</v>
      </c>
      <c r="B95" s="277" t="s">
        <v>494</v>
      </c>
      <c r="C95" s="297">
        <v>40786.332490000001</v>
      </c>
      <c r="D95" s="297">
        <v>38925.058420000001</v>
      </c>
      <c r="E95" s="297">
        <v>33610.026080000003</v>
      </c>
      <c r="F95" s="297">
        <v>35017.449399999998</v>
      </c>
      <c r="G95" s="297">
        <v>24753.220669999999</v>
      </c>
      <c r="H95" s="297">
        <v>16211.617840000001</v>
      </c>
      <c r="I95" s="297">
        <v>9400.3388099999993</v>
      </c>
      <c r="J95" s="297">
        <v>5837.1505900000002</v>
      </c>
      <c r="K95" s="297">
        <v>3383.05438</v>
      </c>
      <c r="L95" s="297">
        <v>5634.9170100000001</v>
      </c>
      <c r="M95" s="297">
        <v>213559.16568999999</v>
      </c>
      <c r="O95" s="298">
        <f t="shared" si="15"/>
        <v>791138.20549000008</v>
      </c>
      <c r="P95" s="298">
        <f t="shared" si="16"/>
        <v>3.7045387536229994</v>
      </c>
      <c r="Q95" s="298">
        <f t="shared" si="17"/>
        <v>213559.16568999997</v>
      </c>
    </row>
    <row r="96" spans="1:18" s="275" customFormat="1" ht="25.5">
      <c r="A96" s="275" t="str">
        <f t="shared" si="14"/>
        <v>H</v>
      </c>
      <c r="B96" s="277" t="s">
        <v>495</v>
      </c>
      <c r="C96" s="297">
        <v>171886.92447</v>
      </c>
      <c r="D96" s="297">
        <v>91638.178480000002</v>
      </c>
      <c r="E96" s="297">
        <v>59455.290280000001</v>
      </c>
      <c r="F96" s="297">
        <v>40866.289270000001</v>
      </c>
      <c r="G96" s="297">
        <v>23211.800569999999</v>
      </c>
      <c r="H96" s="297">
        <v>13984.95829</v>
      </c>
      <c r="I96" s="297">
        <v>8222.8435599999993</v>
      </c>
      <c r="J96" s="297">
        <v>5060.3205099999996</v>
      </c>
      <c r="K96" s="297">
        <v>3206.8457600000002</v>
      </c>
      <c r="L96" s="297">
        <v>5315.6966300000004</v>
      </c>
      <c r="M96" s="297">
        <v>422849.14782000001</v>
      </c>
      <c r="O96" s="298">
        <f t="shared" si="15"/>
        <v>1087655.5023400001</v>
      </c>
      <c r="P96" s="298">
        <f t="shared" si="16"/>
        <v>2.5722069157462211</v>
      </c>
      <c r="Q96" s="298">
        <f t="shared" si="17"/>
        <v>422849.14782000001</v>
      </c>
    </row>
    <row r="97" spans="1:17" s="275" customFormat="1" ht="25.5">
      <c r="A97" s="275" t="str">
        <f t="shared" si="14"/>
        <v>S</v>
      </c>
      <c r="B97" s="277" t="s">
        <v>496</v>
      </c>
      <c r="C97" s="297">
        <v>290879.46746999997</v>
      </c>
      <c r="D97" s="297">
        <v>156833.38039999999</v>
      </c>
      <c r="E97" s="297">
        <v>108056.4612299</v>
      </c>
      <c r="F97" s="297">
        <v>72027.72077</v>
      </c>
      <c r="G97" s="297">
        <v>38954.994989999999</v>
      </c>
      <c r="H97" s="297">
        <v>21024.844980000002</v>
      </c>
      <c r="I97" s="297">
        <v>11001.758</v>
      </c>
      <c r="J97" s="297">
        <v>6055.6111199999996</v>
      </c>
      <c r="K97" s="297">
        <v>3325.4988199999998</v>
      </c>
      <c r="L97" s="297">
        <v>4795.9781800000001</v>
      </c>
      <c r="M97" s="297">
        <v>712955.71595980006</v>
      </c>
      <c r="O97" s="298">
        <f t="shared" si="15"/>
        <v>1750688.9623697</v>
      </c>
      <c r="P97" s="298">
        <f t="shared" si="16"/>
        <v>2.4555367509924935</v>
      </c>
      <c r="Q97" s="298">
        <f t="shared" si="17"/>
        <v>712955.71595990006</v>
      </c>
    </row>
    <row r="98" spans="1:17" s="275" customFormat="1" ht="76.5">
      <c r="A98" s="275" t="str">
        <f t="shared" si="14"/>
        <v>S</v>
      </c>
      <c r="B98" s="277" t="s">
        <v>497</v>
      </c>
      <c r="C98" s="297">
        <v>477548.07769160002</v>
      </c>
      <c r="D98" s="297">
        <v>259048.33690940001</v>
      </c>
      <c r="E98" s="297">
        <v>186813.04713980001</v>
      </c>
      <c r="F98" s="297">
        <v>139655.01778990001</v>
      </c>
      <c r="G98" s="297">
        <v>83098.603340000001</v>
      </c>
      <c r="H98" s="297">
        <v>47329.013149999999</v>
      </c>
      <c r="I98" s="297">
        <v>25043.634770000001</v>
      </c>
      <c r="J98" s="297">
        <v>13762.95686</v>
      </c>
      <c r="K98" s="297">
        <v>7555.5698199999997</v>
      </c>
      <c r="L98" s="297">
        <v>9922.3351399999992</v>
      </c>
      <c r="M98" s="297">
        <v>1249776.5926107999</v>
      </c>
      <c r="O98" s="298">
        <f t="shared" si="15"/>
        <v>3286648.3080194001</v>
      </c>
      <c r="P98" s="298">
        <f t="shared" si="16"/>
        <v>2.6297886577902783</v>
      </c>
      <c r="Q98" s="298">
        <f t="shared" si="17"/>
        <v>1249776.5926107001</v>
      </c>
    </row>
    <row r="99" spans="1:17" s="275" customFormat="1" ht="51">
      <c r="A99" s="275" t="str">
        <f t="shared" si="14"/>
        <v>H</v>
      </c>
      <c r="B99" s="277" t="s">
        <v>498</v>
      </c>
      <c r="C99" s="297">
        <v>65918.416970000006</v>
      </c>
      <c r="D99" s="297">
        <v>25455.51065</v>
      </c>
      <c r="E99" s="297">
        <v>12790.92643</v>
      </c>
      <c r="F99" s="297">
        <v>7489.2676300000003</v>
      </c>
      <c r="G99" s="297">
        <v>3448.0245500000001</v>
      </c>
      <c r="H99" s="297">
        <v>1751.81709</v>
      </c>
      <c r="I99" s="297">
        <v>845.42336999999998</v>
      </c>
      <c r="J99" s="297">
        <v>489.32170000000002</v>
      </c>
      <c r="K99" s="297">
        <v>290.46913999999998</v>
      </c>
      <c r="L99" s="297">
        <v>505.52544</v>
      </c>
      <c r="M99" s="297">
        <v>118984.70297</v>
      </c>
      <c r="O99" s="298">
        <f t="shared" si="15"/>
        <v>231423.37810000006</v>
      </c>
      <c r="P99" s="298">
        <f t="shared" si="16"/>
        <v>1.9449842906138077</v>
      </c>
      <c r="Q99" s="298">
        <f t="shared" si="17"/>
        <v>118984.70297</v>
      </c>
    </row>
    <row r="100" spans="1:17" s="275" customFormat="1">
      <c r="A100" s="275" t="str">
        <f t="shared" si="14"/>
        <v>S</v>
      </c>
      <c r="B100" s="277" t="s">
        <v>499</v>
      </c>
      <c r="C100" s="297">
        <v>7922.9106700000002</v>
      </c>
      <c r="D100" s="297">
        <v>3017.44425</v>
      </c>
      <c r="E100" s="297">
        <v>1411.6330399999999</v>
      </c>
      <c r="F100" s="297">
        <v>929.12814000000003</v>
      </c>
      <c r="G100" s="297">
        <v>478.68360000000001</v>
      </c>
      <c r="H100" s="297">
        <v>282.42919999999998</v>
      </c>
      <c r="I100" s="297">
        <v>171.74651</v>
      </c>
      <c r="J100" s="297">
        <v>77.037499999999994</v>
      </c>
      <c r="K100" s="297">
        <v>57.698749999999997</v>
      </c>
      <c r="L100" s="297">
        <v>90.759439999999998</v>
      </c>
      <c r="M100" s="297">
        <v>14439.471100000001</v>
      </c>
      <c r="O100" s="298">
        <f t="shared" si="15"/>
        <v>29424.131649999999</v>
      </c>
      <c r="P100" s="298">
        <f t="shared" si="16"/>
        <v>2.0377568850149914</v>
      </c>
      <c r="Q100" s="298">
        <f t="shared" si="17"/>
        <v>14439.471100000002</v>
      </c>
    </row>
    <row r="101" spans="1:17" s="275" customFormat="1">
      <c r="A101" s="275" t="str">
        <f t="shared" si="14"/>
        <v>N</v>
      </c>
      <c r="B101" s="277" t="s">
        <v>41</v>
      </c>
      <c r="C101" s="297">
        <v>43125.106299999999</v>
      </c>
      <c r="D101" s="297">
        <v>22393.225979999999</v>
      </c>
      <c r="E101" s="297">
        <v>15326.556339999999</v>
      </c>
      <c r="F101" s="297">
        <v>12604.717850000001</v>
      </c>
      <c r="G101" s="297">
        <v>7892.8461100000004</v>
      </c>
      <c r="H101" s="297">
        <v>4959.1719800000001</v>
      </c>
      <c r="I101" s="297">
        <v>2891.12808</v>
      </c>
      <c r="J101" s="297">
        <v>1760.7888600000001</v>
      </c>
      <c r="K101" s="297">
        <v>1090.9084800000001</v>
      </c>
      <c r="L101" s="297">
        <v>1781.68481</v>
      </c>
      <c r="M101" s="297">
        <v>113826.13479</v>
      </c>
      <c r="O101" s="298">
        <f t="shared" si="15"/>
        <v>319051.96259000007</v>
      </c>
      <c r="P101" s="298">
        <f t="shared" si="16"/>
        <v>2.8029763391212845</v>
      </c>
      <c r="Q101" s="298">
        <f t="shared" si="17"/>
        <v>113826.13479</v>
      </c>
    </row>
    <row r="102" spans="1:17" s="275" customFormat="1">
      <c r="A102" s="275" t="str">
        <f t="shared" si="14"/>
        <v>N</v>
      </c>
      <c r="B102" s="277" t="s">
        <v>286</v>
      </c>
      <c r="C102" s="297">
        <v>0</v>
      </c>
      <c r="D102" s="297">
        <v>0</v>
      </c>
      <c r="E102" s="297">
        <v>0</v>
      </c>
      <c r="F102" s="297">
        <v>0</v>
      </c>
      <c r="G102" s="297">
        <v>0</v>
      </c>
      <c r="H102" s="297">
        <v>0</v>
      </c>
      <c r="I102" s="297">
        <v>0</v>
      </c>
      <c r="J102" s="297">
        <v>0</v>
      </c>
      <c r="K102" s="297">
        <v>0</v>
      </c>
      <c r="L102" s="297">
        <v>0</v>
      </c>
      <c r="M102" s="297">
        <v>0</v>
      </c>
      <c r="O102" s="298">
        <f t="shared" si="15"/>
        <v>0</v>
      </c>
      <c r="P102" s="298" t="e">
        <f t="shared" si="16"/>
        <v>#DIV/0!</v>
      </c>
      <c r="Q102" s="298">
        <f t="shared" si="17"/>
        <v>0</v>
      </c>
    </row>
    <row r="103" spans="1:17" s="275" customFormat="1">
      <c r="B103" s="277" t="s">
        <v>475</v>
      </c>
      <c r="C103" s="297">
        <v>0</v>
      </c>
      <c r="D103" s="297">
        <v>0</v>
      </c>
      <c r="E103" s="297">
        <v>0</v>
      </c>
      <c r="F103" s="297">
        <v>0</v>
      </c>
      <c r="G103" s="297">
        <v>0</v>
      </c>
      <c r="H103" s="297">
        <v>0</v>
      </c>
      <c r="I103" s="297">
        <v>0</v>
      </c>
      <c r="J103" s="297">
        <v>0</v>
      </c>
      <c r="K103" s="297">
        <v>0</v>
      </c>
      <c r="L103" s="297">
        <v>0</v>
      </c>
      <c r="M103" s="297">
        <v>0</v>
      </c>
      <c r="O103" s="298">
        <f t="shared" si="15"/>
        <v>0</v>
      </c>
      <c r="P103" s="298" t="e">
        <f t="shared" si="16"/>
        <v>#DIV/0!</v>
      </c>
      <c r="Q103" s="298">
        <f t="shared" si="17"/>
        <v>0</v>
      </c>
    </row>
    <row r="104" spans="1:17" s="275" customFormat="1">
      <c r="B104" s="277" t="s">
        <v>27</v>
      </c>
      <c r="C104" s="297">
        <v>3855432.8903403999</v>
      </c>
      <c r="D104" s="297">
        <v>2807247.5349388998</v>
      </c>
      <c r="E104" s="297">
        <v>2188539.5721555999</v>
      </c>
      <c r="F104" s="297">
        <v>2040848.5105856</v>
      </c>
      <c r="G104" s="297">
        <v>1351120.7497324999</v>
      </c>
      <c r="H104" s="297">
        <v>861820.59145980002</v>
      </c>
      <c r="I104" s="297">
        <v>517601.97481099999</v>
      </c>
      <c r="J104" s="297">
        <v>321171.03061050002</v>
      </c>
      <c r="K104" s="297">
        <v>196364.46051989999</v>
      </c>
      <c r="L104" s="297">
        <v>310014.17584039998</v>
      </c>
      <c r="M104" s="297">
        <v>14450161.490994601</v>
      </c>
    </row>
    <row r="106" spans="1:17">
      <c r="A106" s="74" t="s">
        <v>545</v>
      </c>
      <c r="B106" s="74" t="s">
        <v>550</v>
      </c>
      <c r="C106" s="74" t="s">
        <v>549</v>
      </c>
      <c r="D106" s="74" t="s">
        <v>548</v>
      </c>
    </row>
    <row r="107" spans="1:17">
      <c r="A107" s="282" t="s">
        <v>78</v>
      </c>
      <c r="B107" s="111">
        <f>SUMIF(A$90:A$104,A107,$Q$90:$Q$104)</f>
        <v>9384029.5903149005</v>
      </c>
      <c r="C107" s="111">
        <f>SUMIF(A$90:A$104,A107,$O$90:$O$104)</f>
        <v>32851107.485908199</v>
      </c>
      <c r="D107" s="18">
        <f>C107/B107</f>
        <v>3.5007463659122808</v>
      </c>
    </row>
    <row r="108" spans="1:17">
      <c r="A108" s="282" t="s">
        <v>79</v>
      </c>
      <c r="B108" s="111">
        <f t="shared" ref="B108:B111" si="18">SUMIF(A$90:A$104,A108,$Q$90:$Q$104)</f>
        <v>1262161.1198598</v>
      </c>
      <c r="C108" s="111">
        <f t="shared" ref="C108:C111" si="19">SUMIF(A$90:A$104,A108,$O$90:$O$104)</f>
        <v>3129825.5806597001</v>
      </c>
      <c r="D108" s="18">
        <f t="shared" ref="D108:D111" si="20">C108/B108</f>
        <v>2.4797353772134567</v>
      </c>
    </row>
    <row r="109" spans="1:17">
      <c r="A109" s="282" t="s">
        <v>458</v>
      </c>
      <c r="B109" s="111">
        <f t="shared" si="18"/>
        <v>573056.40740999999</v>
      </c>
      <c r="C109" s="111">
        <f t="shared" si="19"/>
        <v>1635808.43701</v>
      </c>
      <c r="D109" s="18">
        <f t="shared" si="20"/>
        <v>2.8545330195385836</v>
      </c>
    </row>
    <row r="110" spans="1:17">
      <c r="A110" s="282" t="s">
        <v>508</v>
      </c>
      <c r="B110" s="111">
        <f t="shared" si="18"/>
        <v>1977171.7796706001</v>
      </c>
      <c r="C110" s="111">
        <f t="shared" si="19"/>
        <v>5066761.4020391004</v>
      </c>
      <c r="D110" s="18">
        <f t="shared" si="20"/>
        <v>2.5626308518743026</v>
      </c>
    </row>
    <row r="111" spans="1:17">
      <c r="A111" s="282" t="s">
        <v>504</v>
      </c>
      <c r="B111" s="111">
        <f t="shared" si="18"/>
        <v>1139916.4589494001</v>
      </c>
      <c r="C111" s="111">
        <f t="shared" si="19"/>
        <v>4802945.4715668997</v>
      </c>
      <c r="D111" s="18">
        <f t="shared" si="20"/>
        <v>4.2134188289495507</v>
      </c>
    </row>
    <row r="115" spans="1:44" ht="63.75">
      <c r="A115" t="str">
        <f>A90</f>
        <v>L</v>
      </c>
      <c r="B115" s="277" t="s">
        <v>489</v>
      </c>
      <c r="C115" s="50">
        <f>C90/SUM($C90:$L90)</f>
        <v>0.22567022715321983</v>
      </c>
      <c r="D115" s="50">
        <f t="shared" ref="D115:L115" si="21">D90/SUM($C90:$L90)</f>
        <v>0.18769462134341958</v>
      </c>
      <c r="E115" s="50">
        <f t="shared" si="21"/>
        <v>0.15641518962822715</v>
      </c>
      <c r="F115" s="50">
        <f t="shared" si="21"/>
        <v>0.1567876359132972</v>
      </c>
      <c r="G115" s="50">
        <f t="shared" si="21"/>
        <v>0.10525871137087431</v>
      </c>
      <c r="H115" s="50">
        <f t="shared" si="21"/>
        <v>6.6819981751449098E-2</v>
      </c>
      <c r="I115" s="50">
        <f t="shared" si="21"/>
        <v>3.9751316627996934E-2</v>
      </c>
      <c r="J115" s="50">
        <f t="shared" si="21"/>
        <v>2.4319983869833642E-2</v>
      </c>
      <c r="K115" s="50">
        <f t="shared" si="21"/>
        <v>1.4709913094516131E-2</v>
      </c>
      <c r="L115" s="50">
        <f t="shared" si="21"/>
        <v>2.2572419247166069E-2</v>
      </c>
      <c r="M115" s="50"/>
    </row>
    <row r="116" spans="1:44" ht="51">
      <c r="A116" t="str">
        <f t="shared" ref="A116:A124" si="22">A91</f>
        <v>T</v>
      </c>
      <c r="B116" s="277" t="s">
        <v>490</v>
      </c>
      <c r="C116" s="50">
        <f t="shared" ref="C116:L116" si="23">C91/SUM($C91:$L91)</f>
        <v>0.21186931144295423</v>
      </c>
      <c r="D116" s="50">
        <f t="shared" si="23"/>
        <v>0.13607002579193844</v>
      </c>
      <c r="E116" s="50">
        <f t="shared" si="23"/>
        <v>0.12807137120772147</v>
      </c>
      <c r="F116" s="50">
        <f t="shared" si="23"/>
        <v>0.12976268711500899</v>
      </c>
      <c r="G116" s="50">
        <f t="shared" si="23"/>
        <v>0.111489750263744</v>
      </c>
      <c r="H116" s="50">
        <f t="shared" si="23"/>
        <v>8.868249716568688E-2</v>
      </c>
      <c r="I116" s="50">
        <f t="shared" si="23"/>
        <v>6.390707566152766E-2</v>
      </c>
      <c r="J116" s="50">
        <f t="shared" si="23"/>
        <v>4.5419104078659685E-2</v>
      </c>
      <c r="K116" s="50">
        <f t="shared" si="23"/>
        <v>3.0279873335465331E-2</v>
      </c>
      <c r="L116" s="50">
        <f t="shared" si="23"/>
        <v>5.4448303937293246E-2</v>
      </c>
    </row>
    <row r="117" spans="1:44" ht="25.5">
      <c r="A117" t="str">
        <f t="shared" si="22"/>
        <v>H</v>
      </c>
      <c r="B117" s="277" t="s">
        <v>491</v>
      </c>
      <c r="C117" s="50">
        <f t="shared" ref="C117:L117" si="24">C92/SUM($C92:$L92)</f>
        <v>0.38919404209412795</v>
      </c>
      <c r="D117" s="50">
        <f t="shared" si="24"/>
        <v>0.24476250618358245</v>
      </c>
      <c r="E117" s="50">
        <f t="shared" si="24"/>
        <v>0.1394967128202155</v>
      </c>
      <c r="F117" s="50">
        <f t="shared" si="24"/>
        <v>9.9733772570865395E-2</v>
      </c>
      <c r="G117" s="50">
        <f t="shared" si="24"/>
        <v>5.4593842366655355E-2</v>
      </c>
      <c r="H117" s="50">
        <f t="shared" si="24"/>
        <v>3.0762487054828931E-2</v>
      </c>
      <c r="I117" s="50">
        <f t="shared" si="24"/>
        <v>1.622461007909937E-2</v>
      </c>
      <c r="J117" s="50">
        <f t="shared" si="24"/>
        <v>9.6513195022835344E-3</v>
      </c>
      <c r="K117" s="50">
        <f t="shared" si="24"/>
        <v>5.8854584603948885E-3</v>
      </c>
      <c r="L117" s="50">
        <f t="shared" si="24"/>
        <v>9.6952488679465376E-3</v>
      </c>
    </row>
    <row r="118" spans="1:44" ht="25.5">
      <c r="A118" t="str">
        <f t="shared" si="22"/>
        <v>M</v>
      </c>
      <c r="B118" s="277" t="s">
        <v>492</v>
      </c>
      <c r="C118" s="50">
        <f t="shared" ref="C118:L118" si="25">C93/SUM($C93:$L93)</f>
        <v>0.31557474851567152</v>
      </c>
      <c r="D118" s="50">
        <f t="shared" si="25"/>
        <v>0.31712377657064639</v>
      </c>
      <c r="E118" s="50">
        <f t="shared" si="25"/>
        <v>0.15680964663334862</v>
      </c>
      <c r="F118" s="50">
        <f t="shared" si="25"/>
        <v>0.12365554508942962</v>
      </c>
      <c r="G118" s="50">
        <f t="shared" si="25"/>
        <v>4.7083235450735984E-2</v>
      </c>
      <c r="H118" s="50">
        <f t="shared" si="25"/>
        <v>1.9477316275660114E-2</v>
      </c>
      <c r="I118" s="50">
        <f t="shared" si="25"/>
        <v>8.6747931582552701E-3</v>
      </c>
      <c r="J118" s="50">
        <f t="shared" si="25"/>
        <v>4.4103635161871334E-3</v>
      </c>
      <c r="K118" s="50">
        <f t="shared" si="25"/>
        <v>2.7241018297848342E-3</v>
      </c>
      <c r="L118" s="50">
        <f t="shared" si="25"/>
        <v>4.4664729602801028E-3</v>
      </c>
    </row>
    <row r="119" spans="1:44" ht="38.25">
      <c r="A119" t="str">
        <f t="shared" si="22"/>
        <v>M</v>
      </c>
      <c r="B119" s="277" t="s">
        <v>493</v>
      </c>
      <c r="C119" s="50">
        <f t="shared" ref="C119:L119" si="26">C94/SUM($C94:$L94)</f>
        <v>0.3360384695127081</v>
      </c>
      <c r="D119" s="50">
        <f t="shared" si="26"/>
        <v>0.33205458541072558</v>
      </c>
      <c r="E119" s="50">
        <f t="shared" si="26"/>
        <v>0.15880058363985866</v>
      </c>
      <c r="F119" s="50">
        <f t="shared" si="26"/>
        <v>0.10838464699301104</v>
      </c>
      <c r="G119" s="50">
        <f t="shared" si="26"/>
        <v>3.8594386541421721E-2</v>
      </c>
      <c r="H119" s="50">
        <f t="shared" si="26"/>
        <v>1.4711186734903256E-2</v>
      </c>
      <c r="I119" s="50">
        <f t="shared" si="26"/>
        <v>5.59297363126127E-3</v>
      </c>
      <c r="J119" s="50">
        <f t="shared" si="26"/>
        <v>2.518283756306112E-3</v>
      </c>
      <c r="K119" s="50">
        <f t="shared" si="26"/>
        <v>1.226558257995513E-3</v>
      </c>
      <c r="L119" s="50">
        <f t="shared" si="26"/>
        <v>2.078325521808806E-3</v>
      </c>
    </row>
    <row r="120" spans="1:44" ht="25.5">
      <c r="A120" t="str">
        <f t="shared" si="22"/>
        <v>M</v>
      </c>
      <c r="B120" s="277" t="s">
        <v>494</v>
      </c>
      <c r="C120" s="50">
        <f t="shared" ref="C120:L120" si="27">C95/SUM($C95:$L95)</f>
        <v>0.19098376020631666</v>
      </c>
      <c r="D120" s="50">
        <f t="shared" si="27"/>
        <v>0.18226826413296243</v>
      </c>
      <c r="E120" s="50">
        <f t="shared" si="27"/>
        <v>0.15738039606685827</v>
      </c>
      <c r="F120" s="50">
        <f t="shared" si="27"/>
        <v>0.1639707164375746</v>
      </c>
      <c r="G120" s="50">
        <f t="shared" si="27"/>
        <v>0.11590802291263626</v>
      </c>
      <c r="H120" s="50">
        <f t="shared" si="27"/>
        <v>7.5911599427826007E-2</v>
      </c>
      <c r="I120" s="50">
        <f t="shared" si="27"/>
        <v>4.401749173175467E-2</v>
      </c>
      <c r="J120" s="50">
        <f t="shared" si="27"/>
        <v>2.7332709280542617E-2</v>
      </c>
      <c r="K120" s="50">
        <f t="shared" si="27"/>
        <v>1.5841297979740203E-2</v>
      </c>
      <c r="L120" s="50">
        <f t="shared" si="27"/>
        <v>2.6385741823788451E-2</v>
      </c>
    </row>
    <row r="121" spans="1:44" ht="25.5">
      <c r="A121" t="str">
        <f t="shared" si="22"/>
        <v>H</v>
      </c>
      <c r="B121" s="277" t="s">
        <v>495</v>
      </c>
      <c r="C121" s="50">
        <f t="shared" ref="C121:L121" si="28">C96/SUM($C96:$L96)</f>
        <v>0.40649703412236615</v>
      </c>
      <c r="D121" s="50">
        <f t="shared" si="28"/>
        <v>0.21671600605663011</v>
      </c>
      <c r="E121" s="50">
        <f t="shared" si="28"/>
        <v>0.14060638548409501</v>
      </c>
      <c r="F121" s="50">
        <f t="shared" si="28"/>
        <v>9.6645078938165707E-2</v>
      </c>
      <c r="G121" s="50">
        <f t="shared" si="28"/>
        <v>5.4893809505513973E-2</v>
      </c>
      <c r="H121" s="50">
        <f t="shared" si="28"/>
        <v>3.3073161816925711E-2</v>
      </c>
      <c r="I121" s="50">
        <f t="shared" si="28"/>
        <v>1.9446281498716252E-2</v>
      </c>
      <c r="J121" s="50">
        <f t="shared" si="28"/>
        <v>1.1967200445096074E-2</v>
      </c>
      <c r="K121" s="50">
        <f t="shared" si="28"/>
        <v>7.5839002550505364E-3</v>
      </c>
      <c r="L121" s="50">
        <f t="shared" si="28"/>
        <v>1.2571141877440429E-2</v>
      </c>
    </row>
    <row r="122" spans="1:44" ht="25.5">
      <c r="A122" t="str">
        <f t="shared" si="22"/>
        <v>S</v>
      </c>
      <c r="B122" s="277" t="s">
        <v>496</v>
      </c>
      <c r="C122" s="50">
        <f t="shared" ref="C122:L122" si="29">C97/SUM($C97:$L97)</f>
        <v>0.40799093261826153</v>
      </c>
      <c r="D122" s="50">
        <f t="shared" si="29"/>
        <v>0.21997632796708097</v>
      </c>
      <c r="E122" s="50">
        <f t="shared" si="29"/>
        <v>0.15156125241862511</v>
      </c>
      <c r="F122" s="50">
        <f t="shared" si="29"/>
        <v>0.10102692096804954</v>
      </c>
      <c r="G122" s="50">
        <f t="shared" si="29"/>
        <v>5.4638730173517551E-2</v>
      </c>
      <c r="H122" s="50">
        <f t="shared" si="29"/>
        <v>2.9489692710707626E-2</v>
      </c>
      <c r="I122" s="50">
        <f t="shared" si="29"/>
        <v>1.5431194047147228E-2</v>
      </c>
      <c r="J122" s="50">
        <f t="shared" si="29"/>
        <v>8.4936707630528276E-3</v>
      </c>
      <c r="K122" s="50">
        <f t="shared" si="29"/>
        <v>4.6643834189935033E-3</v>
      </c>
      <c r="L122" s="50">
        <f t="shared" si="29"/>
        <v>6.726894914564018E-3</v>
      </c>
    </row>
    <row r="123" spans="1:44" ht="76.5">
      <c r="A123" t="str">
        <f t="shared" si="22"/>
        <v>S</v>
      </c>
      <c r="B123" s="277" t="s">
        <v>497</v>
      </c>
      <c r="C123" s="50">
        <f t="shared" ref="C123:L123" si="30">C98/SUM($C98:$L98)</f>
        <v>0.38210675453125098</v>
      </c>
      <c r="D123" s="50">
        <f t="shared" si="30"/>
        <v>0.207275715068615</v>
      </c>
      <c r="E123" s="50">
        <f t="shared" si="30"/>
        <v>0.14947715315227661</v>
      </c>
      <c r="F123" s="50">
        <f t="shared" si="30"/>
        <v>0.11174398577762605</v>
      </c>
      <c r="G123" s="50">
        <f t="shared" si="30"/>
        <v>6.6490766294808379E-2</v>
      </c>
      <c r="H123" s="50">
        <f t="shared" si="30"/>
        <v>3.7869978866489122E-2</v>
      </c>
      <c r="I123" s="50">
        <f t="shared" si="30"/>
        <v>2.0038489213248519E-2</v>
      </c>
      <c r="J123" s="50">
        <f t="shared" si="30"/>
        <v>1.101233367737357E-2</v>
      </c>
      <c r="K123" s="50">
        <f t="shared" si="30"/>
        <v>6.0455363499942955E-3</v>
      </c>
      <c r="L123" s="50">
        <f t="shared" si="30"/>
        <v>7.9392870683174677E-3</v>
      </c>
    </row>
    <row r="124" spans="1:44" ht="51">
      <c r="A124" t="str">
        <f t="shared" si="22"/>
        <v>H</v>
      </c>
      <c r="B124" s="277" t="s">
        <v>498</v>
      </c>
      <c r="C124" s="50">
        <f t="shared" ref="C124:L124" si="31">C99/SUM($C99:$L99)</f>
        <v>0.55400749276669814</v>
      </c>
      <c r="D124" s="50">
        <f t="shared" si="31"/>
        <v>0.21393935535073094</v>
      </c>
      <c r="E124" s="50">
        <f t="shared" si="31"/>
        <v>0.10750059554483249</v>
      </c>
      <c r="F124" s="50">
        <f t="shared" si="31"/>
        <v>6.2943113215892077E-2</v>
      </c>
      <c r="G124" s="50">
        <f t="shared" si="31"/>
        <v>2.8978721330836635E-2</v>
      </c>
      <c r="H124" s="50">
        <f t="shared" si="31"/>
        <v>1.4723044612227938E-2</v>
      </c>
      <c r="I124" s="50">
        <f t="shared" si="31"/>
        <v>7.1053114299336386E-3</v>
      </c>
      <c r="J124" s="50">
        <f t="shared" si="31"/>
        <v>4.1124757030605377E-3</v>
      </c>
      <c r="K124" s="50">
        <f t="shared" si="31"/>
        <v>2.4412309544802318E-3</v>
      </c>
      <c r="L124" s="50">
        <f t="shared" si="31"/>
        <v>4.2486590913073906E-3</v>
      </c>
    </row>
    <row r="125" spans="1:44">
      <c r="B125" s="277" t="s">
        <v>499</v>
      </c>
      <c r="C125" s="50">
        <f t="shared" ref="C125:L125" si="32">C100/SUM($C100:$L100)</f>
        <v>0.54869812163687903</v>
      </c>
      <c r="D125" s="50">
        <f t="shared" si="32"/>
        <v>0.20897193734471337</v>
      </c>
      <c r="E125" s="50">
        <f t="shared" si="32"/>
        <v>9.7762101549550506E-2</v>
      </c>
      <c r="F125" s="50">
        <f t="shared" si="32"/>
        <v>6.4346410859882519E-2</v>
      </c>
      <c r="G125" s="50">
        <f t="shared" si="32"/>
        <v>3.3151048032500297E-2</v>
      </c>
      <c r="H125" s="50">
        <f t="shared" si="32"/>
        <v>1.9559525279288097E-2</v>
      </c>
      <c r="I125" s="50">
        <f t="shared" si="32"/>
        <v>1.1894238286885727E-2</v>
      </c>
      <c r="J125" s="50">
        <f t="shared" si="32"/>
        <v>5.3352023399250393E-3</v>
      </c>
      <c r="K125" s="50">
        <f t="shared" si="32"/>
        <v>3.9959046699432075E-3</v>
      </c>
      <c r="L125" s="50">
        <f t="shared" si="32"/>
        <v>6.2855100004320782E-3</v>
      </c>
    </row>
    <row r="128" spans="1:44">
      <c r="A128" s="5" t="s">
        <v>587</v>
      </c>
      <c r="C128" t="s">
        <v>505</v>
      </c>
      <c r="D128" t="s">
        <v>505</v>
      </c>
      <c r="E128" t="s">
        <v>505</v>
      </c>
      <c r="F128" t="s">
        <v>505</v>
      </c>
      <c r="G128" t="s">
        <v>505</v>
      </c>
      <c r="H128" t="s">
        <v>505</v>
      </c>
      <c r="I128" t="s">
        <v>505</v>
      </c>
      <c r="J128" t="s">
        <v>505</v>
      </c>
      <c r="K128" t="s">
        <v>505</v>
      </c>
      <c r="L128" t="s">
        <v>505</v>
      </c>
      <c r="M128" t="s">
        <v>505</v>
      </c>
      <c r="N128" t="s">
        <v>505</v>
      </c>
      <c r="O128" t="s">
        <v>505</v>
      </c>
      <c r="P128" t="s">
        <v>505</v>
      </c>
      <c r="Q128" t="s">
        <v>506</v>
      </c>
      <c r="R128" t="s">
        <v>506</v>
      </c>
      <c r="S128" t="s">
        <v>506</v>
      </c>
      <c r="T128" t="s">
        <v>506</v>
      </c>
      <c r="U128" t="s">
        <v>506</v>
      </c>
      <c r="V128" t="s">
        <v>506</v>
      </c>
      <c r="W128" t="s">
        <v>506</v>
      </c>
      <c r="X128" t="s">
        <v>506</v>
      </c>
      <c r="Y128" t="s">
        <v>506</v>
      </c>
      <c r="Z128" t="s">
        <v>506</v>
      </c>
      <c r="AA128" t="s">
        <v>506</v>
      </c>
      <c r="AB128" t="s">
        <v>506</v>
      </c>
      <c r="AC128" t="s">
        <v>506</v>
      </c>
      <c r="AD128" t="s">
        <v>506</v>
      </c>
      <c r="AE128" t="s">
        <v>507</v>
      </c>
      <c r="AF128" t="s">
        <v>507</v>
      </c>
      <c r="AG128" t="s">
        <v>507</v>
      </c>
      <c r="AH128" t="s">
        <v>507</v>
      </c>
      <c r="AI128" t="s">
        <v>507</v>
      </c>
      <c r="AJ128" t="s">
        <v>507</v>
      </c>
      <c r="AK128" t="s">
        <v>507</v>
      </c>
      <c r="AL128" t="s">
        <v>507</v>
      </c>
      <c r="AM128" t="s">
        <v>507</v>
      </c>
      <c r="AN128" t="s">
        <v>507</v>
      </c>
      <c r="AO128" t="s">
        <v>507</v>
      </c>
      <c r="AP128" t="s">
        <v>507</v>
      </c>
      <c r="AQ128" t="s">
        <v>507</v>
      </c>
      <c r="AR128" t="s">
        <v>507</v>
      </c>
    </row>
    <row r="129" spans="1:44" s="291" customFormat="1" ht="114.75">
      <c r="A129" s="291" t="s">
        <v>585</v>
      </c>
      <c r="C129" s="292" t="str">
        <f>C11</f>
        <v>Piped (tap) water inside dwelling/institution</v>
      </c>
      <c r="D129" s="292" t="str">
        <f>C129</f>
        <v>Piped (tap) water inside dwelling/institution</v>
      </c>
      <c r="E129" s="292" t="str">
        <f t="shared" ref="E129:P129" si="33">D129</f>
        <v>Piped (tap) water inside dwelling/institution</v>
      </c>
      <c r="F129" s="292" t="str">
        <f t="shared" si="33"/>
        <v>Piped (tap) water inside dwelling/institution</v>
      </c>
      <c r="G129" s="292" t="str">
        <f t="shared" si="33"/>
        <v>Piped (tap) water inside dwelling/institution</v>
      </c>
      <c r="H129" s="292" t="str">
        <f t="shared" si="33"/>
        <v>Piped (tap) water inside dwelling/institution</v>
      </c>
      <c r="I129" s="292" t="str">
        <f t="shared" si="33"/>
        <v>Piped (tap) water inside dwelling/institution</v>
      </c>
      <c r="J129" s="292" t="str">
        <f t="shared" si="33"/>
        <v>Piped (tap) water inside dwelling/institution</v>
      </c>
      <c r="K129" s="292" t="str">
        <f t="shared" si="33"/>
        <v>Piped (tap) water inside dwelling/institution</v>
      </c>
      <c r="L129" s="292" t="str">
        <f t="shared" si="33"/>
        <v>Piped (tap) water inside dwelling/institution</v>
      </c>
      <c r="M129" s="292" t="str">
        <f t="shared" si="33"/>
        <v>Piped (tap) water inside dwelling/institution</v>
      </c>
      <c r="N129" s="292" t="str">
        <f t="shared" si="33"/>
        <v>Piped (tap) water inside dwelling/institution</v>
      </c>
      <c r="O129" s="292" t="str">
        <f t="shared" si="33"/>
        <v>Piped (tap) water inside dwelling/institution</v>
      </c>
      <c r="P129" s="292" t="str">
        <f t="shared" si="33"/>
        <v>Piped (tap) water inside dwelling/institution</v>
      </c>
      <c r="Q129" s="292" t="str">
        <f>AE11</f>
        <v>Piped (tap) water on community stand: distance less than 200m from dwelling/institution</v>
      </c>
      <c r="R129" s="292" t="str">
        <f>Q129</f>
        <v>Piped (tap) water on community stand: distance less than 200m from dwelling/institution</v>
      </c>
      <c r="S129" s="292" t="str">
        <f t="shared" ref="S129:AD129" si="34">R129</f>
        <v>Piped (tap) water on community stand: distance less than 200m from dwelling/institution</v>
      </c>
      <c r="T129" s="292" t="str">
        <f t="shared" si="34"/>
        <v>Piped (tap) water on community stand: distance less than 200m from dwelling/institution</v>
      </c>
      <c r="U129" s="292" t="str">
        <f t="shared" si="34"/>
        <v>Piped (tap) water on community stand: distance less than 200m from dwelling/institution</v>
      </c>
      <c r="V129" s="292" t="str">
        <f t="shared" si="34"/>
        <v>Piped (tap) water on community stand: distance less than 200m from dwelling/institution</v>
      </c>
      <c r="W129" s="292" t="str">
        <f t="shared" si="34"/>
        <v>Piped (tap) water on community stand: distance less than 200m from dwelling/institution</v>
      </c>
      <c r="X129" s="292" t="str">
        <f t="shared" si="34"/>
        <v>Piped (tap) water on community stand: distance less than 200m from dwelling/institution</v>
      </c>
      <c r="Y129" s="292" t="str">
        <f t="shared" si="34"/>
        <v>Piped (tap) water on community stand: distance less than 200m from dwelling/institution</v>
      </c>
      <c r="Z129" s="292" t="str">
        <f t="shared" si="34"/>
        <v>Piped (tap) water on community stand: distance less than 200m from dwelling/institution</v>
      </c>
      <c r="AA129" s="292" t="str">
        <f t="shared" si="34"/>
        <v>Piped (tap) water on community stand: distance less than 200m from dwelling/institution</v>
      </c>
      <c r="AB129" s="292" t="str">
        <f t="shared" si="34"/>
        <v>Piped (tap) water on community stand: distance less than 200m from dwelling/institution</v>
      </c>
      <c r="AC129" s="292" t="str">
        <f t="shared" si="34"/>
        <v>Piped (tap) water on community stand: distance less than 200m from dwelling/institution</v>
      </c>
      <c r="AD129" s="292" t="str">
        <f t="shared" si="34"/>
        <v>Piped (tap) water on community stand: distance less than 200m from dwelling/institution</v>
      </c>
      <c r="AE129" s="292" t="str">
        <f>CI11</f>
        <v>No access to piped (tap) water</v>
      </c>
      <c r="AF129" s="292" t="str">
        <f>AE129</f>
        <v>No access to piped (tap) water</v>
      </c>
      <c r="AG129" s="292" t="str">
        <f t="shared" ref="AG129:AR129" si="35">AF129</f>
        <v>No access to piped (tap) water</v>
      </c>
      <c r="AH129" s="292" t="str">
        <f t="shared" si="35"/>
        <v>No access to piped (tap) water</v>
      </c>
      <c r="AI129" s="292" t="str">
        <f t="shared" si="35"/>
        <v>No access to piped (tap) water</v>
      </c>
      <c r="AJ129" s="292" t="str">
        <f t="shared" si="35"/>
        <v>No access to piped (tap) water</v>
      </c>
      <c r="AK129" s="292" t="str">
        <f t="shared" si="35"/>
        <v>No access to piped (tap) water</v>
      </c>
      <c r="AL129" s="292" t="str">
        <f t="shared" si="35"/>
        <v>No access to piped (tap) water</v>
      </c>
      <c r="AM129" s="292" t="str">
        <f t="shared" si="35"/>
        <v>No access to piped (tap) water</v>
      </c>
      <c r="AN129" s="292" t="str">
        <f t="shared" si="35"/>
        <v>No access to piped (tap) water</v>
      </c>
      <c r="AO129" s="292" t="str">
        <f t="shared" si="35"/>
        <v>No access to piped (tap) water</v>
      </c>
      <c r="AP129" s="292" t="str">
        <f t="shared" si="35"/>
        <v>No access to piped (tap) water</v>
      </c>
      <c r="AQ129" s="292" t="str">
        <f t="shared" si="35"/>
        <v>No access to piped (tap) water</v>
      </c>
      <c r="AR129" s="292" t="str">
        <f t="shared" si="35"/>
        <v>No access to piped (tap) water</v>
      </c>
    </row>
    <row r="130" spans="1:44" s="15" customFormat="1" ht="38.25">
      <c r="A130" s="295"/>
      <c r="B130" s="295"/>
      <c r="C130" s="296" t="str">
        <f>C12</f>
        <v>No income</v>
      </c>
      <c r="D130" s="296" t="str">
        <f t="shared" ref="D130:P130" si="36">D12</f>
        <v>R 1 - R 4800</v>
      </c>
      <c r="E130" s="296" t="str">
        <f t="shared" si="36"/>
        <v>R 4801 - R 9600</v>
      </c>
      <c r="F130" s="296" t="str">
        <f t="shared" si="36"/>
        <v>R 9601 - R 19 600</v>
      </c>
      <c r="G130" s="296" t="str">
        <f t="shared" si="36"/>
        <v>R 19 601 - R 38 200</v>
      </c>
      <c r="H130" s="296" t="str">
        <f t="shared" si="36"/>
        <v>R 38 201 - R 76 400</v>
      </c>
      <c r="I130" s="296" t="str">
        <f t="shared" si="36"/>
        <v>R 76 401 - R 153 800</v>
      </c>
      <c r="J130" s="296" t="str">
        <f t="shared" si="36"/>
        <v>R 153 801 - R 307 600</v>
      </c>
      <c r="K130" s="296" t="str">
        <f t="shared" si="36"/>
        <v>R 307 601 - R 614 400</v>
      </c>
      <c r="L130" s="296" t="str">
        <f t="shared" si="36"/>
        <v>R 614 001 - R 1 228 800</v>
      </c>
      <c r="M130" s="296" t="str">
        <f t="shared" si="36"/>
        <v>R 1 228 801 - R 2 457 600</v>
      </c>
      <c r="N130" s="296" t="str">
        <f t="shared" si="36"/>
        <v>R 2 457 601 or more</v>
      </c>
      <c r="O130" s="296" t="str">
        <f t="shared" si="36"/>
        <v>Unspecified</v>
      </c>
      <c r="P130" s="296" t="str">
        <f t="shared" si="36"/>
        <v>Total</v>
      </c>
      <c r="Q130" s="296" t="str">
        <f>AE12</f>
        <v>No income</v>
      </c>
      <c r="R130" s="296" t="str">
        <f t="shared" ref="R130:AD130" si="37">AF12</f>
        <v>R 1 - R 4800</v>
      </c>
      <c r="S130" s="296" t="str">
        <f t="shared" si="37"/>
        <v>R 4801 - R 9600</v>
      </c>
      <c r="T130" s="296" t="str">
        <f t="shared" si="37"/>
        <v>R 9601 - R 19 600</v>
      </c>
      <c r="U130" s="296" t="str">
        <f t="shared" si="37"/>
        <v>R 19 601 - R 38 200</v>
      </c>
      <c r="V130" s="296" t="str">
        <f t="shared" si="37"/>
        <v>R 38 201 - R 76 400</v>
      </c>
      <c r="W130" s="296" t="str">
        <f t="shared" si="37"/>
        <v>R 76 401 - R 153 800</v>
      </c>
      <c r="X130" s="296" t="str">
        <f t="shared" si="37"/>
        <v>R 153 801 - R 307 600</v>
      </c>
      <c r="Y130" s="296" t="str">
        <f t="shared" si="37"/>
        <v>R 307 601 - R 614 400</v>
      </c>
      <c r="Z130" s="296" t="str">
        <f t="shared" si="37"/>
        <v>R 614 001 - R 1 228 800</v>
      </c>
      <c r="AA130" s="296" t="str">
        <f t="shared" si="37"/>
        <v>R 1 228 801 - R 2 457 600</v>
      </c>
      <c r="AB130" s="296" t="str">
        <f t="shared" si="37"/>
        <v>R 2 457 601 or more</v>
      </c>
      <c r="AC130" s="296" t="str">
        <f t="shared" si="37"/>
        <v>Unspecified</v>
      </c>
      <c r="AD130" s="296" t="str">
        <f t="shared" si="37"/>
        <v>Total</v>
      </c>
      <c r="AE130" s="296" t="str">
        <f>CI12</f>
        <v>No income</v>
      </c>
      <c r="AF130" s="296" t="str">
        <f t="shared" ref="AF130:AR130" si="38">CJ12</f>
        <v>R 1 - R 4800</v>
      </c>
      <c r="AG130" s="296" t="str">
        <f t="shared" si="38"/>
        <v>R 4801 - R 9600</v>
      </c>
      <c r="AH130" s="296" t="str">
        <f t="shared" si="38"/>
        <v>R 9601 - R 19 600</v>
      </c>
      <c r="AI130" s="296" t="str">
        <f t="shared" si="38"/>
        <v>R 19 601 - R 38 200</v>
      </c>
      <c r="AJ130" s="296" t="str">
        <f t="shared" si="38"/>
        <v>R 38 201 - R 76 400</v>
      </c>
      <c r="AK130" s="296" t="str">
        <f t="shared" si="38"/>
        <v>R 76 401 - R 153 800</v>
      </c>
      <c r="AL130" s="296" t="str">
        <f t="shared" si="38"/>
        <v>R 153 801 - R 307 600</v>
      </c>
      <c r="AM130" s="296" t="str">
        <f t="shared" si="38"/>
        <v>R 307 601 - R 614 400</v>
      </c>
      <c r="AN130" s="296" t="str">
        <f t="shared" si="38"/>
        <v>R 614 001 - R 1 228 800</v>
      </c>
      <c r="AO130" s="296" t="str">
        <f t="shared" si="38"/>
        <v>R 1 228 801 - R 2 457 600</v>
      </c>
      <c r="AP130" s="296" t="str">
        <f t="shared" si="38"/>
        <v>R 2 457 601 or more</v>
      </c>
      <c r="AQ130" s="296" t="str">
        <f t="shared" si="38"/>
        <v>Unspecified</v>
      </c>
      <c r="AR130" s="296" t="str">
        <f t="shared" si="38"/>
        <v>Total</v>
      </c>
    </row>
    <row r="131" spans="1:44">
      <c r="A131" t="s">
        <v>78</v>
      </c>
      <c r="B131" s="15"/>
      <c r="C131" s="8">
        <f t="array" ref="C131">SUM(IF($C$9:$CV$9=C$128,IF($C$12:$CV$12=C$130,$C$14:$CV$14)))</f>
        <v>979468.06529029994</v>
      </c>
      <c r="D131" s="8">
        <f t="array" ref="D131">SUM(IF($C$9:$CV$9=D$128,IF($C$12:$CV$12=D$130,$C$14:$CV$14)))</f>
        <v>266705.13777989999</v>
      </c>
      <c r="E131" s="8">
        <f t="array" ref="E131">SUM(IF($C$9:$CV$9=E$128,IF($C$12:$CV$12=E$130,$C$14:$CV$14)))</f>
        <v>427787.75057979999</v>
      </c>
      <c r="F131" s="8">
        <f t="array" ref="F131">SUM(IF($C$9:$CV$9=F$128,IF($C$12:$CV$12=F$130,$C$14:$CV$14)))</f>
        <v>1134952.9804813</v>
      </c>
      <c r="G131" s="8">
        <f t="array" ref="G131">SUM(IF($C$9:$CV$9=G$128,IF($C$12:$CV$12=G$130,$C$14:$CV$14)))</f>
        <v>1348344.6310608999</v>
      </c>
      <c r="H131" s="8">
        <f t="array" ref="H131">SUM(IF($C$9:$CV$9=H$128,IF($C$12:$CV$12=H$130,$C$14:$CV$14)))</f>
        <v>1094529.1874803</v>
      </c>
      <c r="I131" s="8">
        <f t="array" ref="I131">SUM(IF($C$9:$CV$9=I$128,IF($C$12:$CV$12=I$130,$C$14:$CV$14)))</f>
        <v>896668.69850980002</v>
      </c>
      <c r="J131" s="8">
        <f t="array" ref="J131">SUM(IF($C$9:$CV$9=J$128,IF($C$12:$CV$12=J$130,$C$14:$CV$14)))</f>
        <v>738441.27786979999</v>
      </c>
      <c r="K131" s="8">
        <f t="array" ref="K131">SUM(IF($C$9:$CV$9=K$128,IF($C$12:$CV$12=K$130,$C$14:$CV$14)))</f>
        <v>497157.38063979999</v>
      </c>
      <c r="L131" s="8">
        <f t="array" ref="L131">SUM(IF($C$9:$CV$9=L$128,IF($C$12:$CV$12=L$130,$C$14:$CV$14)))</f>
        <v>201973.59053989997</v>
      </c>
      <c r="M131" s="8">
        <f t="array" ref="M131">SUM(IF($C$9:$CV$9=M$128,IF($C$12:$CV$12=M$130,$C$14:$CV$14)))</f>
        <v>59820.136189999997</v>
      </c>
      <c r="N131" s="8">
        <f t="array" ref="N131">SUM(IF($C$9:$CV$9=N$128,IF($C$12:$CV$12=N$130,$C$14:$CV$14)))</f>
        <v>34096.077689999998</v>
      </c>
      <c r="O131" s="8">
        <f t="array" ref="O131">SUM(IF($C$9:$CV$9=O$128,IF($C$12:$CV$12=O$130,$C$14:$CV$14)))</f>
        <v>577.8196200000001</v>
      </c>
      <c r="P131" s="8">
        <f t="array" ref="P131">SUM(IF($C$9:$CV$9=P$128,IF($C$12:$CV$12=P$130,$C$14:$CV$14)))</f>
        <v>7680522.7337319003</v>
      </c>
      <c r="Q131" s="8">
        <f t="array" ref="Q131">SUM(IF($C$9:$CV$9=Q$128,IF($C$12:$CV$12=Q$130,$C$14:$CV$14)))</f>
        <v>190161.95514989999</v>
      </c>
      <c r="R131" s="8">
        <f t="array" ref="R131">SUM(IF($C$9:$CV$9=R$128,IF($C$12:$CV$12=R$130,$C$14:$CV$14)))</f>
        <v>81450.626039999988</v>
      </c>
      <c r="S131" s="8">
        <f t="array" ref="S131">SUM(IF($C$9:$CV$9=S$128,IF($C$12:$CV$12=S$130,$C$14:$CV$14)))</f>
        <v>143960.21362990001</v>
      </c>
      <c r="T131" s="8">
        <f t="array" ref="T131">SUM(IF($C$9:$CV$9=T$128,IF($C$12:$CV$12=T$130,$C$14:$CV$14)))</f>
        <v>285266.96925000002</v>
      </c>
      <c r="U131" s="8">
        <f t="array" ref="U131">SUM(IF($C$9:$CV$9=U$128,IF($C$12:$CV$12=U$130,$C$14:$CV$14)))</f>
        <v>256913.41459000003</v>
      </c>
      <c r="V131" s="8">
        <f t="array" ref="V131">SUM(IF($C$9:$CV$9=V$128,IF($C$12:$CV$12=V$130,$C$14:$CV$14)))</f>
        <v>106893.26376999999</v>
      </c>
      <c r="W131" s="8">
        <f t="array" ref="W131">SUM(IF($C$9:$CV$9=W$128,IF($C$12:$CV$12=W$130,$C$14:$CV$14)))</f>
        <v>45219.879419999997</v>
      </c>
      <c r="X131" s="8">
        <f t="array" ref="X131">SUM(IF($C$9:$CV$9=X$128,IF($C$12:$CV$12=X$130,$C$14:$CV$14)))</f>
        <v>20574.313159999998</v>
      </c>
      <c r="Y131" s="8">
        <f t="array" ref="Y131">SUM(IF($C$9:$CV$9=Y$128,IF($C$12:$CV$12=Y$130,$C$14:$CV$14)))</f>
        <v>7718.7556999999997</v>
      </c>
      <c r="Z131" s="8">
        <f t="array" ref="Z131">SUM(IF($C$9:$CV$9=Z$128,IF($C$12:$CV$12=Z$130,$C$14:$CV$14)))</f>
        <v>1379.12167</v>
      </c>
      <c r="AA131" s="8">
        <f t="array" ref="AA131">SUM(IF($C$9:$CV$9=AA$128,IF($C$12:$CV$12=AA$130,$C$14:$CV$14)))</f>
        <v>937.79991999999993</v>
      </c>
      <c r="AB131" s="8">
        <f t="array" ref="AB131">SUM(IF($C$9:$CV$9=AB$128,IF($C$12:$CV$12=AB$130,$C$14:$CV$14)))</f>
        <v>691.39511000000005</v>
      </c>
      <c r="AC131" s="8">
        <f t="array" ref="AC131">SUM(IF($C$9:$CV$9=AC$128,IF($C$12:$CV$12=AC$130,$C$14:$CV$14)))</f>
        <v>11.94665</v>
      </c>
      <c r="AD131" s="8">
        <f t="array" ref="AD131">SUM(IF($C$9:$CV$9=AD$128,IF($C$12:$CV$12=AD$130,$C$14:$CV$14)))</f>
        <v>1079767.4765997999</v>
      </c>
      <c r="AE131" s="8">
        <f t="array" ref="AE131">SUM(IF($C$9:$CV$9=AE$128,IF($C$12:$CV$12=AE$130,$C$14:$CV$14)))</f>
        <v>88645.764410000003</v>
      </c>
      <c r="AF131" s="8">
        <f t="array" ref="AF131">SUM(IF($C$9:$CV$9=AF$128,IF($C$12:$CV$12=AF$130,$C$14:$CV$14)))</f>
        <v>37927.915589999997</v>
      </c>
      <c r="AG131" s="8">
        <f t="array" ref="AG131">SUM(IF($C$9:$CV$9=AG$128,IF($C$12:$CV$12=AG$130,$C$14:$CV$14)))</f>
        <v>69193.334539999996</v>
      </c>
      <c r="AH131" s="8">
        <f t="array" ref="AH131">SUM(IF($C$9:$CV$9=AH$128,IF($C$12:$CV$12=AH$130,$C$14:$CV$14)))</f>
        <v>135705.85941989999</v>
      </c>
      <c r="AI131" s="8">
        <f t="array" ref="AI131">SUM(IF($C$9:$CV$9=AI$128,IF($C$12:$CV$12=AI$130,$C$14:$CV$14)))</f>
        <v>125654.1150699</v>
      </c>
      <c r="AJ131" s="8">
        <f t="array" ref="AJ131">SUM(IF($C$9:$CV$9=AJ$128,IF($C$12:$CV$12=AJ$130,$C$14:$CV$14)))</f>
        <v>54171.0504</v>
      </c>
      <c r="AK131" s="8">
        <f t="array" ref="AK131">SUM(IF($C$9:$CV$9=AK$128,IF($C$12:$CV$12=AK$130,$C$14:$CV$14)))</f>
        <v>27505.59289</v>
      </c>
      <c r="AL131" s="8">
        <f t="array" ref="AL131">SUM(IF($C$9:$CV$9=AL$128,IF($C$12:$CV$12=AL$130,$C$14:$CV$14)))</f>
        <v>14834.828079999999</v>
      </c>
      <c r="AM131" s="8">
        <f t="array" ref="AM131">SUM(IF($C$9:$CV$9=AM$128,IF($C$12:$CV$12=AM$130,$C$14:$CV$14)))</f>
        <v>6161.2320399999999</v>
      </c>
      <c r="AN131" s="8">
        <f t="array" ref="AN131">SUM(IF($C$9:$CV$9=AN$128,IF($C$12:$CV$12=AN$130,$C$14:$CV$14)))</f>
        <v>1358.5009500000001</v>
      </c>
      <c r="AO131" s="8">
        <f t="array" ref="AO131">SUM(IF($C$9:$CV$9=AO$128,IF($C$12:$CV$12=AO$130,$C$14:$CV$14)))</f>
        <v>657.83226999999999</v>
      </c>
      <c r="AP131" s="8">
        <f t="array" ref="AP131">SUM(IF($C$9:$CV$9=AP$128,IF($C$12:$CV$12=AP$130,$C$14:$CV$14)))</f>
        <v>502.74365999999998</v>
      </c>
      <c r="AQ131" s="8">
        <f t="array" ref="AQ131">SUM(IF($C$9:$CV$9=AQ$128,IF($C$12:$CV$12=AQ$130,$C$14:$CV$14)))</f>
        <v>8.4331600000000009</v>
      </c>
      <c r="AR131" s="8">
        <f t="array" ref="AR131">SUM(IF($C$9:$CV$9=AR$128,IF($C$12:$CV$12=AR$130,$C$14:$CV$14)))</f>
        <v>623739.37993970001</v>
      </c>
    </row>
    <row r="132" spans="1:44">
      <c r="A132" t="s">
        <v>458</v>
      </c>
      <c r="B132" s="15"/>
      <c r="C132" s="8">
        <f t="array" ref="C132">SUM(IF($C$9:$CV$9=C$128,IF($C$12:$CV$12=C$130,$C$17:$CV$19)))</f>
        <v>51780.799429999999</v>
      </c>
      <c r="D132" s="8">
        <f t="array" ref="D132">SUM(IF($C$9:$CV$9=D$128,IF($C$12:$CV$12=D$130,$C$17:$CV$19)))</f>
        <v>7775.5238100000006</v>
      </c>
      <c r="E132" s="8">
        <f t="array" ref="E132">SUM(IF($C$9:$CV$9=E$128,IF($C$12:$CV$12=E$130,$C$17:$CV$19)))</f>
        <v>11544.373379999999</v>
      </c>
      <c r="F132" s="8">
        <f t="array" ref="F132">SUM(IF($C$9:$CV$9=F$128,IF($C$12:$CV$12=F$130,$C$17:$CV$19)))</f>
        <v>42010.036419999997</v>
      </c>
      <c r="G132" s="8">
        <f t="array" ref="G132">SUM(IF($C$9:$CV$9=G$128,IF($C$12:$CV$12=G$130,$C$17:$CV$19)))</f>
        <v>56055.403620000005</v>
      </c>
      <c r="H132" s="8">
        <f t="array" ref="H132">SUM(IF($C$9:$CV$9=H$128,IF($C$12:$CV$12=H$130,$C$17:$CV$19)))</f>
        <v>63847.055079999991</v>
      </c>
      <c r="I132" s="8">
        <f t="array" ref="I132">SUM(IF($C$9:$CV$9=I$128,IF($C$12:$CV$12=I$130,$C$17:$CV$19)))</f>
        <v>76058.034650000001</v>
      </c>
      <c r="J132" s="8">
        <f t="array" ref="J132">SUM(IF($C$9:$CV$9=J$128,IF($C$12:$CV$12=J$130,$C$17:$CV$19)))</f>
        <v>95722.787220000013</v>
      </c>
      <c r="K132" s="8">
        <f t="array" ref="K132">SUM(IF($C$9:$CV$9=K$128,IF($C$12:$CV$12=K$130,$C$17:$CV$19)))</f>
        <v>86185.635559999995</v>
      </c>
      <c r="L132" s="8">
        <f t="array" ref="L132">SUM(IF($C$9:$CV$9=L$128,IF($C$12:$CV$12=L$130,$C$17:$CV$19)))</f>
        <v>40741.865720000002</v>
      </c>
      <c r="M132" s="8">
        <f t="array" ref="M132">SUM(IF($C$9:$CV$9=M$128,IF($C$12:$CV$12=M$130,$C$17:$CV$19)))</f>
        <v>10152.902829999999</v>
      </c>
      <c r="N132" s="8">
        <f t="array" ref="N132">SUM(IF($C$9:$CV$9=N$128,IF($C$12:$CV$12=N$130,$C$17:$CV$19)))</f>
        <v>5351.7718699999996</v>
      </c>
      <c r="O132" s="8">
        <f t="array" ref="O132">SUM(IF($C$9:$CV$9=O$128,IF($C$12:$CV$12=O$130,$C$17:$CV$19)))</f>
        <v>50.136480000000006</v>
      </c>
      <c r="P132" s="8">
        <f t="array" ref="P132">SUM(IF($C$9:$CV$9=P$128,IF($C$12:$CV$12=P$130,$C$17:$CV$19)))</f>
        <v>547276.32607000007</v>
      </c>
      <c r="Q132" s="8">
        <f t="array" ref="Q132">SUM(IF($C$9:$CV$9=Q$128,IF($C$12:$CV$12=Q$130,$C$17:$CV$19)))</f>
        <v>4069.4619600000001</v>
      </c>
      <c r="R132" s="8">
        <f t="array" ref="R132">SUM(IF($C$9:$CV$9=R$128,IF($C$12:$CV$12=R$130,$C$17:$CV$19)))</f>
        <v>1243.9461700000002</v>
      </c>
      <c r="S132" s="8">
        <f t="array" ref="S132">SUM(IF($C$9:$CV$9=S$128,IF($C$12:$CV$12=S$130,$C$17:$CV$19)))</f>
        <v>1790.2476799999999</v>
      </c>
      <c r="T132" s="8">
        <f t="array" ref="T132">SUM(IF($C$9:$CV$9=T$128,IF($C$12:$CV$12=T$130,$C$17:$CV$19)))</f>
        <v>3816.6258600000001</v>
      </c>
      <c r="U132" s="8">
        <f t="array" ref="U132">SUM(IF($C$9:$CV$9=U$128,IF($C$12:$CV$12=U$130,$C$17:$CV$19)))</f>
        <v>3814.0372299999999</v>
      </c>
      <c r="V132" s="8">
        <f t="array" ref="V132">SUM(IF($C$9:$CV$9=V$128,IF($C$12:$CV$12=V$130,$C$17:$CV$19)))</f>
        <v>2010.0397400000002</v>
      </c>
      <c r="W132" s="8">
        <f t="array" ref="W132">SUM(IF($C$9:$CV$9=W$128,IF($C$12:$CV$12=W$130,$C$17:$CV$19)))</f>
        <v>850.90415000000007</v>
      </c>
      <c r="X132" s="8">
        <f t="array" ref="X132">SUM(IF($C$9:$CV$9=X$128,IF($C$12:$CV$12=X$130,$C$17:$CV$19)))</f>
        <v>583.97057000000007</v>
      </c>
      <c r="Y132" s="8">
        <f t="array" ref="Y132">SUM(IF($C$9:$CV$9=Y$128,IF($C$12:$CV$12=Y$130,$C$17:$CV$19)))</f>
        <v>369.10496999999998</v>
      </c>
      <c r="Z132" s="8">
        <f t="array" ref="Z132">SUM(IF($C$9:$CV$9=Z$128,IF($C$12:$CV$12=Z$130,$C$17:$CV$19)))</f>
        <v>157.72227000000001</v>
      </c>
      <c r="AA132" s="8">
        <f t="array" ref="AA132">SUM(IF($C$9:$CV$9=AA$128,IF($C$12:$CV$12=AA$130,$C$17:$CV$19)))</f>
        <v>55.046610000000001</v>
      </c>
      <c r="AB132" s="8">
        <f t="array" ref="AB132">SUM(IF($C$9:$CV$9=AB$128,IF($C$12:$CV$12=AB$130,$C$17:$CV$19)))</f>
        <v>30.184449999999998</v>
      </c>
      <c r="AC132" s="8">
        <f t="array" ref="AC132">SUM(IF($C$9:$CV$9=AC$128,IF($C$12:$CV$12=AC$130,$C$17:$CV$19)))</f>
        <v>0</v>
      </c>
      <c r="AD132" s="8">
        <f t="array" ref="AD132">SUM(IF($C$9:$CV$9=AD$128,IF($C$12:$CV$12=AD$130,$C$17:$CV$19)))</f>
        <v>17751.370750000002</v>
      </c>
      <c r="AE132" s="8">
        <f t="array" ref="AE132">SUM(IF($C$9:$CV$9=AE$128,IF($C$12:$CV$12=AE$130,$C$17:$CV$19)))</f>
        <v>1228.3228799999999</v>
      </c>
      <c r="AF132" s="8">
        <f t="array" ref="AF132">SUM(IF($C$9:$CV$9=AF$128,IF($C$12:$CV$12=AF$130,$C$17:$CV$19)))</f>
        <v>409.52102000000002</v>
      </c>
      <c r="AG132" s="8">
        <f t="array" ref="AG132">SUM(IF($C$9:$CV$9=AG$128,IF($C$12:$CV$12=AG$130,$C$17:$CV$19)))</f>
        <v>659.89207999999996</v>
      </c>
      <c r="AH132" s="8">
        <f t="array" ref="AH132">SUM(IF($C$9:$CV$9=AH$128,IF($C$12:$CV$12=AH$130,$C$17:$CV$19)))</f>
        <v>1510.8272200000001</v>
      </c>
      <c r="AI132" s="8">
        <f t="array" ref="AI132">SUM(IF($C$9:$CV$9=AI$128,IF($C$12:$CV$12=AI$130,$C$17:$CV$19)))</f>
        <v>1375.5928699999999</v>
      </c>
      <c r="AJ132" s="8">
        <f t="array" ref="AJ132">SUM(IF($C$9:$CV$9=AJ$128,IF($C$12:$CV$12=AJ$130,$C$17:$CV$19)))</f>
        <v>681.71798000000001</v>
      </c>
      <c r="AK132" s="8">
        <f t="array" ref="AK132">SUM(IF($C$9:$CV$9=AK$128,IF($C$12:$CV$12=AK$130,$C$17:$CV$19)))</f>
        <v>415.52532999999994</v>
      </c>
      <c r="AL132" s="8">
        <f t="array" ref="AL132">SUM(IF($C$9:$CV$9=AL$128,IF($C$12:$CV$12=AL$130,$C$17:$CV$19)))</f>
        <v>333.31073000000004</v>
      </c>
      <c r="AM132" s="8">
        <f t="array" ref="AM132">SUM(IF($C$9:$CV$9=AM$128,IF($C$12:$CV$12=AM$130,$C$17:$CV$19)))</f>
        <v>218.83472</v>
      </c>
      <c r="AN132" s="8">
        <f t="array" ref="AN132">SUM(IF($C$9:$CV$9=AN$128,IF($C$12:$CV$12=AN$130,$C$17:$CV$19)))</f>
        <v>97.193509999999989</v>
      </c>
      <c r="AO132" s="8">
        <f t="array" ref="AO132">SUM(IF($C$9:$CV$9=AO$128,IF($C$12:$CV$12=AO$130,$C$17:$CV$19)))</f>
        <v>39.289929999999998</v>
      </c>
      <c r="AP132" s="8">
        <f t="array" ref="AP132">SUM(IF($C$9:$CV$9=AP$128,IF($C$12:$CV$12=AP$130,$C$17:$CV$19)))</f>
        <v>18.761410000000001</v>
      </c>
      <c r="AQ132" s="8">
        <f t="array" ref="AQ132">SUM(IF($C$9:$CV$9=AQ$128,IF($C$12:$CV$12=AQ$130,$C$17:$CV$19)))</f>
        <v>0</v>
      </c>
      <c r="AR132" s="8">
        <f t="array" ref="AR132">SUM(IF($C$9:$CV$9=AR$128,IF($C$12:$CV$12=AR$130,$C$17:$CV$19)))</f>
        <v>8028.7105900000006</v>
      </c>
    </row>
    <row r="133" spans="1:44">
      <c r="A133" t="s">
        <v>597</v>
      </c>
      <c r="B133" s="15"/>
      <c r="C133" s="8">
        <f t="array" ref="C133">SUM(IF($C$9:$CV$9=C$128,IF($C$12:$CV$12=C$130,$C$16:$CV$16)))</f>
        <v>93870.539280000012</v>
      </c>
      <c r="D133" s="8">
        <f t="array" ref="D133">SUM(IF($C$9:$CV$9=D$128,IF($C$12:$CV$12=D$130,$C$16:$CV$16)))</f>
        <v>11186.031129999999</v>
      </c>
      <c r="E133" s="8">
        <f t="array" ref="E133">SUM(IF($C$9:$CV$9=E$128,IF($C$12:$CV$12=E$130,$C$16:$CV$16)))</f>
        <v>17735.574209999999</v>
      </c>
      <c r="F133" s="8">
        <f t="array" ref="F133">SUM(IF($C$9:$CV$9=F$128,IF($C$12:$CV$12=F$130,$C$16:$CV$16)))</f>
        <v>50597.865469999997</v>
      </c>
      <c r="G133" s="8">
        <f t="array" ref="G133">SUM(IF($C$9:$CV$9=G$128,IF($C$12:$CV$12=G$130,$C$16:$CV$16)))</f>
        <v>74994.515050000002</v>
      </c>
      <c r="H133" s="8">
        <f t="array" ref="H133">SUM(IF($C$9:$CV$9=H$128,IF($C$12:$CV$12=H$130,$C$16:$CV$16)))</f>
        <v>96167.43101</v>
      </c>
      <c r="I133" s="8">
        <f t="array" ref="I133">SUM(IF($C$9:$CV$9=I$128,IF($C$12:$CV$12=I$130,$C$16:$CV$16)))</f>
        <v>111965.97564999999</v>
      </c>
      <c r="J133" s="8">
        <f t="array" ref="J133">SUM(IF($C$9:$CV$9=J$128,IF($C$12:$CV$12=J$130,$C$16:$CV$16)))</f>
        <v>104545.47796</v>
      </c>
      <c r="K133" s="8">
        <f t="array" ref="K133">SUM(IF($C$9:$CV$9=K$128,IF($C$12:$CV$12=K$130,$C$16:$CV$16)))</f>
        <v>56991.245819999996</v>
      </c>
      <c r="L133" s="8">
        <f t="array" ref="L133">SUM(IF($C$9:$CV$9=L$128,IF($C$12:$CV$12=L$130,$C$16:$CV$16)))</f>
        <v>16198.26089</v>
      </c>
      <c r="M133" s="8">
        <f t="array" ref="M133">SUM(IF($C$9:$CV$9=M$128,IF($C$12:$CV$12=M$130,$C$16:$CV$16)))</f>
        <v>4412.1353099999997</v>
      </c>
      <c r="N133" s="8">
        <f t="array" ref="N133">SUM(IF($C$9:$CV$9=N$128,IF($C$12:$CV$12=N$130,$C$16:$CV$16)))</f>
        <v>3193.5465599999998</v>
      </c>
      <c r="O133" s="8">
        <f t="array" ref="O133">SUM(IF($C$9:$CV$9=O$128,IF($C$12:$CV$12=O$130,$C$16:$CV$16)))</f>
        <v>24.40502</v>
      </c>
      <c r="P133" s="8">
        <f t="array" ref="P133">SUM(IF($C$9:$CV$9=P$128,IF($C$12:$CV$12=P$130,$C$16:$CV$16)))</f>
        <v>641883.00335999997</v>
      </c>
      <c r="Q133" s="8">
        <f t="array" ref="Q133">SUM(IF($C$9:$CV$9=Q$128,IF($C$12:$CV$12=Q$130,$C$16:$CV$16)))</f>
        <v>9153.7855999999992</v>
      </c>
      <c r="R133" s="8">
        <f t="array" ref="R133">SUM(IF($C$9:$CV$9=R$128,IF($C$12:$CV$12=R$130,$C$16:$CV$16)))</f>
        <v>3154.9031100000002</v>
      </c>
      <c r="S133" s="8">
        <f t="array" ref="S133">SUM(IF($C$9:$CV$9=S$128,IF($C$12:$CV$12=S$130,$C$16:$CV$16)))</f>
        <v>5076.1195900000012</v>
      </c>
      <c r="T133" s="8">
        <f t="array" ref="T133">SUM(IF($C$9:$CV$9=T$128,IF($C$12:$CV$12=T$130,$C$16:$CV$16)))</f>
        <v>10293.381069999999</v>
      </c>
      <c r="U133" s="8">
        <f t="array" ref="U133">SUM(IF($C$9:$CV$9=U$128,IF($C$12:$CV$12=U$130,$C$16:$CV$16)))</f>
        <v>9265.5053699999989</v>
      </c>
      <c r="V133" s="8">
        <f t="array" ref="V133">SUM(IF($C$9:$CV$9=V$128,IF($C$12:$CV$12=V$130,$C$16:$CV$16)))</f>
        <v>4252.7677799999992</v>
      </c>
      <c r="W133" s="8">
        <f t="array" ref="W133">SUM(IF($C$9:$CV$9=W$128,IF($C$12:$CV$12=W$130,$C$16:$CV$16)))</f>
        <v>1766.84978</v>
      </c>
      <c r="X133" s="8">
        <f t="array" ref="X133">SUM(IF($C$9:$CV$9=X$128,IF($C$12:$CV$12=X$130,$C$16:$CV$16)))</f>
        <v>942.42097000000001</v>
      </c>
      <c r="Y133" s="8">
        <f t="array" ref="Y133">SUM(IF($C$9:$CV$9=Y$128,IF($C$12:$CV$12=Y$130,$C$16:$CV$16)))</f>
        <v>376.57740999999999</v>
      </c>
      <c r="Z133" s="8">
        <f t="array" ref="Z133">SUM(IF($C$9:$CV$9=Z$128,IF($C$12:$CV$12=Z$130,$C$16:$CV$16)))</f>
        <v>83.070990000000009</v>
      </c>
      <c r="AA133" s="8">
        <f t="array" ref="AA133">SUM(IF($C$9:$CV$9=AA$128,IF($C$12:$CV$12=AA$130,$C$16:$CV$16)))</f>
        <v>42.901359999999997</v>
      </c>
      <c r="AB133" s="8">
        <f t="array" ref="AB133">SUM(IF($C$9:$CV$9=AB$128,IF($C$12:$CV$12=AB$130,$C$16:$CV$16)))</f>
        <v>55.402879999999996</v>
      </c>
      <c r="AC133" s="8">
        <f t="array" ref="AC133">SUM(IF($C$9:$CV$9=AC$128,IF($C$12:$CV$12=AC$130,$C$16:$CV$16)))</f>
        <v>0</v>
      </c>
      <c r="AD133" s="8">
        <f t="array" ref="AD133">SUM(IF($C$9:$CV$9=AD$128,IF($C$12:$CV$12=AD$130,$C$16:$CV$16)))</f>
        <v>42016.653339999997</v>
      </c>
      <c r="AE133" s="8">
        <f t="array" ref="AE133">SUM(IF($C$9:$CV$9=AE$128,IF($C$12:$CV$12=AE$130,$C$16:$CV$16)))</f>
        <v>6229.5556299999998</v>
      </c>
      <c r="AF133" s="8">
        <f t="array" ref="AF133">SUM(IF($C$9:$CV$9=AF$128,IF($C$12:$CV$12=AF$130,$C$16:$CV$16)))</f>
        <v>2305.0286799999999</v>
      </c>
      <c r="AG133" s="8">
        <f t="array" ref="AG133">SUM(IF($C$9:$CV$9=AG$128,IF($C$12:$CV$12=AG$130,$C$16:$CV$16)))</f>
        <v>4539.4524300000003</v>
      </c>
      <c r="AH133" s="8">
        <f t="array" ref="AH133">SUM(IF($C$9:$CV$9=AH$128,IF($C$12:$CV$12=AH$130,$C$16:$CV$16)))</f>
        <v>8092.5960599999999</v>
      </c>
      <c r="AI133" s="8">
        <f t="array" ref="AI133">SUM(IF($C$9:$CV$9=AI$128,IF($C$12:$CV$12=AI$130,$C$16:$CV$16)))</f>
        <v>6897.80195</v>
      </c>
      <c r="AJ133" s="8">
        <f t="array" ref="AJ133">SUM(IF($C$9:$CV$9=AJ$128,IF($C$12:$CV$12=AJ$130,$C$16:$CV$16)))</f>
        <v>2867.8906499999998</v>
      </c>
      <c r="AK133" s="8">
        <f t="array" ref="AK133">SUM(IF($C$9:$CV$9=AK$128,IF($C$12:$CV$12=AK$130,$C$16:$CV$16)))</f>
        <v>1596.0977600000001</v>
      </c>
      <c r="AL133" s="8">
        <f t="array" ref="AL133">SUM(IF($C$9:$CV$9=AL$128,IF($C$12:$CV$12=AL$130,$C$16:$CV$16)))</f>
        <v>854.21938</v>
      </c>
      <c r="AM133" s="8">
        <f t="array" ref="AM133">SUM(IF($C$9:$CV$9=AM$128,IF($C$12:$CV$12=AM$130,$C$16:$CV$16)))</f>
        <v>424.48977000000002</v>
      </c>
      <c r="AN133" s="8">
        <f t="array" ref="AN133">SUM(IF($C$9:$CV$9=AN$128,IF($C$12:$CV$12=AN$130,$C$16:$CV$16)))</f>
        <v>87.880229999999997</v>
      </c>
      <c r="AO133" s="8">
        <f t="array" ref="AO133">SUM(IF($C$9:$CV$9=AO$128,IF($C$12:$CV$12=AO$130,$C$16:$CV$16)))</f>
        <v>42.425939999999997</v>
      </c>
      <c r="AP133" s="8">
        <f t="array" ref="AP133">SUM(IF($C$9:$CV$9=AP$128,IF($C$12:$CV$12=AP$130,$C$16:$CV$16)))</f>
        <v>42.008629999999997</v>
      </c>
      <c r="AQ133" s="8">
        <f t="array" ref="AQ133">SUM(IF($C$9:$CV$9=AQ$128,IF($C$12:$CV$12=AQ$130,$C$16:$CV$16)))</f>
        <v>1.13269</v>
      </c>
      <c r="AR133" s="8">
        <f t="array" ref="AR133">SUM(IF($C$9:$CV$9=AR$128,IF($C$12:$CV$12=AR$130,$C$16:$CV$16)))</f>
        <v>36427.612370000003</v>
      </c>
    </row>
    <row r="134" spans="1:44">
      <c r="A134" s="293" t="s">
        <v>586</v>
      </c>
      <c r="B134" s="293" t="s">
        <v>586</v>
      </c>
      <c r="C134" s="294">
        <f t="shared" ref="C134:AR134" si="39">C131+C132+C133</f>
        <v>1125119.4040003</v>
      </c>
      <c r="D134" s="294">
        <f t="shared" si="39"/>
        <v>285666.69271989999</v>
      </c>
      <c r="E134" s="294">
        <f t="shared" si="39"/>
        <v>457067.69816979999</v>
      </c>
      <c r="F134" s="294">
        <f t="shared" si="39"/>
        <v>1227560.8823713001</v>
      </c>
      <c r="G134" s="294">
        <f t="shared" si="39"/>
        <v>1479394.5497309</v>
      </c>
      <c r="H134" s="294">
        <f t="shared" si="39"/>
        <v>1254543.6735703</v>
      </c>
      <c r="I134" s="294">
        <f t="shared" si="39"/>
        <v>1084692.7088098</v>
      </c>
      <c r="J134" s="294">
        <f t="shared" si="39"/>
        <v>938709.54304980009</v>
      </c>
      <c r="K134" s="294">
        <f t="shared" si="39"/>
        <v>640334.26201979991</v>
      </c>
      <c r="L134" s="294">
        <f t="shared" si="39"/>
        <v>258913.71714989998</v>
      </c>
      <c r="M134" s="294">
        <f t="shared" si="39"/>
        <v>74385.174329999994</v>
      </c>
      <c r="N134" s="294">
        <f t="shared" si="39"/>
        <v>42641.396119999998</v>
      </c>
      <c r="O134" s="294">
        <f t="shared" si="39"/>
        <v>652.36112000000014</v>
      </c>
      <c r="P134" s="294">
        <f t="shared" si="39"/>
        <v>8869682.0631619003</v>
      </c>
      <c r="Q134" s="294">
        <f t="shared" si="39"/>
        <v>203385.20270989998</v>
      </c>
      <c r="R134" s="294">
        <f t="shared" si="39"/>
        <v>85849.475319999983</v>
      </c>
      <c r="S134" s="294">
        <f t="shared" si="39"/>
        <v>150826.5808999</v>
      </c>
      <c r="T134" s="294">
        <f t="shared" si="39"/>
        <v>299376.97618</v>
      </c>
      <c r="U134" s="294">
        <f t="shared" si="39"/>
        <v>269992.95718999999</v>
      </c>
      <c r="V134" s="294">
        <f t="shared" si="39"/>
        <v>113156.07128999999</v>
      </c>
      <c r="W134" s="294">
        <f t="shared" si="39"/>
        <v>47837.633349999996</v>
      </c>
      <c r="X134" s="294">
        <f t="shared" si="39"/>
        <v>22100.704699999998</v>
      </c>
      <c r="Y134" s="294">
        <f t="shared" si="39"/>
        <v>8464.4380799999999</v>
      </c>
      <c r="Z134" s="294">
        <f t="shared" si="39"/>
        <v>1619.9149299999999</v>
      </c>
      <c r="AA134" s="294">
        <f t="shared" si="39"/>
        <v>1035.7478899999999</v>
      </c>
      <c r="AB134" s="294">
        <f t="shared" si="39"/>
        <v>776.98244</v>
      </c>
      <c r="AC134" s="294">
        <f t="shared" si="39"/>
        <v>11.94665</v>
      </c>
      <c r="AD134" s="294">
        <f t="shared" si="39"/>
        <v>1139535.5006897999</v>
      </c>
      <c r="AE134" s="294">
        <f t="shared" si="39"/>
        <v>96103.642920000013</v>
      </c>
      <c r="AF134" s="294">
        <f t="shared" si="39"/>
        <v>40642.46529</v>
      </c>
      <c r="AG134" s="294">
        <f t="shared" si="39"/>
        <v>74392.679050000006</v>
      </c>
      <c r="AH134" s="294">
        <f t="shared" si="39"/>
        <v>145309.28269990001</v>
      </c>
      <c r="AI134" s="294">
        <f t="shared" si="39"/>
        <v>133927.50988989999</v>
      </c>
      <c r="AJ134" s="294">
        <f t="shared" si="39"/>
        <v>57720.659030000003</v>
      </c>
      <c r="AK134" s="294">
        <f t="shared" si="39"/>
        <v>29517.215980000001</v>
      </c>
      <c r="AL134" s="294">
        <f t="shared" si="39"/>
        <v>16022.358189999999</v>
      </c>
      <c r="AM134" s="294">
        <f t="shared" si="39"/>
        <v>6804.5565299999998</v>
      </c>
      <c r="AN134" s="294">
        <f t="shared" si="39"/>
        <v>1543.5746900000001</v>
      </c>
      <c r="AO134" s="294">
        <f t="shared" si="39"/>
        <v>739.54813999999999</v>
      </c>
      <c r="AP134" s="294">
        <f t="shared" si="39"/>
        <v>563.51369999999997</v>
      </c>
      <c r="AQ134" s="294">
        <f t="shared" si="39"/>
        <v>9.5658500000000011</v>
      </c>
      <c r="AR134" s="294">
        <f t="shared" si="39"/>
        <v>668195.70289970003</v>
      </c>
    </row>
    <row r="137" spans="1:44" ht="23.25">
      <c r="A137" s="304" t="s">
        <v>65</v>
      </c>
      <c r="H137" t="s">
        <v>790</v>
      </c>
    </row>
    <row r="138" spans="1:44">
      <c r="A138" s="5" t="s">
        <v>591</v>
      </c>
      <c r="H138" t="s">
        <v>785</v>
      </c>
    </row>
    <row r="139" spans="1:44">
      <c r="A139" t="s">
        <v>592</v>
      </c>
      <c r="H139" t="s">
        <v>786</v>
      </c>
      <c r="I139">
        <v>27950</v>
      </c>
    </row>
    <row r="140" spans="1:44">
      <c r="A140" t="s">
        <v>594</v>
      </c>
      <c r="H140" t="s">
        <v>787</v>
      </c>
      <c r="I140">
        <v>138095</v>
      </c>
    </row>
    <row r="141" spans="1:44">
      <c r="A141" t="s">
        <v>593</v>
      </c>
      <c r="H141" t="s">
        <v>788</v>
      </c>
    </row>
    <row r="142" spans="1:44">
      <c r="A142" t="s">
        <v>595</v>
      </c>
      <c r="H142" t="s">
        <v>789</v>
      </c>
    </row>
    <row r="144" spans="1:44">
      <c r="A144" s="180"/>
      <c r="B144" s="180"/>
      <c r="C144" s="293" t="s">
        <v>29</v>
      </c>
      <c r="D144" s="293" t="s">
        <v>30</v>
      </c>
      <c r="E144" s="293" t="s">
        <v>31</v>
      </c>
    </row>
    <row r="145" spans="1:17">
      <c r="A145" t="str">
        <f>A131</f>
        <v>L</v>
      </c>
      <c r="C145" s="8">
        <f>SUM(C131:F131)</f>
        <v>2808913.9341313001</v>
      </c>
      <c r="D145" s="8">
        <f>SUM(G131:H131)</f>
        <v>2442873.8185411999</v>
      </c>
      <c r="E145" s="8">
        <f>SUM(I131:N131)</f>
        <v>2428157.1614393</v>
      </c>
    </row>
    <row r="146" spans="1:17">
      <c r="A146" t="str">
        <f>A132</f>
        <v>M</v>
      </c>
      <c r="C146" s="8">
        <f>SUM(C132:F132)</f>
        <v>113110.73303999999</v>
      </c>
      <c r="D146" s="8">
        <f>SUM(G132:H132)</f>
        <v>119902.45869999999</v>
      </c>
      <c r="E146" s="8">
        <f>SUM(I132:N132)</f>
        <v>314212.99784999999</v>
      </c>
    </row>
    <row r="147" spans="1:17">
      <c r="A147" t="str">
        <f>A133</f>
        <v>H, flat only</v>
      </c>
      <c r="C147" s="8">
        <f>SUM(C133:F133)</f>
        <v>173390.01009</v>
      </c>
      <c r="D147" s="8">
        <f>SUM(G133:H133)</f>
        <v>171161.94605999999</v>
      </c>
      <c r="E147" s="8">
        <f>SUM(I133:N133)</f>
        <v>297306.64218999993</v>
      </c>
    </row>
    <row r="148" spans="1:17">
      <c r="A148" s="301" t="s">
        <v>603</v>
      </c>
      <c r="B148" s="301"/>
      <c r="C148" s="302">
        <f>SUM(C145:C147)/(B38+F38+J38)</f>
        <v>0.48609698665338602</v>
      </c>
      <c r="D148" s="302">
        <f>SUM(D145:D147)/(C38+G38+K38)</f>
        <v>0.59178319328093298</v>
      </c>
      <c r="E148" s="302">
        <f>SUM(E145:E147)/(D38+H38+L38)</f>
        <v>0.87790135763040844</v>
      </c>
    </row>
    <row r="149" spans="1:17">
      <c r="A149" t="s">
        <v>621</v>
      </c>
      <c r="C149" s="12">
        <f>C148-0.1</f>
        <v>0.38609698665338599</v>
      </c>
      <c r="D149" s="12">
        <f>D148-0</f>
        <v>0.59178319328093298</v>
      </c>
      <c r="E149" s="12">
        <f>E148-0.1</f>
        <v>0.77790135763040846</v>
      </c>
      <c r="G149" t="s">
        <v>616</v>
      </c>
    </row>
    <row r="150" spans="1:17">
      <c r="A150" t="s">
        <v>613</v>
      </c>
      <c r="G150" t="s">
        <v>615</v>
      </c>
    </row>
    <row r="151" spans="1:17">
      <c r="A151" t="s">
        <v>609</v>
      </c>
    </row>
    <row r="152" spans="1:17">
      <c r="A152" t="s">
        <v>614</v>
      </c>
    </row>
    <row r="154" spans="1:17">
      <c r="A154" s="5" t="s">
        <v>622</v>
      </c>
    </row>
    <row r="155" spans="1:17">
      <c r="A155" t="s">
        <v>707</v>
      </c>
      <c r="B155" s="50">
        <v>0.83</v>
      </c>
    </row>
    <row r="156" spans="1:17">
      <c r="A156" s="348" t="s">
        <v>623</v>
      </c>
      <c r="B156" s="281"/>
      <c r="C156" s="281"/>
      <c r="D156" s="281"/>
      <c r="E156" s="281"/>
      <c r="F156" s="281"/>
      <c r="G156" s="281"/>
      <c r="H156" s="281"/>
      <c r="I156" s="281"/>
      <c r="J156" s="281"/>
    </row>
    <row r="157" spans="1:17">
      <c r="A157" s="303"/>
      <c r="B157" s="306">
        <v>2012</v>
      </c>
      <c r="C157" s="306">
        <v>2015</v>
      </c>
      <c r="D157" s="306">
        <v>2020</v>
      </c>
      <c r="E157" s="306">
        <v>2025</v>
      </c>
      <c r="F157" s="306">
        <v>2030</v>
      </c>
      <c r="G157" s="306">
        <v>2035</v>
      </c>
      <c r="H157" s="306">
        <v>2040</v>
      </c>
      <c r="I157" s="306">
        <v>2045</v>
      </c>
      <c r="J157" s="306">
        <v>2050</v>
      </c>
      <c r="M157">
        <v>2012</v>
      </c>
      <c r="N157">
        <v>2020</v>
      </c>
      <c r="O157">
        <v>2030</v>
      </c>
      <c r="P157">
        <v>2040</v>
      </c>
      <c r="Q157">
        <v>2050</v>
      </c>
    </row>
    <row r="158" spans="1:17">
      <c r="A158" s="305" t="s">
        <v>624</v>
      </c>
      <c r="B158" s="246">
        <f>'Census 2011_17'!F220/('Census 2011_17'!F220+'Census 2011_17'!F229+'Census 2011_17'!F238)</f>
        <v>0.44069965049004917</v>
      </c>
      <c r="C158" s="246">
        <v>0.41203514982295875</v>
      </c>
      <c r="D158" s="246">
        <v>0.35841205617429067</v>
      </c>
      <c r="E158" s="246">
        <v>0.3047889625256226</v>
      </c>
      <c r="F158" s="246">
        <v>0.24671281551815871</v>
      </c>
      <c r="G158" s="246">
        <v>0.21584791228647512</v>
      </c>
      <c r="H158" s="246">
        <v>0.20515725707689483</v>
      </c>
      <c r="I158" s="246">
        <v>0.19441851591517359</v>
      </c>
      <c r="J158" s="246">
        <v>0.19075610893566883</v>
      </c>
      <c r="M158" s="2">
        <v>23.44</v>
      </c>
      <c r="N158" s="2">
        <v>20.226802058814879</v>
      </c>
      <c r="O158" s="2">
        <v>15.010894352378211</v>
      </c>
      <c r="P158" s="2">
        <v>13.07165739636244</v>
      </c>
      <c r="Q158" s="7">
        <v>12.483029453011316</v>
      </c>
    </row>
    <row r="159" spans="1:17">
      <c r="A159" s="305" t="s">
        <v>625</v>
      </c>
      <c r="B159" s="246">
        <f>'Census 2011_17'!F229/('Census 2011_17'!F220+'Census 2011_17'!F229+'Census 2011_17'!F238)</f>
        <v>0.31972350159976914</v>
      </c>
      <c r="C159" s="246">
        <v>0.32170745877369533</v>
      </c>
      <c r="D159" s="246">
        <v>0.33129150255763584</v>
      </c>
      <c r="E159" s="246">
        <v>0.34314891259928809</v>
      </c>
      <c r="F159" s="246">
        <v>0.35479631169860942</v>
      </c>
      <c r="G159" s="246">
        <v>0.36295328626438511</v>
      </c>
      <c r="H159" s="246">
        <v>0.37032066697161542</v>
      </c>
      <c r="I159" s="246">
        <v>0.37804529564254075</v>
      </c>
      <c r="J159" s="246">
        <v>0.38542687989671309</v>
      </c>
      <c r="M159" s="2">
        <v>16.970364490783776</v>
      </c>
      <c r="N159" s="2">
        <v>18.696267412226998</v>
      </c>
      <c r="O159" s="2">
        <v>21.587082699112084</v>
      </c>
      <c r="P159" s="2">
        <v>23.595094584594914</v>
      </c>
      <c r="Q159" s="7">
        <v>25.222233356392799</v>
      </c>
    </row>
    <row r="160" spans="1:17">
      <c r="A160" s="305" t="s">
        <v>626</v>
      </c>
      <c r="B160" s="246">
        <f>'Census 2011_17'!F238/('Census 2011_17'!F220+'Census 2011_17'!F229+'Census 2011_17'!F238)</f>
        <v>0.23957684791018166</v>
      </c>
      <c r="C160" s="246">
        <v>0.26625739140334592</v>
      </c>
      <c r="D160" s="246">
        <v>0.31029644126807354</v>
      </c>
      <c r="E160" s="246">
        <v>0.35206212487508926</v>
      </c>
      <c r="F160" s="246">
        <v>0.39849087278323192</v>
      </c>
      <c r="G160" s="246">
        <v>0.42119880144913979</v>
      </c>
      <c r="H160" s="246">
        <v>0.42452207595148972</v>
      </c>
      <c r="I160" s="246">
        <v>0.42753618844228569</v>
      </c>
      <c r="J160" s="246">
        <v>0.42381701116761805</v>
      </c>
      <c r="M160" s="2">
        <v>12.622024542915524</v>
      </c>
      <c r="N160" s="2">
        <v>17.511421808958129</v>
      </c>
      <c r="O160" s="2">
        <v>24.245616828509707</v>
      </c>
      <c r="P160" s="2">
        <v>27.048553939042641</v>
      </c>
      <c r="Q160" s="7">
        <v>27.734473420595894</v>
      </c>
    </row>
    <row r="161" spans="1:20" ht="15">
      <c r="A161" s="293" t="s">
        <v>711</v>
      </c>
      <c r="B161" s="294">
        <f>M161*1000000</f>
        <v>53032389.033699304</v>
      </c>
      <c r="C161" s="294">
        <f>(B161+D161)/2</f>
        <v>54733440.156849653</v>
      </c>
      <c r="D161" s="294">
        <f>N161*1000000</f>
        <v>56434491.280000001</v>
      </c>
      <c r="E161" s="294">
        <f>(D161+F161)/2</f>
        <v>60074898.600000001</v>
      </c>
      <c r="F161" s="294">
        <f>P161*1000000</f>
        <v>63715305.920000002</v>
      </c>
      <c r="G161" s="294">
        <f>(F161+H161)/2</f>
        <v>63715305.920000002</v>
      </c>
      <c r="H161" s="294">
        <f>P161*1000000</f>
        <v>63715305.920000002</v>
      </c>
      <c r="I161" s="294">
        <f>(H161+J161)/2</f>
        <v>64577521.075000003</v>
      </c>
      <c r="J161" s="294">
        <f>Q161*1000000</f>
        <v>65439736.230000012</v>
      </c>
      <c r="M161" s="307">
        <v>53.032389033699303</v>
      </c>
      <c r="N161" s="307">
        <v>56.434491280000003</v>
      </c>
      <c r="O161" s="307">
        <v>60.84359388</v>
      </c>
      <c r="P161" s="307">
        <v>63.715305919999999</v>
      </c>
      <c r="Q161" s="307">
        <v>65.439736230000008</v>
      </c>
    </row>
    <row r="162" spans="1:20" ht="15">
      <c r="A162" s="342" t="s">
        <v>649</v>
      </c>
      <c r="B162" s="343">
        <f>('Census 2011_17'!F220+'Census 2011_17'!F229+'Census 2011_17'!F238)</f>
        <v>14450161.490948498</v>
      </c>
      <c r="C162" s="343">
        <f>B162*C161/B161</f>
        <v>14913660.569186559</v>
      </c>
      <c r="D162" s="343">
        <f t="shared" ref="D162:J162" si="40">C162*D161/C161</f>
        <v>15377159.64742462</v>
      </c>
      <c r="E162" s="343">
        <f t="shared" si="40"/>
        <v>16369090.703621307</v>
      </c>
      <c r="F162" s="343">
        <f t="shared" si="40"/>
        <v>17361021.759817995</v>
      </c>
      <c r="G162" s="343">
        <f t="shared" si="40"/>
        <v>17361021.759817995</v>
      </c>
      <c r="H162" s="343">
        <f t="shared" si="40"/>
        <v>17361021.759817995</v>
      </c>
      <c r="I162" s="343">
        <f t="shared" si="40"/>
        <v>17595956.456457365</v>
      </c>
      <c r="J162" s="343">
        <f t="shared" si="40"/>
        <v>17830891.153096739</v>
      </c>
      <c r="M162" s="307"/>
      <c r="N162" s="307"/>
      <c r="O162" s="307"/>
      <c r="P162" s="307"/>
      <c r="Q162" s="307"/>
    </row>
    <row r="163" spans="1:20" ht="15">
      <c r="A163" s="342" t="s">
        <v>839</v>
      </c>
      <c r="B163" s="343"/>
      <c r="C163" s="343"/>
      <c r="D163" s="343"/>
      <c r="E163" s="343"/>
      <c r="F163" s="343"/>
      <c r="G163" s="343"/>
      <c r="H163" s="343"/>
      <c r="I163" s="343"/>
      <c r="J163" s="343"/>
      <c r="M163" s="307"/>
      <c r="N163" s="307"/>
      <c r="O163" s="307"/>
      <c r="P163" s="307"/>
      <c r="Q163" s="307"/>
    </row>
    <row r="164" spans="1:20" ht="15">
      <c r="A164" s="272" t="s">
        <v>840</v>
      </c>
      <c r="B164" s="24"/>
      <c r="C164" s="24"/>
      <c r="D164" s="24"/>
      <c r="E164" s="24"/>
      <c r="F164" s="24"/>
      <c r="G164" s="24"/>
      <c r="H164" s="24"/>
      <c r="I164" s="24"/>
      <c r="J164" s="24"/>
      <c r="M164" s="307"/>
      <c r="N164" s="307"/>
      <c r="O164" s="307"/>
      <c r="P164" s="307"/>
      <c r="Q164" s="307"/>
    </row>
    <row r="165" spans="1:20" ht="15">
      <c r="A165" s="272" t="s">
        <v>635</v>
      </c>
      <c r="B165" s="271">
        <v>0.92010637445368726</v>
      </c>
      <c r="C165" s="271">
        <f>B165</f>
        <v>0.92010637445368726</v>
      </c>
      <c r="D165" s="271">
        <f t="shared" ref="D165:J165" si="41">C165</f>
        <v>0.92010637445368726</v>
      </c>
      <c r="E165" s="271">
        <f t="shared" si="41"/>
        <v>0.92010637445368726</v>
      </c>
      <c r="F165" s="271">
        <f t="shared" si="41"/>
        <v>0.92010637445368726</v>
      </c>
      <c r="G165" s="271">
        <f t="shared" si="41"/>
        <v>0.92010637445368726</v>
      </c>
      <c r="H165" s="271">
        <f t="shared" si="41"/>
        <v>0.92010637445368726</v>
      </c>
      <c r="I165" s="271">
        <f t="shared" si="41"/>
        <v>0.92010637445368726</v>
      </c>
      <c r="J165" s="271">
        <f t="shared" si="41"/>
        <v>0.92010637445368726</v>
      </c>
      <c r="K165" s="24" t="s">
        <v>841</v>
      </c>
      <c r="M165" s="307"/>
      <c r="N165" s="307"/>
      <c r="O165" s="307"/>
      <c r="P165" s="307"/>
      <c r="Q165" s="307"/>
    </row>
    <row r="166" spans="1:20" ht="15">
      <c r="A166" s="309" t="s">
        <v>634</v>
      </c>
      <c r="B166" s="310">
        <f>B$162*B158</f>
        <v>6368181.1185857709</v>
      </c>
      <c r="C166" s="310">
        <f t="shared" ref="C166:J166" si="42">C$162*C158</f>
        <v>6144952.3670335356</v>
      </c>
      <c r="D166" s="310">
        <f t="shared" si="42"/>
        <v>5511359.4073537886</v>
      </c>
      <c r="E166" s="310">
        <f t="shared" si="42"/>
        <v>4989118.1730445521</v>
      </c>
      <c r="F166" s="310">
        <f t="shared" si="42"/>
        <v>4283186.5586367166</v>
      </c>
      <c r="G166" s="310">
        <f t="shared" si="42"/>
        <v>3747340.3020167807</v>
      </c>
      <c r="H166" s="310">
        <f t="shared" si="42"/>
        <v>3561739.6042965455</v>
      </c>
      <c r="I166" s="310">
        <f t="shared" si="42"/>
        <v>3420979.7403724575</v>
      </c>
      <c r="J166" s="310">
        <f t="shared" si="42"/>
        <v>3401351.4152201749</v>
      </c>
      <c r="M166" s="307"/>
      <c r="N166" s="307"/>
      <c r="O166" s="307"/>
      <c r="P166" s="307"/>
      <c r="Q166" s="307"/>
    </row>
    <row r="167" spans="1:20" ht="15">
      <c r="A167" s="309" t="s">
        <v>725</v>
      </c>
      <c r="B167" s="310">
        <f>B159*B162</f>
        <v>4620056.2305681948</v>
      </c>
      <c r="C167" s="310">
        <f t="shared" ref="C167:J167" si="43">C159*C162</f>
        <v>4797835.8427264709</v>
      </c>
      <c r="D167" s="310">
        <f t="shared" si="43"/>
        <v>5094322.3246639483</v>
      </c>
      <c r="E167" s="310">
        <f t="shared" si="43"/>
        <v>5617035.6751867672</v>
      </c>
      <c r="F167" s="310">
        <f t="shared" si="43"/>
        <v>6159626.4877027264</v>
      </c>
      <c r="G167" s="310">
        <f t="shared" si="43"/>
        <v>6301239.9006334394</v>
      </c>
      <c r="H167" s="310">
        <f t="shared" si="43"/>
        <v>6429145.157404528</v>
      </c>
      <c r="I167" s="310">
        <f t="shared" si="43"/>
        <v>6652068.5606946982</v>
      </c>
      <c r="J167" s="310">
        <f t="shared" si="43"/>
        <v>6872504.7429159805</v>
      </c>
      <c r="K167" s="6" t="s">
        <v>642</v>
      </c>
      <c r="M167" s="307"/>
      <c r="N167" s="307"/>
      <c r="O167" s="307"/>
      <c r="P167" s="307"/>
      <c r="Q167" s="307"/>
    </row>
    <row r="168" spans="1:20" ht="15">
      <c r="A168" s="309" t="s">
        <v>635</v>
      </c>
      <c r="B168" s="310">
        <f>B$162*B160*B165</f>
        <v>3185338.4707402596</v>
      </c>
      <c r="C168" s="310">
        <f>C$162*C160*C165</f>
        <v>3653624.9700503242</v>
      </c>
      <c r="D168" s="310">
        <f t="shared" ref="D168:J168" si="44">D$162*D160*D165</f>
        <v>4390267.2455308652</v>
      </c>
      <c r="E168" s="310">
        <f t="shared" si="44"/>
        <v>5302514.9362184145</v>
      </c>
      <c r="F168" s="310">
        <f t="shared" si="44"/>
        <v>6365487.9370726608</v>
      </c>
      <c r="G168" s="310">
        <f t="shared" si="44"/>
        <v>6728224.0895701172</v>
      </c>
      <c r="H168" s="310">
        <f t="shared" si="44"/>
        <v>6781310.032564342</v>
      </c>
      <c r="I168" s="310">
        <f t="shared" si="44"/>
        <v>6921875.7482041614</v>
      </c>
      <c r="J168" s="310">
        <f t="shared" si="44"/>
        <v>6953276.0708328206</v>
      </c>
      <c r="M168" s="307"/>
      <c r="N168" s="307"/>
      <c r="O168" s="307"/>
      <c r="P168" s="307"/>
      <c r="Q168" s="307"/>
      <c r="T168">
        <f>D181/B168</f>
        <v>8.7745777275293861E-3</v>
      </c>
    </row>
    <row r="169" spans="1:20" ht="15">
      <c r="A169" s="340" t="s">
        <v>708</v>
      </c>
      <c r="B169" s="341"/>
      <c r="C169" s="341"/>
      <c r="D169" s="341"/>
      <c r="E169" s="341"/>
      <c r="F169" s="341"/>
      <c r="G169" s="341"/>
      <c r="H169" s="341"/>
      <c r="I169" s="341"/>
      <c r="J169" s="341"/>
      <c r="M169" s="344">
        <v>2012</v>
      </c>
      <c r="N169" s="344">
        <v>2020</v>
      </c>
      <c r="O169" s="344">
        <v>2030</v>
      </c>
      <c r="P169" s="344">
        <v>2040</v>
      </c>
      <c r="Q169" s="344">
        <v>2050</v>
      </c>
    </row>
    <row r="170" spans="1:20">
      <c r="A170" s="309" t="s">
        <v>18</v>
      </c>
      <c r="B170" s="345">
        <f>M170</f>
        <v>0.77484957211901018</v>
      </c>
      <c r="C170" s="347">
        <f>B170+(D170-B170)*(C$157-B$157)/(D$157-B$157)</f>
        <v>0.78428098257438139</v>
      </c>
      <c r="D170" s="345">
        <f>N170</f>
        <v>0.8</v>
      </c>
      <c r="E170" s="347">
        <f>D170+(F170-D170)*(E$157-D$157)/(F$157-D$157)</f>
        <v>0.82499999999999996</v>
      </c>
      <c r="F170" s="345">
        <f>O170</f>
        <v>0.85</v>
      </c>
      <c r="G170" s="347">
        <f>F170+(H170-F170)*(G$157-F$157)/(H$157-F$157)</f>
        <v>0.875</v>
      </c>
      <c r="H170" s="345">
        <f>P170</f>
        <v>0.9</v>
      </c>
      <c r="I170" s="347">
        <f>H170+(J170-H170)*(I$157-H$157)/(J$157-H$157)</f>
        <v>0.92500000000000004</v>
      </c>
      <c r="J170" s="345">
        <f>Q170</f>
        <v>0.95</v>
      </c>
      <c r="M170" s="345">
        <f>'Census 2011_17'!D220/'Census 2011_17'!F220</f>
        <v>0.77484957211901018</v>
      </c>
      <c r="N170" s="345">
        <v>0.8</v>
      </c>
      <c r="O170" s="345">
        <v>0.85</v>
      </c>
      <c r="P170" s="345">
        <v>0.9</v>
      </c>
      <c r="Q170" s="345">
        <v>0.95</v>
      </c>
    </row>
    <row r="171" spans="1:20" ht="15">
      <c r="A171" s="309" t="s">
        <v>709</v>
      </c>
      <c r="B171" s="345">
        <f>M171</f>
        <v>0.85487365806023408</v>
      </c>
      <c r="C171" s="347">
        <f>B171+(D171-B171)*(C$157-B$157)/(D$157-B$157)</f>
        <v>0.87179603628764635</v>
      </c>
      <c r="D171" s="345">
        <f>N171</f>
        <v>0.9</v>
      </c>
      <c r="E171" s="347">
        <f>D171+(F171-D171)*(E$157-D$157)/(F$157-D$157)</f>
        <v>0.92500000000000004</v>
      </c>
      <c r="F171" s="345">
        <f>O171</f>
        <v>0.95</v>
      </c>
      <c r="G171" s="347">
        <f>F171+(H171-F171)*(G$157-F$157)/(H$157-F$157)</f>
        <v>0.95</v>
      </c>
      <c r="H171" s="345">
        <f>P171</f>
        <v>0.95</v>
      </c>
      <c r="I171" s="347">
        <f>H171+(J171-H171)*(I$157-H$157)/(J$157-H$157)</f>
        <v>0.97499999999999998</v>
      </c>
      <c r="J171" s="345">
        <f>Q171</f>
        <v>1</v>
      </c>
      <c r="M171" s="346">
        <f>'Census 2011_17'!D229/'Census 2011_17'!F229</f>
        <v>0.85487365806023408</v>
      </c>
      <c r="N171" s="346">
        <v>0.9</v>
      </c>
      <c r="O171" s="346">
        <v>0.95</v>
      </c>
      <c r="P171" s="346">
        <v>0.95</v>
      </c>
      <c r="Q171" s="346">
        <v>1</v>
      </c>
    </row>
    <row r="172" spans="1:20" ht="15">
      <c r="A172" s="340" t="s">
        <v>710</v>
      </c>
      <c r="B172" s="341"/>
      <c r="C172" s="341"/>
      <c r="D172" s="341"/>
      <c r="E172" s="341"/>
      <c r="F172" s="341"/>
      <c r="G172" s="341"/>
      <c r="H172" s="341"/>
      <c r="I172" s="341"/>
      <c r="J172" s="341"/>
      <c r="M172" s="307"/>
      <c r="N172" s="307"/>
      <c r="O172" s="307"/>
      <c r="P172" s="307"/>
      <c r="Q172" s="307"/>
    </row>
    <row r="173" spans="1:20" ht="15">
      <c r="A173" s="309" t="str">
        <f>A170</f>
        <v>Low income</v>
      </c>
      <c r="B173" s="310">
        <f>B170*B166</f>
        <v>4934382.4149125442</v>
      </c>
      <c r="C173" s="310">
        <f t="shared" ref="C173:J173" si="45">C170*C166</f>
        <v>4819369.2802898316</v>
      </c>
      <c r="D173" s="310">
        <f t="shared" si="45"/>
        <v>4409087.5258830311</v>
      </c>
      <c r="E173" s="310">
        <f t="shared" si="45"/>
        <v>4116022.4927617554</v>
      </c>
      <c r="F173" s="310">
        <f t="shared" si="45"/>
        <v>3640708.5748412088</v>
      </c>
      <c r="G173" s="310">
        <f t="shared" si="45"/>
        <v>3278922.7642646832</v>
      </c>
      <c r="H173" s="310">
        <f t="shared" si="45"/>
        <v>3205565.643866891</v>
      </c>
      <c r="I173" s="310">
        <f t="shared" si="45"/>
        <v>3164406.2598445234</v>
      </c>
      <c r="J173" s="310">
        <f t="shared" si="45"/>
        <v>3231283.8444591658</v>
      </c>
      <c r="M173" s="307"/>
      <c r="N173" s="307"/>
      <c r="O173" s="307"/>
      <c r="P173" s="307"/>
      <c r="Q173" s="307"/>
    </row>
    <row r="174" spans="1:20" ht="15">
      <c r="A174" s="309" t="str">
        <f>A171</f>
        <v>Middlel income</v>
      </c>
      <c r="B174" s="310">
        <f>B171*B167</f>
        <v>3949564.3702698089</v>
      </c>
      <c r="C174" s="310">
        <f t="shared" ref="C174:J174" si="46">C171*C167</f>
        <v>4182734.2704477366</v>
      </c>
      <c r="D174" s="310">
        <f t="shared" si="46"/>
        <v>4584890.0921975533</v>
      </c>
      <c r="E174" s="310">
        <f t="shared" si="46"/>
        <v>5195757.99954776</v>
      </c>
      <c r="F174" s="310">
        <f t="shared" si="46"/>
        <v>5851645.16331759</v>
      </c>
      <c r="G174" s="310">
        <f t="shared" si="46"/>
        <v>5986177.9056017669</v>
      </c>
      <c r="H174" s="310">
        <f t="shared" si="46"/>
        <v>6107687.8995343009</v>
      </c>
      <c r="I174" s="310">
        <f t="shared" si="46"/>
        <v>6485766.8466773303</v>
      </c>
      <c r="J174" s="310">
        <f t="shared" si="46"/>
        <v>6872504.7429159805</v>
      </c>
      <c r="M174" s="307"/>
      <c r="N174" s="307"/>
      <c r="O174" s="307"/>
      <c r="P174" s="307"/>
      <c r="Q174" s="307"/>
    </row>
    <row r="175" spans="1:20" ht="15">
      <c r="A175" s="340" t="s">
        <v>727</v>
      </c>
      <c r="B175" s="341"/>
      <c r="C175" s="341"/>
      <c r="D175" s="341"/>
      <c r="E175" s="341"/>
      <c r="F175" s="341"/>
      <c r="G175" s="341"/>
      <c r="H175" s="341"/>
      <c r="I175" s="341"/>
      <c r="J175" s="341"/>
      <c r="K175" t="s">
        <v>726</v>
      </c>
      <c r="M175" s="307"/>
      <c r="N175" s="307"/>
      <c r="O175" s="307"/>
      <c r="P175" s="307"/>
      <c r="Q175" s="307"/>
    </row>
    <row r="176" spans="1:20" ht="15">
      <c r="A176" s="309" t="s">
        <v>428</v>
      </c>
      <c r="B176" s="345">
        <v>0.51061825480855005</v>
      </c>
      <c r="C176" s="246">
        <f>$M176*$N176*EXP($O176*C$179)/($M176+$N176*(EXP($O176*C$179)-1))</f>
        <v>0.51061825480855005</v>
      </c>
      <c r="D176" s="246">
        <f t="shared" ref="D176:J176" si="47">$M176*$N176*EXP($O176*D$179)/($M176+$N176*(EXP($O176*D$179)-1))</f>
        <v>0.51061825480855005</v>
      </c>
      <c r="E176" s="246">
        <f t="shared" si="47"/>
        <v>0.59564599080959524</v>
      </c>
      <c r="F176" s="246">
        <f t="shared" si="47"/>
        <v>0.66654344093048379</v>
      </c>
      <c r="G176" s="246">
        <f t="shared" si="47"/>
        <v>0.69007611535844859</v>
      </c>
      <c r="H176" s="246">
        <f t="shared" si="47"/>
        <v>0.69712770559759385</v>
      </c>
      <c r="I176" s="246">
        <f t="shared" si="47"/>
        <v>0.69917465754622554</v>
      </c>
      <c r="J176" s="246">
        <f t="shared" si="47"/>
        <v>0.6997633363336575</v>
      </c>
      <c r="K176">
        <v>1</v>
      </c>
      <c r="M176" s="307">
        <v>0.7</v>
      </c>
      <c r="N176" s="307">
        <f>B176</f>
        <v>0.51061825480855005</v>
      </c>
      <c r="O176" s="307">
        <v>0.25</v>
      </c>
    </row>
    <row r="177" spans="1:19" ht="15">
      <c r="A177" s="309" t="s">
        <v>724</v>
      </c>
      <c r="B177" s="310">
        <f>B176*B174</f>
        <v>2016719.6660011997</v>
      </c>
      <c r="C177" s="310">
        <f t="shared" ref="C177:J177" si="48">C176*C174</f>
        <v>2135780.473503937</v>
      </c>
      <c r="D177" s="310">
        <f t="shared" si="48"/>
        <v>2341128.5773669267</v>
      </c>
      <c r="E177" s="310">
        <f t="shared" si="48"/>
        <v>3094832.4216475058</v>
      </c>
      <c r="F177" s="310">
        <f t="shared" si="48"/>
        <v>3900375.7022619294</v>
      </c>
      <c r="G177" s="310">
        <f t="shared" si="48"/>
        <v>4130918.3949422413</v>
      </c>
      <c r="H177" s="310">
        <f t="shared" si="48"/>
        <v>4257838.4519085344</v>
      </c>
      <c r="I177" s="310">
        <f t="shared" si="48"/>
        <v>4534683.8139502853</v>
      </c>
      <c r="J177" s="310">
        <f t="shared" si="48"/>
        <v>4809126.847871772</v>
      </c>
      <c r="M177" s="307"/>
      <c r="N177" s="307"/>
      <c r="O177" s="307"/>
      <c r="P177" s="307"/>
      <c r="Q177" s="307"/>
    </row>
    <row r="178" spans="1:19" ht="15">
      <c r="A178" s="2"/>
      <c r="B178" s="2"/>
      <c r="D178" s="2"/>
      <c r="F178" s="2"/>
      <c r="H178" s="2"/>
      <c r="J178" s="2"/>
      <c r="M178" s="307"/>
      <c r="N178" s="307"/>
      <c r="O178" s="307"/>
      <c r="P178" s="307"/>
      <c r="Q178" s="307"/>
    </row>
    <row r="179" spans="1:19">
      <c r="A179" s="305" t="s">
        <v>714</v>
      </c>
      <c r="B179" s="303"/>
      <c r="C179" s="303"/>
      <c r="D179" s="303">
        <v>0</v>
      </c>
      <c r="E179" s="303">
        <f t="shared" ref="E179:L179" si="49">E$180-$D$180</f>
        <v>3</v>
      </c>
      <c r="F179" s="303">
        <f t="shared" si="49"/>
        <v>8</v>
      </c>
      <c r="G179" s="303">
        <f t="shared" si="49"/>
        <v>13</v>
      </c>
      <c r="H179" s="303">
        <f t="shared" si="49"/>
        <v>18</v>
      </c>
      <c r="I179" s="303">
        <f t="shared" si="49"/>
        <v>23</v>
      </c>
      <c r="J179" s="303">
        <f t="shared" si="49"/>
        <v>28</v>
      </c>
      <c r="K179" s="303">
        <f t="shared" si="49"/>
        <v>33</v>
      </c>
      <c r="L179" s="303">
        <f t="shared" si="49"/>
        <v>38</v>
      </c>
      <c r="O179" t="s">
        <v>619</v>
      </c>
    </row>
    <row r="180" spans="1:19">
      <c r="A180" s="305" t="s">
        <v>637</v>
      </c>
      <c r="B180" s="303" t="s">
        <v>612</v>
      </c>
      <c r="C180" s="303"/>
      <c r="D180" s="305">
        <v>2012</v>
      </c>
      <c r="E180" s="305">
        <v>2015</v>
      </c>
      <c r="F180" s="305">
        <v>2020</v>
      </c>
      <c r="G180" s="305">
        <v>2025</v>
      </c>
      <c r="H180" s="305">
        <v>2030</v>
      </c>
      <c r="I180" s="305">
        <v>2035</v>
      </c>
      <c r="J180" s="305">
        <v>2040</v>
      </c>
      <c r="K180" s="305">
        <v>2045</v>
      </c>
      <c r="L180" s="305">
        <v>2050</v>
      </c>
      <c r="N180" s="5" t="s">
        <v>618</v>
      </c>
      <c r="O180" s="14" t="s">
        <v>617</v>
      </c>
      <c r="P180" s="14" t="s">
        <v>460</v>
      </c>
      <c r="Q180" s="14" t="s">
        <v>632</v>
      </c>
      <c r="R180" s="14" t="s">
        <v>620</v>
      </c>
    </row>
    <row r="181" spans="1:19">
      <c r="A181" s="303"/>
      <c r="B181" s="303" t="s">
        <v>59</v>
      </c>
      <c r="C181" s="303" t="s">
        <v>610</v>
      </c>
      <c r="D181" s="246">
        <f t="shared" ref="D181:L186" si="50">$O181*$P181*EXP($Q181*D$179)/($O181+$P181*(EXP($Q181*D$179)-1))</f>
        <v>27950</v>
      </c>
      <c r="E181" s="246">
        <f t="shared" si="50"/>
        <v>58857.570340177561</v>
      </c>
      <c r="F181" s="246">
        <f t="shared" si="50"/>
        <v>200435.52081881356</v>
      </c>
      <c r="G181" s="246">
        <f t="shared" si="50"/>
        <v>644835.81944953371</v>
      </c>
      <c r="H181" s="246">
        <f t="shared" si="50"/>
        <v>1767791.3285220149</v>
      </c>
      <c r="I181" s="246">
        <f t="shared" si="50"/>
        <v>3528078.5781210754</v>
      </c>
      <c r="J181" s="246">
        <f t="shared" si="50"/>
        <v>4936368.239469626</v>
      </c>
      <c r="K181" s="246">
        <f t="shared" si="50"/>
        <v>5573805.5052590463</v>
      </c>
      <c r="L181" s="246">
        <f t="shared" si="50"/>
        <v>5787939.5827813214</v>
      </c>
      <c r="N181">
        <v>100</v>
      </c>
      <c r="O181" s="8">
        <f>$E$149*$J$160*$J$162*N181/100</f>
        <v>5878627.7822403442</v>
      </c>
      <c r="P181">
        <f>I139</f>
        <v>27950</v>
      </c>
      <c r="Q181">
        <v>0.25</v>
      </c>
      <c r="R181">
        <f>J161*J160</f>
        <v>27734473.420595895</v>
      </c>
      <c r="S181" t="s">
        <v>627</v>
      </c>
    </row>
    <row r="182" spans="1:19">
      <c r="A182" s="303"/>
      <c r="B182" s="303"/>
      <c r="C182" s="303" t="s">
        <v>58</v>
      </c>
      <c r="D182" s="246">
        <f t="shared" si="50"/>
        <v>27950</v>
      </c>
      <c r="E182" s="246">
        <f t="shared" si="50"/>
        <v>58548.275416055978</v>
      </c>
      <c r="F182" s="246">
        <f t="shared" si="50"/>
        <v>194695.64237629084</v>
      </c>
      <c r="G182" s="246">
        <f t="shared" si="50"/>
        <v>583330.4215300451</v>
      </c>
      <c r="H182" s="246">
        <f t="shared" si="50"/>
        <v>1362591.5828017865</v>
      </c>
      <c r="I182" s="246">
        <f t="shared" si="50"/>
        <v>2207472.8269972703</v>
      </c>
      <c r="J182" s="246">
        <f t="shared" si="50"/>
        <v>2684342.6181293325</v>
      </c>
      <c r="K182" s="246">
        <f t="shared" si="50"/>
        <v>2861443.845201401</v>
      </c>
      <c r="L182" s="246">
        <f t="shared" si="50"/>
        <v>2916573.9106388506</v>
      </c>
      <c r="N182">
        <v>50</v>
      </c>
      <c r="O182" s="8">
        <f>$E$149*$J$160*$J$162*N182/100</f>
        <v>2939313.8911201721</v>
      </c>
      <c r="P182">
        <f>P181</f>
        <v>27950</v>
      </c>
      <c r="Q182">
        <f>Q181</f>
        <v>0.25</v>
      </c>
    </row>
    <row r="183" spans="1:19">
      <c r="A183" s="303"/>
      <c r="B183" s="303"/>
      <c r="C183" s="303" t="s">
        <v>611</v>
      </c>
      <c r="D183" s="246">
        <f t="shared" si="50"/>
        <v>27950</v>
      </c>
      <c r="E183" s="246">
        <f t="shared" si="50"/>
        <v>58754.109576479277</v>
      </c>
      <c r="F183" s="246">
        <f t="shared" si="50"/>
        <v>198484.98972358942</v>
      </c>
      <c r="G183" s="246">
        <f t="shared" si="50"/>
        <v>622941.83284232824</v>
      </c>
      <c r="H183" s="246">
        <f t="shared" si="50"/>
        <v>1608362.7366748778</v>
      </c>
      <c r="I183" s="246">
        <f t="shared" si="50"/>
        <v>2941500.8811973915</v>
      </c>
      <c r="J183" s="246">
        <f t="shared" si="50"/>
        <v>3857593.8519480298</v>
      </c>
      <c r="K183" s="246">
        <f t="shared" si="50"/>
        <v>4235522.1606349265</v>
      </c>
      <c r="L183" s="246">
        <f t="shared" si="50"/>
        <v>4357841.8257824276</v>
      </c>
      <c r="N183">
        <v>75</v>
      </c>
      <c r="O183" s="8">
        <f>$E$149*$J$160*$J$162*N183/100</f>
        <v>4408970.8366802577</v>
      </c>
      <c r="P183">
        <f>P182</f>
        <v>27950</v>
      </c>
      <c r="Q183">
        <f>Q182</f>
        <v>0.25</v>
      </c>
    </row>
    <row r="184" spans="1:19">
      <c r="A184" s="305" t="s">
        <v>636</v>
      </c>
      <c r="B184" s="303" t="s">
        <v>639</v>
      </c>
      <c r="C184" s="303" t="s">
        <v>610</v>
      </c>
      <c r="D184" s="246">
        <f t="shared" si="50"/>
        <v>138095</v>
      </c>
      <c r="E184" s="246">
        <f t="shared" si="50"/>
        <v>245822.29529794829</v>
      </c>
      <c r="F184" s="246">
        <f t="shared" si="50"/>
        <v>614262.76573844638</v>
      </c>
      <c r="G184" s="246">
        <f t="shared" si="50"/>
        <v>1369229.5320803381</v>
      </c>
      <c r="H184" s="246">
        <f t="shared" si="50"/>
        <v>2499262.1230827225</v>
      </c>
      <c r="I184" s="246">
        <f t="shared" si="50"/>
        <v>3588897.8226191034</v>
      </c>
      <c r="J184" s="246">
        <f t="shared" si="50"/>
        <v>4274477.7524382714</v>
      </c>
      <c r="K184" s="246">
        <f t="shared" si="50"/>
        <v>4597573.4665484382</v>
      </c>
      <c r="L184" s="246">
        <f t="shared" si="50"/>
        <v>4729074.700587227</v>
      </c>
      <c r="N184">
        <v>100</v>
      </c>
      <c r="O184" s="8">
        <f>J177</f>
        <v>4809126.847871772</v>
      </c>
      <c r="P184">
        <f>I140</f>
        <v>138095</v>
      </c>
      <c r="Q184">
        <v>0.2</v>
      </c>
    </row>
    <row r="185" spans="1:19">
      <c r="A185" s="303"/>
      <c r="B185" s="303"/>
      <c r="C185" s="303" t="s">
        <v>58</v>
      </c>
      <c r="D185" s="246">
        <f t="shared" si="50"/>
        <v>138095</v>
      </c>
      <c r="E185" s="246">
        <f t="shared" si="50"/>
        <v>240280.7372903153</v>
      </c>
      <c r="F185" s="246">
        <f t="shared" si="50"/>
        <v>557437.27795969637</v>
      </c>
      <c r="G185" s="246">
        <f t="shared" si="50"/>
        <v>1083621.5619265069</v>
      </c>
      <c r="H185" s="246">
        <f t="shared" si="50"/>
        <v>1660097.0793513348</v>
      </c>
      <c r="I185" s="246">
        <f t="shared" si="50"/>
        <v>2064047.9286188548</v>
      </c>
      <c r="J185" s="246">
        <f t="shared" si="50"/>
        <v>2266978.7469702698</v>
      </c>
      <c r="K185" s="246">
        <f t="shared" si="50"/>
        <v>2352049.4852583357</v>
      </c>
      <c r="L185" s="246">
        <f t="shared" si="50"/>
        <v>2384974.1950583998</v>
      </c>
      <c r="N185">
        <v>50</v>
      </c>
      <c r="O185" s="8">
        <f>J177*N185/100</f>
        <v>2404563.423935886</v>
      </c>
      <c r="P185">
        <f>P184</f>
        <v>138095</v>
      </c>
      <c r="Q185">
        <f>Q184</f>
        <v>0.2</v>
      </c>
    </row>
    <row r="186" spans="1:19">
      <c r="A186" s="303"/>
      <c r="B186" s="303"/>
      <c r="C186" s="303" t="s">
        <v>611</v>
      </c>
      <c r="D186" s="246">
        <f t="shared" si="50"/>
        <v>138095</v>
      </c>
      <c r="E186" s="246">
        <f t="shared" si="50"/>
        <v>243946.9250522849</v>
      </c>
      <c r="F186" s="246">
        <f t="shared" si="50"/>
        <v>594075.94723062252</v>
      </c>
      <c r="G186" s="246">
        <f t="shared" si="50"/>
        <v>1258649.6109614698</v>
      </c>
      <c r="H186" s="246">
        <f t="shared" si="50"/>
        <v>2138868.7620435925</v>
      </c>
      <c r="I186" s="246">
        <f t="shared" si="50"/>
        <v>2879744.6612418857</v>
      </c>
      <c r="J186" s="246">
        <f t="shared" si="50"/>
        <v>3300296.800101405</v>
      </c>
      <c r="K186" s="246">
        <f t="shared" si="50"/>
        <v>3487669.6783072087</v>
      </c>
      <c r="L186" s="246">
        <f t="shared" si="50"/>
        <v>3562067.7051859237</v>
      </c>
      <c r="N186">
        <v>75</v>
      </c>
      <c r="O186" s="8">
        <f>N186*J177/100</f>
        <v>3606845.1359038288</v>
      </c>
      <c r="P186">
        <f>P185</f>
        <v>138095</v>
      </c>
      <c r="Q186">
        <f>Q185</f>
        <v>0.2</v>
      </c>
    </row>
    <row r="187" spans="1:19">
      <c r="A187" s="303"/>
      <c r="B187" t="s">
        <v>428</v>
      </c>
      <c r="C187" s="303" t="s">
        <v>638</v>
      </c>
      <c r="D187" s="339">
        <v>0</v>
      </c>
      <c r="E187" s="339">
        <v>0</v>
      </c>
      <c r="F187" s="339">
        <v>0.05</v>
      </c>
      <c r="G187" s="339">
        <v>0.1</v>
      </c>
      <c r="H187" s="339">
        <v>0.15</v>
      </c>
      <c r="I187" s="339">
        <v>0.15</v>
      </c>
      <c r="J187" s="339">
        <v>0.15</v>
      </c>
      <c r="K187" s="339">
        <v>0.15</v>
      </c>
      <c r="L187" s="339">
        <v>0.15</v>
      </c>
      <c r="O187" s="8"/>
    </row>
    <row r="188" spans="1:19">
      <c r="A188" s="303"/>
      <c r="B188" s="303" t="s">
        <v>640</v>
      </c>
      <c r="C188" s="303" t="s">
        <v>610</v>
      </c>
      <c r="D188" s="311">
        <f>D184*D$187</f>
        <v>0</v>
      </c>
      <c r="E188" s="311">
        <f t="shared" ref="E188:L188" si="51">E184*E$187</f>
        <v>0</v>
      </c>
      <c r="F188" s="311">
        <f t="shared" si="51"/>
        <v>30713.13828692232</v>
      </c>
      <c r="G188" s="311">
        <f t="shared" si="51"/>
        <v>136922.95320803381</v>
      </c>
      <c r="H188" s="311">
        <f t="shared" si="51"/>
        <v>374889.31846240838</v>
      </c>
      <c r="I188" s="311">
        <f t="shared" si="51"/>
        <v>538334.67339286546</v>
      </c>
      <c r="J188" s="311">
        <f t="shared" si="51"/>
        <v>641171.66286574071</v>
      </c>
      <c r="K188" s="311">
        <f t="shared" si="51"/>
        <v>689636.01998226566</v>
      </c>
      <c r="L188" s="311">
        <f t="shared" si="51"/>
        <v>709361.20508808398</v>
      </c>
      <c r="O188" s="8"/>
    </row>
    <row r="189" spans="1:19">
      <c r="A189" s="303"/>
      <c r="B189" s="303"/>
      <c r="C189" s="303" t="s">
        <v>58</v>
      </c>
      <c r="D189" s="311">
        <f t="shared" ref="D189:L190" si="52">D185*D$187</f>
        <v>0</v>
      </c>
      <c r="E189" s="311">
        <f t="shared" si="52"/>
        <v>0</v>
      </c>
      <c r="F189" s="311">
        <f t="shared" si="52"/>
        <v>27871.863897984818</v>
      </c>
      <c r="G189" s="311">
        <f t="shared" si="52"/>
        <v>108362.1561926507</v>
      </c>
      <c r="H189" s="311">
        <f t="shared" si="52"/>
        <v>249014.56190270022</v>
      </c>
      <c r="I189" s="311">
        <f t="shared" si="52"/>
        <v>309607.1892928282</v>
      </c>
      <c r="J189" s="311">
        <f t="shared" si="52"/>
        <v>340046.81204554049</v>
      </c>
      <c r="K189" s="311">
        <f t="shared" si="52"/>
        <v>352807.42278875032</v>
      </c>
      <c r="L189" s="311">
        <f t="shared" si="52"/>
        <v>357746.12925875996</v>
      </c>
      <c r="O189" s="8"/>
    </row>
    <row r="190" spans="1:19">
      <c r="A190" s="303"/>
      <c r="B190" s="303"/>
      <c r="C190" s="303" t="s">
        <v>611</v>
      </c>
      <c r="D190" s="311">
        <f t="shared" si="52"/>
        <v>0</v>
      </c>
      <c r="E190" s="311">
        <f t="shared" si="52"/>
        <v>0</v>
      </c>
      <c r="F190" s="311">
        <f t="shared" si="52"/>
        <v>29703.797361531128</v>
      </c>
      <c r="G190" s="311">
        <f t="shared" si="52"/>
        <v>125864.96109614699</v>
      </c>
      <c r="H190" s="311">
        <f t="shared" si="52"/>
        <v>320830.31430653884</v>
      </c>
      <c r="I190" s="311">
        <f t="shared" si="52"/>
        <v>431961.69918628287</v>
      </c>
      <c r="J190" s="311">
        <f t="shared" si="52"/>
        <v>495044.52001521073</v>
      </c>
      <c r="K190" s="311">
        <f t="shared" si="52"/>
        <v>523150.45174608129</v>
      </c>
      <c r="L190" s="311">
        <f t="shared" si="52"/>
        <v>534310.15577788849</v>
      </c>
      <c r="O190" s="8"/>
    </row>
    <row r="191" spans="1:19">
      <c r="A191" s="303"/>
      <c r="B191" s="303" t="s">
        <v>641</v>
      </c>
      <c r="C191" s="303" t="s">
        <v>610</v>
      </c>
      <c r="D191" s="311">
        <f>D184*(1-D$187)</f>
        <v>138095</v>
      </c>
      <c r="E191" s="311">
        <f t="shared" ref="E191:L191" si="53">E184*(1-E$187)</f>
        <v>245822.29529794829</v>
      </c>
      <c r="F191" s="311">
        <f t="shared" si="53"/>
        <v>583549.62745152402</v>
      </c>
      <c r="G191" s="311">
        <f t="shared" si="53"/>
        <v>1232306.5788723044</v>
      </c>
      <c r="H191" s="311">
        <f t="shared" si="53"/>
        <v>2124372.8046203139</v>
      </c>
      <c r="I191" s="311">
        <f t="shared" si="53"/>
        <v>3050563.1492262376</v>
      </c>
      <c r="J191" s="311">
        <f t="shared" si="53"/>
        <v>3633306.0895725307</v>
      </c>
      <c r="K191" s="311">
        <f t="shared" si="53"/>
        <v>3907937.4465661724</v>
      </c>
      <c r="L191" s="311">
        <f t="shared" si="53"/>
        <v>4019713.4954991429</v>
      </c>
      <c r="O191" s="8"/>
    </row>
    <row r="192" spans="1:19">
      <c r="A192" s="303"/>
      <c r="B192" s="303"/>
      <c r="C192" s="303" t="s">
        <v>58</v>
      </c>
      <c r="D192" s="311">
        <f t="shared" ref="D192:L193" si="54">D185*(1-D$187)</f>
        <v>138095</v>
      </c>
      <c r="E192" s="311">
        <f t="shared" si="54"/>
        <v>240280.7372903153</v>
      </c>
      <c r="F192" s="311">
        <f t="shared" si="54"/>
        <v>529565.41406171152</v>
      </c>
      <c r="G192" s="311">
        <f t="shared" si="54"/>
        <v>975259.40573385626</v>
      </c>
      <c r="H192" s="311">
        <f t="shared" si="54"/>
        <v>1411082.5174486346</v>
      </c>
      <c r="I192" s="311">
        <f t="shared" si="54"/>
        <v>1754440.7393260265</v>
      </c>
      <c r="J192" s="311">
        <f t="shared" si="54"/>
        <v>1926931.9349247294</v>
      </c>
      <c r="K192" s="311">
        <f t="shared" si="54"/>
        <v>1999242.0624695853</v>
      </c>
      <c r="L192" s="311">
        <f t="shared" si="54"/>
        <v>2027228.0657996398</v>
      </c>
      <c r="O192" s="8"/>
    </row>
    <row r="193" spans="1:17">
      <c r="A193" s="303"/>
      <c r="B193" s="303"/>
      <c r="C193" s="303" t="s">
        <v>611</v>
      </c>
      <c r="D193" s="311">
        <f t="shared" si="54"/>
        <v>138095</v>
      </c>
      <c r="E193" s="311">
        <f t="shared" si="54"/>
        <v>243946.9250522849</v>
      </c>
      <c r="F193" s="311">
        <f t="shared" si="54"/>
        <v>564372.14986909134</v>
      </c>
      <c r="G193" s="311">
        <f t="shared" si="54"/>
        <v>1132784.649865323</v>
      </c>
      <c r="H193" s="311">
        <f t="shared" si="54"/>
        <v>1818038.4477370535</v>
      </c>
      <c r="I193" s="311">
        <f t="shared" si="54"/>
        <v>2447782.962055603</v>
      </c>
      <c r="J193" s="311">
        <f t="shared" si="54"/>
        <v>2805252.2800861942</v>
      </c>
      <c r="K193" s="311">
        <f t="shared" si="54"/>
        <v>2964519.2265611272</v>
      </c>
      <c r="L193" s="311">
        <f t="shared" si="54"/>
        <v>3027757.5494080349</v>
      </c>
      <c r="O193" s="8"/>
    </row>
    <row r="194" spans="1:17">
      <c r="A194" s="305" t="s">
        <v>650</v>
      </c>
      <c r="B194" s="303" t="s">
        <v>651</v>
      </c>
      <c r="C194" s="303" t="s">
        <v>31</v>
      </c>
      <c r="D194" s="311">
        <v>1</v>
      </c>
      <c r="E194" s="311">
        <v>1000</v>
      </c>
      <c r="F194" s="246">
        <f>$O194*$P194*EXP($Q194*F$214)/($O194+$P194*(EXP($Q194*F$214)-1))</f>
        <v>2715.9633440993275</v>
      </c>
      <c r="G194" s="246">
        <f t="shared" ref="F194:L196" si="55">$O194*$P194*EXP($Q194*G$179)/($O194+$P194*(EXP($Q194*G$179)-1))</f>
        <v>13380.882990594493</v>
      </c>
      <c r="H194" s="246">
        <f t="shared" si="55"/>
        <v>35962.22885997744</v>
      </c>
      <c r="I194" s="246">
        <f t="shared" si="55"/>
        <v>94843.844357287977</v>
      </c>
      <c r="J194" s="246">
        <f t="shared" si="55"/>
        <v>238502.31055409231</v>
      </c>
      <c r="K194" s="246">
        <f t="shared" si="55"/>
        <v>538648.8354669346</v>
      </c>
      <c r="L194" s="246">
        <f t="shared" si="55"/>
        <v>1003001.275816632</v>
      </c>
      <c r="N194">
        <v>100</v>
      </c>
      <c r="O194" s="8">
        <f>$D$149*$J$158*$J$162*N194/100</f>
        <v>2012862.6019696158</v>
      </c>
      <c r="P194">
        <v>1000</v>
      </c>
      <c r="Q194">
        <f>Q184</f>
        <v>0.2</v>
      </c>
    </row>
    <row r="195" spans="1:17">
      <c r="A195" s="303"/>
      <c r="B195" s="303"/>
      <c r="C195" s="303" t="s">
        <v>30</v>
      </c>
      <c r="D195" s="311">
        <v>1</v>
      </c>
      <c r="E195" s="311">
        <v>1000</v>
      </c>
      <c r="F195" s="246">
        <f t="shared" si="55"/>
        <v>4933.6541570118015</v>
      </c>
      <c r="G195" s="246">
        <f t="shared" si="55"/>
        <v>13299.041479013369</v>
      </c>
      <c r="H195" s="246">
        <f t="shared" si="55"/>
        <v>35347.950756263112</v>
      </c>
      <c r="I195" s="246">
        <f t="shared" si="55"/>
        <v>90616.991662014232</v>
      </c>
      <c r="J195" s="246">
        <f t="shared" si="55"/>
        <v>213319.71367365413</v>
      </c>
      <c r="K195" s="246">
        <f t="shared" si="55"/>
        <v>425056.90767169988</v>
      </c>
      <c r="L195" s="246">
        <f t="shared" si="55"/>
        <v>669539.44782187312</v>
      </c>
      <c r="N195">
        <v>50</v>
      </c>
      <c r="O195" s="8">
        <f>$D$149*$J$158*$J$162*N195/100</f>
        <v>1006431.3009848079</v>
      </c>
      <c r="P195">
        <v>1000</v>
      </c>
      <c r="Q195">
        <f t="shared" ref="Q195:Q196" si="56">Q194</f>
        <v>0.2</v>
      </c>
    </row>
    <row r="196" spans="1:17">
      <c r="A196" s="303"/>
      <c r="B196" s="303"/>
      <c r="C196" s="303" t="s">
        <v>29</v>
      </c>
      <c r="D196" s="311">
        <v>1</v>
      </c>
      <c r="E196" s="311">
        <v>1000</v>
      </c>
      <c r="F196" s="246">
        <f t="shared" si="55"/>
        <v>4940.0967095556862</v>
      </c>
      <c r="G196" s="246">
        <f t="shared" si="55"/>
        <v>13353.49079411678</v>
      </c>
      <c r="H196" s="246">
        <f t="shared" si="55"/>
        <v>35755.110943393913</v>
      </c>
      <c r="I196" s="246">
        <f t="shared" si="55"/>
        <v>93391.75034988916</v>
      </c>
      <c r="J196" s="246">
        <f t="shared" si="55"/>
        <v>229472.49450212307</v>
      </c>
      <c r="K196" s="246">
        <f t="shared" si="55"/>
        <v>494590.79603907018</v>
      </c>
      <c r="L196" s="246">
        <f t="shared" si="55"/>
        <v>860195.47309881181</v>
      </c>
      <c r="N196">
        <v>75</v>
      </c>
      <c r="O196" s="8">
        <f>$D$149*$J$158*$J$162*N196/100</f>
        <v>1509646.9514772117</v>
      </c>
      <c r="P196">
        <v>1000</v>
      </c>
      <c r="Q196">
        <f t="shared" si="56"/>
        <v>0.2</v>
      </c>
    </row>
    <row r="197" spans="1:17">
      <c r="A197" s="303" t="s">
        <v>633</v>
      </c>
      <c r="B197" s="303" t="s">
        <v>699</v>
      </c>
      <c r="C197" s="303" t="s">
        <v>630</v>
      </c>
      <c r="D197" s="246"/>
      <c r="E197" s="246">
        <f>(E181-D181)/E179</f>
        <v>10302.523446725854</v>
      </c>
      <c r="F197" s="246">
        <f>(F181-E181)/F179</f>
        <v>17697.243809829499</v>
      </c>
      <c r="G197" s="246">
        <f t="shared" ref="G197:L197" si="57">(G181-F181)/G179</f>
        <v>34184.638356209238</v>
      </c>
      <c r="H197" s="246">
        <f t="shared" si="57"/>
        <v>62386.417170693399</v>
      </c>
      <c r="I197" s="246">
        <f t="shared" si="57"/>
        <v>76534.228243437406</v>
      </c>
      <c r="J197" s="246">
        <f t="shared" si="57"/>
        <v>50296.059333876809</v>
      </c>
      <c r="K197" s="246">
        <f t="shared" si="57"/>
        <v>19316.280781497586</v>
      </c>
      <c r="L197" s="246">
        <f t="shared" si="57"/>
        <v>5635.1073032177637</v>
      </c>
      <c r="O197" s="8"/>
    </row>
    <row r="198" spans="1:17">
      <c r="A198" s="303"/>
      <c r="B198" s="303" t="s">
        <v>700</v>
      </c>
      <c r="C198" s="303" t="s">
        <v>630</v>
      </c>
      <c r="D198" s="246"/>
      <c r="E198" s="246">
        <f>(E182-D182)/E179</f>
        <v>10199.425138685327</v>
      </c>
      <c r="F198" s="246">
        <f t="shared" ref="F198:L198" si="58">(F182-E182)/F179</f>
        <v>17018.420870029357</v>
      </c>
      <c r="G198" s="246">
        <f t="shared" si="58"/>
        <v>29894.983011827248</v>
      </c>
      <c r="H198" s="246">
        <f t="shared" si="58"/>
        <v>43292.286737318966</v>
      </c>
      <c r="I198" s="246">
        <f t="shared" si="58"/>
        <v>36733.96713893408</v>
      </c>
      <c r="J198" s="246">
        <f t="shared" si="58"/>
        <v>17031.063969002222</v>
      </c>
      <c r="K198" s="246">
        <f t="shared" si="58"/>
        <v>5366.7038506687422</v>
      </c>
      <c r="L198" s="246">
        <f t="shared" si="58"/>
        <v>1450.791195722358</v>
      </c>
      <c r="O198" s="8"/>
    </row>
    <row r="199" spans="1:17">
      <c r="A199" s="303"/>
      <c r="B199" s="303" t="s">
        <v>700</v>
      </c>
      <c r="C199" s="303" t="s">
        <v>631</v>
      </c>
      <c r="D199" s="246"/>
      <c r="E199" s="246"/>
      <c r="F199" s="246"/>
      <c r="G199" s="246"/>
      <c r="H199" s="246"/>
      <c r="I199" s="246"/>
      <c r="J199" s="246"/>
      <c r="K199" s="246"/>
      <c r="L199" s="246"/>
      <c r="O199" s="8"/>
    </row>
    <row r="200" spans="1:17">
      <c r="F200">
        <f>F181+F184</f>
        <v>814698.28655725997</v>
      </c>
    </row>
    <row r="201" spans="1:17">
      <c r="A201" s="305" t="s">
        <v>714</v>
      </c>
      <c r="B201" s="303"/>
      <c r="C201" s="303"/>
      <c r="D201" s="303" t="s">
        <v>628</v>
      </c>
      <c r="E201" s="303"/>
      <c r="F201" s="303"/>
      <c r="G201" s="303"/>
      <c r="H201" s="303"/>
      <c r="I201" s="303"/>
      <c r="J201" s="303"/>
      <c r="K201" s="303"/>
      <c r="L201" s="303"/>
    </row>
    <row r="202" spans="1:17">
      <c r="A202" s="305" t="s">
        <v>629</v>
      </c>
      <c r="B202" s="303" t="s">
        <v>612</v>
      </c>
      <c r="C202" s="303"/>
      <c r="D202" s="305">
        <v>2012</v>
      </c>
      <c r="E202" s="305">
        <v>2015</v>
      </c>
      <c r="F202" s="305">
        <v>2020</v>
      </c>
      <c r="G202" s="305">
        <v>2025</v>
      </c>
      <c r="H202" s="305">
        <v>2030</v>
      </c>
      <c r="I202" s="305">
        <v>2035</v>
      </c>
      <c r="J202" s="305">
        <v>2040</v>
      </c>
      <c r="K202" s="305">
        <v>2045</v>
      </c>
      <c r="L202" s="305">
        <v>2050</v>
      </c>
      <c r="M202" t="s">
        <v>720</v>
      </c>
    </row>
    <row r="203" spans="1:17">
      <c r="A203" s="303" t="s">
        <v>59</v>
      </c>
      <c r="B203" s="303" t="s">
        <v>630</v>
      </c>
      <c r="C203" s="303" t="s">
        <v>610</v>
      </c>
      <c r="D203" s="308">
        <f>D181/$B$168</f>
        <v>8.7745777275293861E-3</v>
      </c>
      <c r="E203" s="308">
        <f>E181/C$168</f>
        <v>1.6109362844475762E-2</v>
      </c>
      <c r="F203" s="308">
        <f t="shared" ref="F203:L205" si="59">F181/D$168</f>
        <v>4.5654514773069851E-2</v>
      </c>
      <c r="G203" s="308">
        <f t="shared" si="59"/>
        <v>0.12160943009231959</v>
      </c>
      <c r="H203" s="308">
        <f t="shared" si="59"/>
        <v>0.27771497581927407</v>
      </c>
      <c r="I203" s="308">
        <f t="shared" si="59"/>
        <v>0.52436995723584667</v>
      </c>
      <c r="J203" s="308">
        <f t="shared" si="59"/>
        <v>0.72793725928542241</v>
      </c>
      <c r="K203" s="308">
        <f t="shared" si="59"/>
        <v>0.80524495209338831</v>
      </c>
      <c r="L203" s="308">
        <f t="shared" si="59"/>
        <v>0.83240468576534998</v>
      </c>
    </row>
    <row r="204" spans="1:17">
      <c r="A204" s="303"/>
      <c r="B204" s="303" t="s">
        <v>630</v>
      </c>
      <c r="C204" s="303" t="s">
        <v>58</v>
      </c>
      <c r="D204" s="308">
        <f t="shared" ref="D204:D205" si="60">D182/$B$168</f>
        <v>8.7745777275293861E-3</v>
      </c>
      <c r="E204" s="308">
        <f t="shared" ref="E204:E205" si="61">E182/C$168</f>
        <v>1.6024708582843286E-2</v>
      </c>
      <c r="F204" s="308">
        <f t="shared" si="59"/>
        <v>4.4347104968264522E-2</v>
      </c>
      <c r="G204" s="308">
        <f t="shared" si="59"/>
        <v>0.11001014208289206</v>
      </c>
      <c r="H204" s="308">
        <f t="shared" si="59"/>
        <v>0.2140592514308354</v>
      </c>
      <c r="I204" s="308">
        <f t="shared" si="59"/>
        <v>0.32809145438827247</v>
      </c>
      <c r="J204" s="308">
        <f t="shared" si="59"/>
        <v>0.39584425505380594</v>
      </c>
      <c r="K204" s="308">
        <f t="shared" si="59"/>
        <v>0.4133913911910056</v>
      </c>
      <c r="L204" s="308">
        <f t="shared" si="59"/>
        <v>0.4194532017609825</v>
      </c>
    </row>
    <row r="205" spans="1:17">
      <c r="A205" s="303"/>
      <c r="B205" s="303" t="s">
        <v>630</v>
      </c>
      <c r="C205" s="303" t="s">
        <v>611</v>
      </c>
      <c r="D205" s="308">
        <f t="shared" si="60"/>
        <v>8.7745777275293861E-3</v>
      </c>
      <c r="E205" s="308">
        <f t="shared" si="61"/>
        <v>1.6081045552869103E-2</v>
      </c>
      <c r="F205" s="308">
        <f t="shared" si="59"/>
        <v>4.5210229496994749E-2</v>
      </c>
      <c r="G205" s="308">
        <f t="shared" si="59"/>
        <v>0.11748044849197362</v>
      </c>
      <c r="H205" s="308">
        <f t="shared" si="59"/>
        <v>0.25266919874402061</v>
      </c>
      <c r="I205" s="308">
        <f t="shared" si="59"/>
        <v>0.43718830437844874</v>
      </c>
      <c r="J205" s="308">
        <f t="shared" si="59"/>
        <v>0.56885673025176331</v>
      </c>
      <c r="K205" s="308">
        <f t="shared" si="59"/>
        <v>0.61190381259499016</v>
      </c>
      <c r="L205" s="308">
        <f t="shared" si="59"/>
        <v>0.62673217363861577</v>
      </c>
    </row>
    <row r="206" spans="1:17">
      <c r="A206" s="303" t="s">
        <v>428</v>
      </c>
      <c r="B206" s="303" t="s">
        <v>630</v>
      </c>
      <c r="C206" s="303" t="s">
        <v>610</v>
      </c>
      <c r="D206" s="308">
        <f>D184/B$177*D$187</f>
        <v>0</v>
      </c>
      <c r="E206" s="308">
        <f t="shared" ref="E206:L206" si="62">E184/C$174*E$187</f>
        <v>0</v>
      </c>
      <c r="F206" s="308">
        <f t="shared" si="62"/>
        <v>6.6987730718320029E-3</v>
      </c>
      <c r="G206" s="308">
        <f t="shared" si="62"/>
        <v>2.6352834989611069E-2</v>
      </c>
      <c r="H206" s="308">
        <f t="shared" si="62"/>
        <v>6.4065627357668561E-2</v>
      </c>
      <c r="I206" s="308">
        <f t="shared" si="62"/>
        <v>8.9929614836388463E-2</v>
      </c>
      <c r="J206" s="308">
        <f t="shared" si="62"/>
        <v>0.10497780394355592</v>
      </c>
      <c r="K206" s="308">
        <f t="shared" si="62"/>
        <v>0.10633068321528817</v>
      </c>
      <c r="L206" s="308">
        <f t="shared" si="62"/>
        <v>0.10321727399595863</v>
      </c>
      <c r="M206" t="s">
        <v>111</v>
      </c>
    </row>
    <row r="207" spans="1:17">
      <c r="A207" s="303" t="s">
        <v>713</v>
      </c>
      <c r="B207" s="303" t="s">
        <v>630</v>
      </c>
      <c r="C207" s="303" t="s">
        <v>58</v>
      </c>
      <c r="D207" s="308">
        <f>D185/B$177*D$187</f>
        <v>0</v>
      </c>
      <c r="E207" s="308">
        <f t="shared" ref="E207:L207" si="63">E185/C$177*E$187</f>
        <v>0</v>
      </c>
      <c r="F207" s="308">
        <f t="shared" si="63"/>
        <v>1.1905311039914081E-2</v>
      </c>
      <c r="G207" s="308">
        <f t="shared" si="63"/>
        <v>3.5013901054766997E-2</v>
      </c>
      <c r="H207" s="308">
        <f t="shared" si="63"/>
        <v>6.3843737350299412E-2</v>
      </c>
      <c r="I207" s="308">
        <f t="shared" si="63"/>
        <v>7.4948754657535949E-2</v>
      </c>
      <c r="J207" s="308">
        <f t="shared" si="63"/>
        <v>7.9863718618332691E-2</v>
      </c>
      <c r="K207" s="308">
        <f t="shared" si="63"/>
        <v>7.7801989568355434E-2</v>
      </c>
      <c r="L207" s="308">
        <f t="shared" si="63"/>
        <v>7.4388998372350412E-2</v>
      </c>
      <c r="M207" t="s">
        <v>719</v>
      </c>
    </row>
    <row r="208" spans="1:17">
      <c r="A208" s="303"/>
      <c r="B208" s="303" t="s">
        <v>630</v>
      </c>
      <c r="C208" s="303" t="s">
        <v>611</v>
      </c>
      <c r="D208" s="308">
        <f>D186/B$177*D$187</f>
        <v>0</v>
      </c>
      <c r="E208" s="308">
        <f t="shared" ref="E208:L208" si="64">E186/C$177*E$187</f>
        <v>0</v>
      </c>
      <c r="F208" s="308">
        <f t="shared" si="64"/>
        <v>1.2687811190164986E-2</v>
      </c>
      <c r="G208" s="308">
        <f t="shared" si="64"/>
        <v>4.0669394638545214E-2</v>
      </c>
      <c r="H208" s="308">
        <f t="shared" si="64"/>
        <v>8.2256259088190162E-2</v>
      </c>
      <c r="I208" s="308">
        <f t="shared" si="64"/>
        <v>0.10456795750677679</v>
      </c>
      <c r="J208" s="308">
        <f t="shared" si="64"/>
        <v>0.11626662815103092</v>
      </c>
      <c r="K208" s="308">
        <f t="shared" si="64"/>
        <v>0.11536646725769195</v>
      </c>
      <c r="L208" s="308">
        <f t="shared" si="64"/>
        <v>0.11110336089686257</v>
      </c>
      <c r="M208" t="s">
        <v>129</v>
      </c>
    </row>
    <row r="209" spans="1:15">
      <c r="A209" s="303"/>
      <c r="B209" s="303" t="s">
        <v>718</v>
      </c>
      <c r="C209" s="303" t="s">
        <v>610</v>
      </c>
      <c r="D209" s="308">
        <f>D184/B$177*(1-D$187)</f>
        <v>6.8475059934243659E-2</v>
      </c>
      <c r="E209" s="308">
        <f t="shared" ref="E209:L209" si="65">E184/C$177*(1-E$187)</f>
        <v>0.11509717330389066</v>
      </c>
      <c r="F209" s="308">
        <f t="shared" si="65"/>
        <v>0.24925996508395273</v>
      </c>
      <c r="G209" s="308">
        <f t="shared" si="65"/>
        <v>0.39818200502639728</v>
      </c>
      <c r="H209" s="308">
        <f t="shared" si="65"/>
        <v>0.54465850645832281</v>
      </c>
      <c r="I209" s="308">
        <f t="shared" si="65"/>
        <v>0.73847093008693787</v>
      </c>
      <c r="J209" s="308">
        <f t="shared" si="65"/>
        <v>0.85332173369422615</v>
      </c>
      <c r="K209" s="308">
        <f t="shared" si="65"/>
        <v>0.86178829812653757</v>
      </c>
      <c r="L209" s="308">
        <f t="shared" si="65"/>
        <v>0.83585100219970787</v>
      </c>
      <c r="M209" t="s">
        <v>111</v>
      </c>
    </row>
    <row r="210" spans="1:15">
      <c r="A210" s="303"/>
      <c r="B210" s="303" t="s">
        <v>718</v>
      </c>
      <c r="C210" s="303" t="s">
        <v>58</v>
      </c>
      <c r="D210" s="308">
        <f t="shared" ref="D210" si="66">D185/B$174*(1-D$187)</f>
        <v>3.4964615601534361E-2</v>
      </c>
      <c r="E210" s="308">
        <f t="shared" ref="E210" si="67">E185/C$174*(1-E$187)</f>
        <v>5.7445852821196478E-2</v>
      </c>
      <c r="F210" s="308">
        <f t="shared" ref="F210" si="68">F185/D$174*(1-F$187)</f>
        <v>0.11550231377692394</v>
      </c>
      <c r="G210" s="308">
        <f t="shared" ref="G210" si="69">G185/E$174*(1-G$187)</f>
        <v>0.18770300807288234</v>
      </c>
      <c r="H210" s="308">
        <f t="shared" ref="H210" si="70">H185/F$174*(1-H$187)</f>
        <v>0.24114287146020683</v>
      </c>
      <c r="I210" s="308">
        <f t="shared" ref="I210" si="71">I185/G$174*(1-I$187)</f>
        <v>0.29308195763514644</v>
      </c>
      <c r="J210" s="308">
        <f t="shared" ref="J210" si="72">J185/H$174*(1-J$187)</f>
        <v>0.31549286188504394</v>
      </c>
      <c r="K210" s="308">
        <f t="shared" ref="K210" si="73">K185/I$174*(1-K$187)</f>
        <v>0.30825068333959621</v>
      </c>
      <c r="L210" s="308">
        <f t="shared" ref="L210" si="74">L185/J$174*(1-L$187)</f>
        <v>0.29497659756281142</v>
      </c>
      <c r="M210" t="s">
        <v>719</v>
      </c>
    </row>
    <row r="211" spans="1:15">
      <c r="A211" s="303"/>
      <c r="B211" s="303" t="s">
        <v>718</v>
      </c>
      <c r="C211" s="303" t="s">
        <v>611</v>
      </c>
      <c r="D211" s="308">
        <f>D186/B$177*(1-D$187)</f>
        <v>6.8475059934243659E-2</v>
      </c>
      <c r="E211" s="308">
        <f t="shared" ref="E211:L211" si="75">E186/C$177*(1-E$187)</f>
        <v>0.11421910073560528</v>
      </c>
      <c r="F211" s="308">
        <f t="shared" si="75"/>
        <v>0.24106841261313472</v>
      </c>
      <c r="G211" s="308">
        <f t="shared" si="75"/>
        <v>0.36602455174690696</v>
      </c>
      <c r="H211" s="308">
        <f t="shared" si="75"/>
        <v>0.46611880149974422</v>
      </c>
      <c r="I211" s="308">
        <f t="shared" si="75"/>
        <v>0.59255175920506842</v>
      </c>
      <c r="J211" s="308">
        <f t="shared" si="75"/>
        <v>0.65884422618917526</v>
      </c>
      <c r="K211" s="308">
        <f t="shared" si="75"/>
        <v>0.65374331446025447</v>
      </c>
      <c r="L211" s="308">
        <f t="shared" si="75"/>
        <v>0.62958571174888789</v>
      </c>
      <c r="M211" t="s">
        <v>129</v>
      </c>
    </row>
    <row r="212" spans="1:15">
      <c r="A212" s="303" t="s">
        <v>18</v>
      </c>
      <c r="B212" s="303" t="s">
        <v>718</v>
      </c>
      <c r="C212" s="303" t="s">
        <v>610</v>
      </c>
      <c r="D212" s="356">
        <v>0</v>
      </c>
      <c r="E212" s="357">
        <f>E194/C173</f>
        <v>2.0749603150142109E-4</v>
      </c>
      <c r="F212" s="357">
        <f t="shared" ref="F212:L212" si="76">F194/D173</f>
        <v>6.1599215895705931E-4</v>
      </c>
      <c r="G212" s="357">
        <f t="shared" si="76"/>
        <v>3.2509256239793365E-3</v>
      </c>
      <c r="H212" s="357">
        <f t="shared" si="76"/>
        <v>9.8778103549652975E-3</v>
      </c>
      <c r="I212" s="357">
        <f t="shared" si="76"/>
        <v>2.8925306015421575E-2</v>
      </c>
      <c r="J212" s="357">
        <f t="shared" si="76"/>
        <v>7.4402566364663705E-2</v>
      </c>
      <c r="K212" s="357">
        <f t="shared" si="76"/>
        <v>0.17022113825972524</v>
      </c>
      <c r="L212" s="357">
        <f t="shared" si="76"/>
        <v>0.31040333319418079</v>
      </c>
      <c r="M212" t="s">
        <v>719</v>
      </c>
    </row>
    <row r="214" spans="1:15">
      <c r="F214">
        <f>F215-E215</f>
        <v>5</v>
      </c>
      <c r="G214" s="303">
        <f>G$215-$E$215</f>
        <v>10</v>
      </c>
      <c r="H214" s="303">
        <f t="shared" ref="H214:L214" si="77">H$215-$E$215</f>
        <v>15</v>
      </c>
      <c r="I214" s="303">
        <f t="shared" si="77"/>
        <v>20</v>
      </c>
      <c r="J214" s="303">
        <f t="shared" si="77"/>
        <v>25</v>
      </c>
      <c r="K214" s="303">
        <f t="shared" si="77"/>
        <v>30</v>
      </c>
      <c r="L214" s="303">
        <f t="shared" si="77"/>
        <v>35</v>
      </c>
    </row>
    <row r="215" spans="1:15">
      <c r="A215" s="82" t="s">
        <v>647</v>
      </c>
      <c r="B215" s="82"/>
      <c r="C215" s="82"/>
      <c r="D215" s="358">
        <f>D180</f>
        <v>2012</v>
      </c>
      <c r="E215" s="358">
        <f t="shared" ref="E215:L215" si="78">E180</f>
        <v>2015</v>
      </c>
      <c r="F215" s="358">
        <f t="shared" si="78"/>
        <v>2020</v>
      </c>
      <c r="G215" s="358">
        <f t="shared" si="78"/>
        <v>2025</v>
      </c>
      <c r="H215" s="358">
        <f t="shared" si="78"/>
        <v>2030</v>
      </c>
      <c r="I215" s="358">
        <f t="shared" si="78"/>
        <v>2035</v>
      </c>
      <c r="J215" s="358">
        <f t="shared" si="78"/>
        <v>2040</v>
      </c>
      <c r="K215" s="358">
        <f t="shared" si="78"/>
        <v>2045</v>
      </c>
      <c r="L215" s="358">
        <f t="shared" si="78"/>
        <v>2050</v>
      </c>
    </row>
    <row r="216" spans="1:15" ht="14.1" customHeight="1">
      <c r="A216" s="82"/>
      <c r="B216" s="82" t="s">
        <v>59</v>
      </c>
      <c r="C216" s="82" t="s">
        <v>652</v>
      </c>
      <c r="D216" s="246">
        <f>D181</f>
        <v>27950</v>
      </c>
      <c r="E216" s="246">
        <f>E181</f>
        <v>58857.570340177561</v>
      </c>
      <c r="F216" s="246">
        <f>$O181*$P181*EXP($N216*F$214)/($O181+$P181*(EXP($N216*F$214)-1))</f>
        <v>254895.88484757452</v>
      </c>
      <c r="G216" s="246">
        <f t="shared" ref="G216:L216" si="79">$O181*$F216*EXP($O216*G$214)/($O181+$F216*(EXP($O216*G$214)-1))</f>
        <v>1474862.0157627151</v>
      </c>
      <c r="H216" s="246">
        <f t="shared" si="79"/>
        <v>2801420.8739724793</v>
      </c>
      <c r="I216" s="246">
        <f t="shared" si="79"/>
        <v>4186772.4784253244</v>
      </c>
      <c r="J216" s="246">
        <f t="shared" si="79"/>
        <v>5117820.8610229595</v>
      </c>
      <c r="K216" s="246">
        <f t="shared" si="79"/>
        <v>5573805.5052590473</v>
      </c>
      <c r="L216" s="246">
        <f t="shared" si="79"/>
        <v>5762689.8220821638</v>
      </c>
      <c r="N216">
        <v>0.45</v>
      </c>
      <c r="O216">
        <v>0.2</v>
      </c>
    </row>
    <row r="217" spans="1:15">
      <c r="A217" s="82" t="s">
        <v>648</v>
      </c>
      <c r="B217" s="82" t="s">
        <v>704</v>
      </c>
      <c r="C217" s="82" t="s">
        <v>705</v>
      </c>
      <c r="D217" s="310">
        <f>D191</f>
        <v>138095</v>
      </c>
      <c r="E217" s="310">
        <f>E191</f>
        <v>245822.29529794829</v>
      </c>
      <c r="F217" s="246">
        <f>$O184*$P184*EXP($N217*F$214)/($O184+$P184*(EXP($N217*F$214)-1))</f>
        <v>1053453.7881037707</v>
      </c>
      <c r="G217" s="246">
        <f t="shared" ref="G217:L217" si="80">$O184*$F217*EXP($O217*G$214)/($O184+$F217*(EXP($O217*G$214)-1))</f>
        <v>2678459.4989427892</v>
      </c>
      <c r="H217" s="246">
        <f t="shared" si="80"/>
        <v>3495616.5273471246</v>
      </c>
      <c r="I217" s="246">
        <f t="shared" si="80"/>
        <v>4084197.6457546423</v>
      </c>
      <c r="J217" s="246">
        <f t="shared" si="80"/>
        <v>4437105.5982963108</v>
      </c>
      <c r="K217" s="246">
        <f t="shared" si="80"/>
        <v>4625918.5649903379</v>
      </c>
      <c r="L217" s="246">
        <f t="shared" si="80"/>
        <v>4720810.1554810842</v>
      </c>
      <c r="N217">
        <v>0.45</v>
      </c>
      <c r="O217">
        <v>0.15</v>
      </c>
    </row>
    <row r="218" spans="1:15">
      <c r="A218" s="82"/>
      <c r="B218" s="82"/>
      <c r="C218" s="82" t="s">
        <v>703</v>
      </c>
      <c r="D218" s="310">
        <f>D217*(1-D187)</f>
        <v>138095</v>
      </c>
      <c r="E218" s="310">
        <f t="shared" ref="E218:L218" si="81">E217*(1-E187)</f>
        <v>245822.29529794829</v>
      </c>
      <c r="F218" s="310">
        <f t="shared" si="81"/>
        <v>1000781.0986985822</v>
      </c>
      <c r="G218" s="310">
        <f t="shared" si="81"/>
        <v>2410613.5490485104</v>
      </c>
      <c r="H218" s="310">
        <f t="shared" si="81"/>
        <v>2971274.0482450561</v>
      </c>
      <c r="I218" s="310">
        <f t="shared" si="81"/>
        <v>3471567.9988914458</v>
      </c>
      <c r="J218" s="310">
        <f t="shared" si="81"/>
        <v>3771539.758551864</v>
      </c>
      <c r="K218" s="310">
        <f t="shared" si="81"/>
        <v>3932030.780241787</v>
      </c>
      <c r="L218" s="310">
        <f t="shared" si="81"/>
        <v>4012688.6321589216</v>
      </c>
    </row>
    <row r="219" spans="1:15">
      <c r="A219" s="82"/>
      <c r="B219" s="82"/>
      <c r="C219" s="82" t="s">
        <v>702</v>
      </c>
      <c r="D219" s="246">
        <f>D217*D187</f>
        <v>0</v>
      </c>
      <c r="E219" s="246">
        <f t="shared" ref="E219:L219" si="82">E217*E187</f>
        <v>0</v>
      </c>
      <c r="F219" s="246">
        <f t="shared" si="82"/>
        <v>52672.689405188539</v>
      </c>
      <c r="G219" s="246">
        <f t="shared" si="82"/>
        <v>267845.94989427895</v>
      </c>
      <c r="H219" s="246">
        <f t="shared" si="82"/>
        <v>524342.4791020687</v>
      </c>
      <c r="I219" s="246">
        <f t="shared" si="82"/>
        <v>612629.64686319628</v>
      </c>
      <c r="J219" s="246">
        <f t="shared" si="82"/>
        <v>665565.83974444657</v>
      </c>
      <c r="K219" s="246">
        <f t="shared" si="82"/>
        <v>693887.78474855062</v>
      </c>
      <c r="L219" s="246">
        <f t="shared" si="82"/>
        <v>708121.52332216257</v>
      </c>
    </row>
    <row r="220" spans="1:15">
      <c r="A220" s="82"/>
      <c r="B220" s="82"/>
      <c r="C220" s="82" t="s">
        <v>653</v>
      </c>
      <c r="D220" s="310">
        <f>D194</f>
        <v>1</v>
      </c>
      <c r="E220" s="310">
        <f t="shared" ref="E220:L220" si="83">E194</f>
        <v>1000</v>
      </c>
      <c r="F220" s="310">
        <f t="shared" si="83"/>
        <v>2715.9633440993275</v>
      </c>
      <c r="G220" s="310">
        <f t="shared" si="83"/>
        <v>13380.882990594493</v>
      </c>
      <c r="H220" s="310">
        <f t="shared" si="83"/>
        <v>35962.22885997744</v>
      </c>
      <c r="I220" s="310">
        <f t="shared" si="83"/>
        <v>94843.844357287977</v>
      </c>
      <c r="J220" s="310">
        <f t="shared" si="83"/>
        <v>238502.31055409231</v>
      </c>
      <c r="K220" s="310">
        <f t="shared" si="83"/>
        <v>538648.8354669346</v>
      </c>
      <c r="L220" s="310">
        <f t="shared" si="83"/>
        <v>1003001.275816632</v>
      </c>
    </row>
    <row r="221" spans="1:15">
      <c r="A221" s="82"/>
      <c r="B221" s="82"/>
      <c r="C221" s="82" t="s">
        <v>27</v>
      </c>
      <c r="D221" s="246">
        <f>SUM(D216:D220)</f>
        <v>304141</v>
      </c>
      <c r="E221" s="246">
        <f t="shared" ref="E221:L221" si="84">SUM(E216:E220)</f>
        <v>551502.1609360741</v>
      </c>
      <c r="F221" s="246">
        <f t="shared" si="84"/>
        <v>2364519.4243992153</v>
      </c>
      <c r="G221" s="246">
        <f t="shared" si="84"/>
        <v>6845161.8966388889</v>
      </c>
      <c r="H221" s="246">
        <f t="shared" si="84"/>
        <v>9828616.1575267073</v>
      </c>
      <c r="I221" s="246">
        <f t="shared" si="84"/>
        <v>12450011.614291897</v>
      </c>
      <c r="J221" s="246">
        <f t="shared" si="84"/>
        <v>14230534.368169675</v>
      </c>
      <c r="K221" s="246">
        <f t="shared" si="84"/>
        <v>15364291.470706658</v>
      </c>
      <c r="L221" s="246">
        <f t="shared" si="84"/>
        <v>16207311.408860965</v>
      </c>
    </row>
    <row r="222" spans="1:15">
      <c r="A222" s="82" t="s">
        <v>698</v>
      </c>
      <c r="B222" s="82" t="s">
        <v>652</v>
      </c>
      <c r="C222" s="82" t="s">
        <v>722</v>
      </c>
      <c r="D222" s="308">
        <f>D216/(B$162*B$160)</f>
        <v>8.0735449002391386E-3</v>
      </c>
      <c r="E222" s="308">
        <f t="shared" ref="E222:L222" si="85">E216/(C$162*C$160)</f>
        <v>1.4822327441589532E-2</v>
      </c>
      <c r="F222" s="308">
        <f t="shared" si="85"/>
        <v>5.3420740778140748E-2</v>
      </c>
      <c r="G222" s="308">
        <f t="shared" si="85"/>
        <v>0.25592194618327269</v>
      </c>
      <c r="H222" s="308">
        <f t="shared" si="85"/>
        <v>0.40493442594678425</v>
      </c>
      <c r="I222" s="308">
        <f t="shared" si="85"/>
        <v>0.57255465848084375</v>
      </c>
      <c r="J222" s="308">
        <f t="shared" si="85"/>
        <v>0.69439969193660434</v>
      </c>
      <c r="K222" s="308">
        <f t="shared" si="85"/>
        <v>0.74091101341778065</v>
      </c>
      <c r="L222" s="308">
        <f t="shared" si="85"/>
        <v>0.76255963164455631</v>
      </c>
    </row>
    <row r="223" spans="1:15">
      <c r="A223" s="82"/>
      <c r="B223" s="82"/>
      <c r="C223" s="82" t="s">
        <v>630</v>
      </c>
      <c r="D223" s="308">
        <f t="shared" ref="D223:L223" si="86">D219/B174</f>
        <v>0</v>
      </c>
      <c r="E223" s="308">
        <f t="shared" si="86"/>
        <v>0</v>
      </c>
      <c r="F223" s="308">
        <f t="shared" si="86"/>
        <v>1.148832106026392E-2</v>
      </c>
      <c r="G223" s="308">
        <f t="shared" si="86"/>
        <v>5.1550890152619183E-2</v>
      </c>
      <c r="H223" s="308">
        <f t="shared" si="86"/>
        <v>8.9605993608264642E-2</v>
      </c>
      <c r="I223" s="308">
        <f t="shared" si="86"/>
        <v>0.10234070161695454</v>
      </c>
      <c r="J223" s="308">
        <f t="shared" si="86"/>
        <v>0.10897181563504492</v>
      </c>
      <c r="K223" s="308">
        <f t="shared" si="86"/>
        <v>0.10698623634675221</v>
      </c>
      <c r="L223" s="308">
        <f t="shared" si="86"/>
        <v>0.10303689117887883</v>
      </c>
    </row>
    <row r="224" spans="1:15">
      <c r="A224" s="82"/>
      <c r="B224" s="82"/>
      <c r="C224" s="82" t="s">
        <v>631</v>
      </c>
      <c r="D224" s="308">
        <f>D218/B177</f>
        <v>6.8475059934243659E-2</v>
      </c>
      <c r="E224" s="308">
        <f t="shared" ref="E224:L224" si="87">E218/C177</f>
        <v>0.11509717330389066</v>
      </c>
      <c r="F224" s="308">
        <f t="shared" si="87"/>
        <v>0.42747805839189029</v>
      </c>
      <c r="G224" s="308">
        <f t="shared" si="87"/>
        <v>0.77891569578595865</v>
      </c>
      <c r="H224" s="308">
        <f t="shared" si="87"/>
        <v>0.76179175419484257</v>
      </c>
      <c r="I224" s="308">
        <f t="shared" si="87"/>
        <v>0.84038648721357412</v>
      </c>
      <c r="J224" s="308">
        <f t="shared" si="87"/>
        <v>0.88578742503988339</v>
      </c>
      <c r="K224" s="308">
        <f t="shared" si="87"/>
        <v>0.86710142130427592</v>
      </c>
      <c r="L224" s="308">
        <f t="shared" si="87"/>
        <v>0.8343902664856292</v>
      </c>
    </row>
    <row r="225" spans="1:20">
      <c r="A225" s="82"/>
      <c r="B225" s="82" t="s">
        <v>701</v>
      </c>
      <c r="C225" s="82" t="s">
        <v>652</v>
      </c>
      <c r="D225" s="349"/>
      <c r="E225" s="349"/>
      <c r="F225" s="349"/>
      <c r="G225" s="349"/>
      <c r="H225" s="349"/>
      <c r="I225" s="349"/>
      <c r="J225" s="349"/>
      <c r="K225" s="349"/>
      <c r="L225" s="349"/>
    </row>
    <row r="226" spans="1:20">
      <c r="A226" s="82"/>
      <c r="B226" s="82"/>
      <c r="C226" s="82" t="s">
        <v>702</v>
      </c>
      <c r="D226" s="349"/>
      <c r="E226" s="349"/>
      <c r="F226" s="349"/>
      <c r="G226" s="349"/>
      <c r="H226" s="349"/>
      <c r="I226" s="349"/>
      <c r="J226" s="349"/>
      <c r="K226" s="349"/>
      <c r="L226" s="349"/>
    </row>
    <row r="228" spans="1:20" ht="13.5" thickBot="1"/>
    <row r="229" spans="1:20" s="15" customFormat="1" ht="13.5" thickBot="1">
      <c r="B229" s="336" t="s">
        <v>697</v>
      </c>
      <c r="C229" s="337"/>
      <c r="D229" s="338" t="s">
        <v>712</v>
      </c>
    </row>
    <row r="230" spans="1:20">
      <c r="A230" s="5" t="s">
        <v>696</v>
      </c>
      <c r="D230" s="5">
        <f t="shared" ref="D230:L230" si="88">D202</f>
        <v>2012</v>
      </c>
      <c r="E230" s="5">
        <f t="shared" si="88"/>
        <v>2015</v>
      </c>
      <c r="F230" s="5">
        <f t="shared" si="88"/>
        <v>2020</v>
      </c>
      <c r="G230" s="5">
        <f t="shared" si="88"/>
        <v>2025</v>
      </c>
      <c r="H230" s="5">
        <f t="shared" si="88"/>
        <v>2030</v>
      </c>
      <c r="I230" s="5">
        <f t="shared" si="88"/>
        <v>2035</v>
      </c>
      <c r="J230" s="5">
        <f t="shared" si="88"/>
        <v>2040</v>
      </c>
      <c r="K230" s="5">
        <f t="shared" si="88"/>
        <v>2045</v>
      </c>
      <c r="L230" s="5">
        <f t="shared" si="88"/>
        <v>2050</v>
      </c>
      <c r="N230">
        <f>F230</f>
        <v>2020</v>
      </c>
      <c r="O230">
        <f t="shared" ref="O230:S230" si="89">G230</f>
        <v>2025</v>
      </c>
      <c r="P230">
        <f t="shared" si="89"/>
        <v>2030</v>
      </c>
      <c r="Q230">
        <f t="shared" si="89"/>
        <v>2035</v>
      </c>
      <c r="R230">
        <f t="shared" si="89"/>
        <v>2040</v>
      </c>
      <c r="S230">
        <f t="shared" si="89"/>
        <v>2045</v>
      </c>
      <c r="T230">
        <f>L230</f>
        <v>2050</v>
      </c>
    </row>
    <row r="231" spans="1:20">
      <c r="A231" s="246" t="s">
        <v>706</v>
      </c>
      <c r="B231" s="246" t="s">
        <v>693</v>
      </c>
      <c r="C231" s="246" t="s">
        <v>692</v>
      </c>
      <c r="D231" s="353">
        <f t="shared" ref="D231:E231" si="90">-D203</f>
        <v>-8.7745777275293861E-3</v>
      </c>
      <c r="E231" s="353">
        <f t="shared" si="90"/>
        <v>-1.6109362844475762E-2</v>
      </c>
      <c r="F231" s="353">
        <f>-F203</f>
        <v>-4.5654514773069851E-2</v>
      </c>
      <c r="G231" s="353">
        <f>-G205*1.05</f>
        <v>-0.1233544709165723</v>
      </c>
      <c r="H231" s="353">
        <f t="shared" ref="H231:L231" si="91">-H205*1.05</f>
        <v>-0.26530265868122166</v>
      </c>
      <c r="I231" s="353">
        <f t="shared" si="91"/>
        <v>-0.45904771959737117</v>
      </c>
      <c r="J231" s="353">
        <f t="shared" si="91"/>
        <v>-0.59729956676435148</v>
      </c>
      <c r="K231" s="353">
        <f t="shared" si="91"/>
        <v>-0.64249900322473974</v>
      </c>
      <c r="L231" s="353">
        <f t="shared" si="91"/>
        <v>-0.65806878232054655</v>
      </c>
      <c r="N231" s="353">
        <f>-(F231+F232)/2</f>
        <v>4.5432372135032303E-2</v>
      </c>
      <c r="O231" s="353">
        <f t="shared" ref="O231:T231" si="92">-(G231+G232)/2</f>
        <v>0.12041745970427295</v>
      </c>
      <c r="P231" s="353">
        <f t="shared" si="92"/>
        <v>0.25898592871262116</v>
      </c>
      <c r="Q231" s="353">
        <f t="shared" si="92"/>
        <v>0.44811801198790996</v>
      </c>
      <c r="R231" s="353">
        <f t="shared" si="92"/>
        <v>0.58307814850805739</v>
      </c>
      <c r="S231" s="353">
        <f t="shared" si="92"/>
        <v>0.62720140790986489</v>
      </c>
      <c r="T231" s="353">
        <f t="shared" si="92"/>
        <v>0.64240047797958111</v>
      </c>
    </row>
    <row r="232" spans="1:20">
      <c r="A232" s="246"/>
      <c r="B232" s="246" t="s">
        <v>694</v>
      </c>
      <c r="C232" s="246" t="s">
        <v>692</v>
      </c>
      <c r="D232" s="353">
        <f t="shared" ref="D232:L232" si="93">-D205</f>
        <v>-8.7745777275293861E-3</v>
      </c>
      <c r="E232" s="353">
        <f t="shared" si="93"/>
        <v>-1.6081045552869103E-2</v>
      </c>
      <c r="F232" s="353">
        <f t="shared" si="93"/>
        <v>-4.5210229496994749E-2</v>
      </c>
      <c r="G232" s="353">
        <f t="shared" si="93"/>
        <v>-0.11748044849197362</v>
      </c>
      <c r="H232" s="353">
        <f t="shared" si="93"/>
        <v>-0.25266919874402061</v>
      </c>
      <c r="I232" s="353">
        <f t="shared" si="93"/>
        <v>-0.43718830437844874</v>
      </c>
      <c r="J232" s="353">
        <f t="shared" si="93"/>
        <v>-0.56885673025176331</v>
      </c>
      <c r="K232" s="353">
        <f t="shared" si="93"/>
        <v>-0.61190381259499016</v>
      </c>
      <c r="L232" s="353">
        <f t="shared" si="93"/>
        <v>-0.62673217363861577</v>
      </c>
    </row>
    <row r="233" spans="1:20">
      <c r="A233" s="246" t="s">
        <v>857</v>
      </c>
      <c r="B233" s="246" t="s">
        <v>693</v>
      </c>
      <c r="C233" s="246" t="s">
        <v>692</v>
      </c>
      <c r="D233" s="353">
        <f t="shared" ref="D233:L233" si="94">-D222</f>
        <v>-8.0735449002391386E-3</v>
      </c>
      <c r="E233" s="353">
        <f t="shared" si="94"/>
        <v>-1.4822327441589532E-2</v>
      </c>
      <c r="F233" s="353">
        <f t="shared" si="94"/>
        <v>-5.3420740778140748E-2</v>
      </c>
      <c r="G233" s="353">
        <f t="shared" si="94"/>
        <v>-0.25592194618327269</v>
      </c>
      <c r="H233" s="353">
        <f t="shared" si="94"/>
        <v>-0.40493442594678425</v>
      </c>
      <c r="I233" s="353">
        <f t="shared" si="94"/>
        <v>-0.57255465848084375</v>
      </c>
      <c r="J233" s="353">
        <f t="shared" si="94"/>
        <v>-0.69439969193660434</v>
      </c>
      <c r="K233" s="353">
        <f t="shared" si="94"/>
        <v>-0.74091101341778065</v>
      </c>
      <c r="L233" s="353">
        <f t="shared" si="94"/>
        <v>-0.76255963164455631</v>
      </c>
    </row>
    <row r="234" spans="1:20">
      <c r="A234" s="246"/>
      <c r="B234" s="246" t="s">
        <v>694</v>
      </c>
      <c r="C234" s="246" t="s">
        <v>692</v>
      </c>
      <c r="D234" s="354">
        <f>D233*0.99</f>
        <v>-7.9928094512367476E-3</v>
      </c>
      <c r="E234" s="354">
        <f t="shared" ref="E234:L234" si="95">E233*0.99</f>
        <v>-1.4674104167173636E-2</v>
      </c>
      <c r="F234" s="354">
        <f t="shared" si="95"/>
        <v>-5.288653337035934E-2</v>
      </c>
      <c r="G234" s="354">
        <f t="shared" si="95"/>
        <v>-0.25336272672143995</v>
      </c>
      <c r="H234" s="354">
        <f t="shared" si="95"/>
        <v>-0.4008850816873164</v>
      </c>
      <c r="I234" s="354">
        <f t="shared" si="95"/>
        <v>-0.56682911189603535</v>
      </c>
      <c r="J234" s="354">
        <f t="shared" si="95"/>
        <v>-0.68745569501723824</v>
      </c>
      <c r="K234" s="354">
        <f t="shared" si="95"/>
        <v>-0.73350190328360287</v>
      </c>
      <c r="L234" s="354">
        <f t="shared" si="95"/>
        <v>-0.75493403532811076</v>
      </c>
    </row>
    <row r="235" spans="1:20">
      <c r="A235" s="246" t="s">
        <v>858</v>
      </c>
      <c r="B235" s="246" t="s">
        <v>693</v>
      </c>
      <c r="C235" s="246" t="s">
        <v>692</v>
      </c>
      <c r="D235" s="353">
        <f>D233</f>
        <v>-8.0735449002391386E-3</v>
      </c>
      <c r="E235" s="353">
        <f>E233</f>
        <v>-1.4822327441589532E-2</v>
      </c>
      <c r="F235" s="353">
        <f>(F231+F233)/2</f>
        <v>-4.9537627775605303E-2</v>
      </c>
      <c r="G235" s="353">
        <f t="shared" ref="G235:L235" si="96">(G231+G233)/2</f>
        <v>-0.1896382085499225</v>
      </c>
      <c r="H235" s="353">
        <f t="shared" si="96"/>
        <v>-0.33511854231400295</v>
      </c>
      <c r="I235" s="353">
        <f t="shared" si="96"/>
        <v>-0.51580118903910743</v>
      </c>
      <c r="J235" s="353">
        <f t="shared" si="96"/>
        <v>-0.64584962935047785</v>
      </c>
      <c r="K235" s="353">
        <f t="shared" si="96"/>
        <v>-0.69170500832126014</v>
      </c>
      <c r="L235" s="353">
        <f t="shared" si="96"/>
        <v>-0.71031420698255143</v>
      </c>
    </row>
    <row r="236" spans="1:20">
      <c r="A236" s="246"/>
      <c r="B236" s="246" t="s">
        <v>694</v>
      </c>
      <c r="C236" s="246" t="s">
        <v>692</v>
      </c>
      <c r="D236" s="353">
        <f>D234</f>
        <v>-7.9928094512367476E-3</v>
      </c>
      <c r="E236" s="353">
        <f>E234</f>
        <v>-1.4674104167173636E-2</v>
      </c>
      <c r="F236" s="353">
        <f>(F232+F234)/2</f>
        <v>-4.9048381433677041E-2</v>
      </c>
      <c r="G236" s="353">
        <f t="shared" ref="G236:L236" si="97">(G232+G234)/2</f>
        <v>-0.18542158760670679</v>
      </c>
      <c r="H236" s="353">
        <f t="shared" si="97"/>
        <v>-0.3267771402156685</v>
      </c>
      <c r="I236" s="353">
        <f t="shared" si="97"/>
        <v>-0.50200870813724208</v>
      </c>
      <c r="J236" s="353">
        <f t="shared" si="97"/>
        <v>-0.62815621263450083</v>
      </c>
      <c r="K236" s="353">
        <f t="shared" si="97"/>
        <v>-0.67270285793929652</v>
      </c>
      <c r="L236" s="353">
        <f t="shared" si="97"/>
        <v>-0.69083310448336332</v>
      </c>
    </row>
    <row r="237" spans="1:20">
      <c r="D237" s="5">
        <f>D230</f>
        <v>2012</v>
      </c>
      <c r="E237" s="5">
        <f t="shared" ref="E237:L237" si="98">E230</f>
        <v>2015</v>
      </c>
      <c r="F237" s="5">
        <f t="shared" si="98"/>
        <v>2020</v>
      </c>
      <c r="G237" s="5">
        <f t="shared" si="98"/>
        <v>2025</v>
      </c>
      <c r="H237" s="5">
        <f t="shared" si="98"/>
        <v>2030</v>
      </c>
      <c r="I237" s="5">
        <f t="shared" si="98"/>
        <v>2035</v>
      </c>
      <c r="J237" s="5">
        <f t="shared" si="98"/>
        <v>2040</v>
      </c>
      <c r="K237" s="5">
        <f t="shared" si="98"/>
        <v>2045</v>
      </c>
      <c r="L237" s="5">
        <f t="shared" si="98"/>
        <v>2050</v>
      </c>
    </row>
    <row r="238" spans="1:20" ht="15">
      <c r="A238" s="355" t="s">
        <v>715</v>
      </c>
      <c r="B238" s="166" t="str">
        <f>B231</f>
        <v>RHIEW-UP</v>
      </c>
      <c r="C238" s="166" t="str">
        <f>C231</f>
        <v>S-RHWEG-ALL</v>
      </c>
      <c r="D238" s="166">
        <f>IF(RES!$G$16=0,D231,IF(OR(RES!$G$16=3,RES!$G$16=1),D233,D235))</f>
        <v>-8.7745777275293861E-3</v>
      </c>
      <c r="E238" s="166">
        <f>IF(RES!$G$16=0,E231,IF(OR(RES!$G$16=3,RES!$G$16=1),E233,E235))</f>
        <v>-1.6109362844475762E-2</v>
      </c>
      <c r="F238" s="166">
        <f>IF(RES!$G$16=0,F231,IF(OR(RES!$G$16=3,RES!$G$16=1),F233,F235))</f>
        <v>-4.5654514773069851E-2</v>
      </c>
      <c r="G238" s="166">
        <f>IF(RES!$G$16=0,G231,IF(OR(RES!$G$16=3,RES!$G$16=1),G233,G235))</f>
        <v>-0.1233544709165723</v>
      </c>
      <c r="H238" s="166">
        <f>IF(RES!$G$16=0,H231,IF(OR(RES!$G$16=3,RES!$G$16=1),H233,H235))</f>
        <v>-0.26530265868122166</v>
      </c>
      <c r="I238" s="166">
        <f>IF(RES!$G$16=0,I231,IF(OR(RES!$G$16=3,RES!$G$16=1),I233,I235))</f>
        <v>-0.45904771959737117</v>
      </c>
      <c r="J238" s="166">
        <f>IF(RES!$G$16=0,J231,IF(OR(RES!$G$16=3,RES!$G$16=1),J233,J235))</f>
        <v>-0.59729956676435148</v>
      </c>
      <c r="K238" s="166">
        <f>IF(RES!$G$16=0,K231,IF(OR(RES!$G$16=3,RES!$G$16=1),K233,K235))</f>
        <v>-0.64249900322473974</v>
      </c>
      <c r="L238" s="166">
        <f>IF(RES!$G$16=0,L231,IF(OR(RES!$G$16=3,RES!$G$16=1),L233,L235))</f>
        <v>-0.65806878232054655</v>
      </c>
    </row>
    <row r="239" spans="1:20">
      <c r="A239" s="166"/>
      <c r="B239" s="166" t="str">
        <f>B232</f>
        <v>RHIEW-LO</v>
      </c>
      <c r="C239" s="166" t="str">
        <f>C232</f>
        <v>S-RHWEG-ALL</v>
      </c>
      <c r="D239" s="166">
        <f>IF(RES!$G$16=0,D232,IF(OR(RES!$G$16=3,RES!$G$16=1),D234,D236))</f>
        <v>-8.7745777275293861E-3</v>
      </c>
      <c r="E239" s="166">
        <f>IF(RES!$G$16=0,E232,IF(OR(RES!$G$16=3,RES!$G$16=1),E234,E236))</f>
        <v>-1.6081045552869103E-2</v>
      </c>
      <c r="F239" s="166">
        <f>IF(RES!$G$16=0,F232,IF(OR(RES!$G$16=3,RES!$G$16=1),F234,F236))</f>
        <v>-4.5210229496994749E-2</v>
      </c>
      <c r="G239" s="166">
        <f>IF(RES!$G$16=0,G232,IF(OR(RES!$G$16=3,RES!$G$16=1),G234,G236))</f>
        <v>-0.11748044849197362</v>
      </c>
      <c r="H239" s="166">
        <f>IF(RES!$G$16=0,H232,IF(OR(RES!$G$16=3,RES!$G$16=1),H234,H236))</f>
        <v>-0.25266919874402061</v>
      </c>
      <c r="I239" s="166">
        <f>IF(RES!$G$16=0,I232,IF(OR(RES!$G$16=3,RES!$G$16=1),I234,I236))</f>
        <v>-0.43718830437844874</v>
      </c>
      <c r="J239" s="166">
        <f>IF(RES!$G$16=0,J232,IF(OR(RES!$G$16=3,RES!$G$16=1),J234,J236))</f>
        <v>-0.56885673025176331</v>
      </c>
      <c r="K239" s="166">
        <f>IF(RES!$G$16=0,K232,IF(OR(RES!$G$16=3,RES!$G$16=1),K234,K236))</f>
        <v>-0.61190381259499016</v>
      </c>
      <c r="L239" s="166">
        <f>IF(RES!$G$16=0,L232,IF(OR(RES!$G$16=3,RES!$G$16=1),L234,L236))</f>
        <v>-0.62673217363861577</v>
      </c>
    </row>
    <row r="240" spans="1:20">
      <c r="F240" s="5">
        <v>2012</v>
      </c>
      <c r="G240" s="5">
        <v>2020</v>
      </c>
      <c r="H240" s="5">
        <v>2030</v>
      </c>
      <c r="I240" s="5">
        <v>2040</v>
      </c>
      <c r="J240" s="5">
        <v>2050</v>
      </c>
    </row>
    <row r="241" spans="1:12" ht="15">
      <c r="A241" s="355" t="s">
        <v>721</v>
      </c>
      <c r="B241" s="166" t="str">
        <f>RES!B96</f>
        <v>RMEWELCSWH-E</v>
      </c>
      <c r="C241" s="166" t="s">
        <v>111</v>
      </c>
      <c r="D241" s="166" t="s">
        <v>714</v>
      </c>
      <c r="E241" s="166" t="s">
        <v>718</v>
      </c>
      <c r="F241" s="359">
        <f>SUMIFS(D$206:D$212,$B$206:$B$212,$E241,$M$206:$M$212,$C241)</f>
        <v>6.8475059934243659E-2</v>
      </c>
      <c r="G241" s="359">
        <f>SUMIFS(F$206:F$212,$B$206:$B$212,$E241,$M$206:$M$212,$C241)</f>
        <v>0.24925996508395273</v>
      </c>
      <c r="H241" s="359">
        <f>SUMIFS(H$206:H$212,$B$206:$B$212,$E241,$M$206:$M$212,$C241)</f>
        <v>0.54465850645832281</v>
      </c>
      <c r="I241" s="359">
        <f>SUMIFS(J$206:J$212,$B$206:$B$212,$E241,$M$206:$M$212,$C241)</f>
        <v>0.85332173369422615</v>
      </c>
      <c r="J241" s="359">
        <f>SUMIFS(L$206:L$212,$B$206:$B$212,$E241,$M$206:$M$212,$C241)</f>
        <v>0.83585100219970787</v>
      </c>
    </row>
    <row r="242" spans="1:12" ht="15">
      <c r="A242" s="355" t="s">
        <v>715</v>
      </c>
      <c r="B242" s="166" t="str">
        <f>RES!B96</f>
        <v>RMEWELCSWH-E</v>
      </c>
      <c r="C242" s="166" t="s">
        <v>129</v>
      </c>
      <c r="D242" s="166" t="s">
        <v>714</v>
      </c>
      <c r="E242" s="166" t="str">
        <f>E241</f>
        <v>Low pressure</v>
      </c>
      <c r="F242" s="359">
        <f>SUMIFS(D$206:D$212,$B$206:$B$212,$E242,$M$206:$M$212,$C242)</f>
        <v>6.8475059934243659E-2</v>
      </c>
      <c r="G242" s="359">
        <f>SUMIFS(F$206:F$212,$B$206:$B$212,$E242,$M$206:$M$212,$C242)</f>
        <v>0.24106841261313472</v>
      </c>
      <c r="H242" s="359">
        <f>SUMIFS(H$206:H$212,$B$206:$B$212,$E242,$M$206:$M$212,$C242)</f>
        <v>0.46611880149974422</v>
      </c>
      <c r="I242" s="359">
        <f>SUMIFS(J$206:J$212,$B$206:$B$212,$E242,$M$206:$M$212,$C242)</f>
        <v>0.65884422618917526</v>
      </c>
      <c r="J242" s="359">
        <f>SUMIFS(L$206:L$212,$B$206:$B$212,$E242,$M$206:$M$212,$C242)</f>
        <v>0.62958571174888789</v>
      </c>
    </row>
    <row r="243" spans="1:12">
      <c r="A243" s="166"/>
      <c r="B243" s="166" t="e">
        <f>RES!#REF!</f>
        <v>#REF!</v>
      </c>
      <c r="C243" s="166" t="s">
        <v>111</v>
      </c>
      <c r="D243" s="166" t="s">
        <v>714</v>
      </c>
      <c r="E243" s="166" t="s">
        <v>728</v>
      </c>
      <c r="F243" s="359">
        <f>SUMIFS(D$206:D$212,$B$206:$B$212,$E243,$M$206:$M$212,$C243)</f>
        <v>0</v>
      </c>
      <c r="G243" s="359">
        <f>SUMIFS(F$206:F$212,$B$206:$B$212,$E243,$M$206:$M$212,$C243)</f>
        <v>0</v>
      </c>
      <c r="H243" s="359">
        <f>SUMIFS(H$206:H$212,$B$206:$B$212,$E243,$M$206:$M$212,$C243)</f>
        <v>0</v>
      </c>
      <c r="I243" s="359">
        <f>SUMIFS(J$206:J$212,$B$206:$B$212,$E243,$M$206:$M$212,$C243)</f>
        <v>0</v>
      </c>
      <c r="J243" s="359">
        <f>SUMIFS(L$206:L$212,$B$206:$B$212,$E243,$M$206:$M$212,$C243)</f>
        <v>0</v>
      </c>
    </row>
    <row r="244" spans="1:12">
      <c r="A244" s="166"/>
      <c r="B244" s="166" t="e">
        <f>RES!#REF!</f>
        <v>#REF!</v>
      </c>
      <c r="C244" s="166" t="s">
        <v>129</v>
      </c>
      <c r="D244" s="166" t="s">
        <v>714</v>
      </c>
      <c r="E244" s="166" t="str">
        <f>E243</f>
        <v>High pressusre</v>
      </c>
      <c r="F244" s="359">
        <f>SUMIFS(D$206:D$212,$B$206:$B$212,$E244,$M$206:$M$212,$C244)</f>
        <v>0</v>
      </c>
      <c r="G244" s="359">
        <f>SUMIFS(F$206:F$212,$B$206:$B$212,$E244,$M$206:$M$212,$C244)</f>
        <v>0</v>
      </c>
      <c r="H244" s="359">
        <f>SUMIFS(H$206:H$212,$B$206:$B$212,$E244,$M$206:$M$212,$C244)</f>
        <v>0</v>
      </c>
      <c r="I244" s="359">
        <f>SUMIFS(J$206:J$212,$B$206:$B$212,$E244,$M$206:$M$212,$C244)</f>
        <v>0</v>
      </c>
      <c r="J244" s="359">
        <f>SUMIFS(L$206:L$212,$B$206:$B$212,$E244,$M$206:$M$212,$C244)</f>
        <v>0</v>
      </c>
      <c r="L244" t="s">
        <v>723</v>
      </c>
    </row>
    <row r="245" spans="1:12">
      <c r="A245" s="166" t="s">
        <v>717</v>
      </c>
      <c r="B245" s="166" t="str">
        <f>B241</f>
        <v>RMEWELCSWH-E</v>
      </c>
      <c r="C245" s="166" t="str">
        <f t="shared" ref="C245" si="99">C241</f>
        <v>UP</v>
      </c>
      <c r="D245" s="166" t="s">
        <v>65</v>
      </c>
      <c r="E245" s="166" t="str">
        <f>E241</f>
        <v>Low pressure</v>
      </c>
      <c r="F245" s="359">
        <f>D224</f>
        <v>6.8475059934243659E-2</v>
      </c>
      <c r="G245" s="359">
        <f>F224</f>
        <v>0.42747805839189029</v>
      </c>
      <c r="H245" s="359">
        <f>H224</f>
        <v>0.76179175419484257</v>
      </c>
      <c r="I245" s="359">
        <f>J224</f>
        <v>0.88578742503988339</v>
      </c>
      <c r="J245" s="359">
        <f>L224</f>
        <v>0.8343902664856292</v>
      </c>
    </row>
    <row r="246" spans="1:12">
      <c r="A246" s="166"/>
      <c r="B246" s="166" t="str">
        <f t="shared" ref="B246:C248" si="100">B242</f>
        <v>RMEWELCSWH-E</v>
      </c>
      <c r="C246" s="166" t="str">
        <f t="shared" si="100"/>
        <v>LO</v>
      </c>
      <c r="D246" s="166" t="s">
        <v>65</v>
      </c>
      <c r="E246" s="166" t="str">
        <f>E242</f>
        <v>Low pressure</v>
      </c>
      <c r="F246" s="359">
        <f>MAX(F245-0.001,0)</f>
        <v>6.7475059934243659E-2</v>
      </c>
      <c r="G246" s="359">
        <f t="shared" ref="G246:J246" si="101">MAX(G245-0.001,0)</f>
        <v>0.42647805839189029</v>
      </c>
      <c r="H246" s="359">
        <f t="shared" si="101"/>
        <v>0.76079175419484257</v>
      </c>
      <c r="I246" s="359">
        <f t="shared" si="101"/>
        <v>0.88478742503988339</v>
      </c>
      <c r="J246" s="359">
        <f t="shared" si="101"/>
        <v>0.83339026648562919</v>
      </c>
    </row>
    <row r="247" spans="1:12">
      <c r="A247" s="166"/>
      <c r="B247" s="166" t="e">
        <f t="shared" si="100"/>
        <v>#REF!</v>
      </c>
      <c r="C247" s="166" t="str">
        <f t="shared" si="100"/>
        <v>UP</v>
      </c>
      <c r="D247" s="166" t="s">
        <v>65</v>
      </c>
      <c r="E247" s="166" t="str">
        <f>E243</f>
        <v>High pressusre</v>
      </c>
      <c r="F247" s="359">
        <f>D223</f>
        <v>0</v>
      </c>
      <c r="G247" s="359">
        <f>F223</f>
        <v>1.148832106026392E-2</v>
      </c>
      <c r="H247" s="359">
        <f>H223</f>
        <v>8.9605993608264642E-2</v>
      </c>
      <c r="I247" s="359">
        <f>J223</f>
        <v>0.10897181563504492</v>
      </c>
      <c r="J247" s="359">
        <f>L223</f>
        <v>0.10303689117887883</v>
      </c>
    </row>
    <row r="248" spans="1:12">
      <c r="A248" s="166"/>
      <c r="B248" s="166" t="e">
        <f t="shared" si="100"/>
        <v>#REF!</v>
      </c>
      <c r="C248" s="166" t="str">
        <f t="shared" si="100"/>
        <v>LO</v>
      </c>
      <c r="D248" s="166" t="s">
        <v>65</v>
      </c>
      <c r="E248" s="166" t="str">
        <f>E244</f>
        <v>High pressusre</v>
      </c>
      <c r="F248" s="359">
        <f>MAX(F247-0.001,0)</f>
        <v>0</v>
      </c>
      <c r="G248" s="359">
        <f t="shared" ref="G248:J248" si="102">MAX(G247-0.001,0)</f>
        <v>1.0488321060263921E-2</v>
      </c>
      <c r="H248" s="359">
        <f t="shared" si="102"/>
        <v>8.8605993608264641E-2</v>
      </c>
      <c r="I248" s="359">
        <f t="shared" si="102"/>
        <v>0.10797181563504492</v>
      </c>
      <c r="J248" s="359">
        <f t="shared" si="102"/>
        <v>0.10203689117887883</v>
      </c>
    </row>
    <row r="250" spans="1:12" ht="23.25">
      <c r="A250" s="304" t="s">
        <v>608</v>
      </c>
    </row>
    <row r="251" spans="1:12">
      <c r="A251" s="5" t="s">
        <v>588</v>
      </c>
    </row>
    <row r="252" spans="1:12" ht="51">
      <c r="A252" s="295"/>
      <c r="B252" s="295"/>
      <c r="C252" s="300" t="s">
        <v>589</v>
      </c>
      <c r="D252" s="15"/>
      <c r="E252" s="296" t="s">
        <v>601</v>
      </c>
      <c r="F252" s="296" t="s">
        <v>602</v>
      </c>
    </row>
    <row r="253" spans="1:12">
      <c r="A253" s="249" t="s">
        <v>598</v>
      </c>
      <c r="B253" s="249"/>
      <c r="C253" s="299">
        <f>SUM(I131:O131)+SUM(W131:AC131)+SUM(AK131:AQ131)</f>
        <v>2556297.3557393001</v>
      </c>
      <c r="E253" s="249">
        <v>0.25</v>
      </c>
      <c r="F253" s="249">
        <f>E253*C253</f>
        <v>639074.33893482503</v>
      </c>
    </row>
    <row r="254" spans="1:12">
      <c r="A254" s="249" t="s">
        <v>599</v>
      </c>
      <c r="B254" s="249"/>
      <c r="C254" s="299">
        <f>SUM(I132:O132)+SUM(W132:AC132)+SUM(AK132:AQ132)</f>
        <v>317432.98297999997</v>
      </c>
      <c r="E254" s="249">
        <v>0.2</v>
      </c>
      <c r="F254" s="249">
        <f t="shared" ref="F254:F255" si="103">E254*C254</f>
        <v>63486.596595999996</v>
      </c>
    </row>
    <row r="255" spans="1:12">
      <c r="A255" s="249" t="s">
        <v>600</v>
      </c>
      <c r="B255" s="249"/>
      <c r="C255" s="299">
        <f>SUM(I133:O133)+SUM(W133:AC133)+SUM(AK133:AQ133)</f>
        <v>303646.52499999991</v>
      </c>
      <c r="E255" s="249">
        <v>0.5</v>
      </c>
      <c r="F255" s="249">
        <f t="shared" si="103"/>
        <v>151823.26249999995</v>
      </c>
    </row>
    <row r="256" spans="1:12">
      <c r="C256" s="8"/>
    </row>
    <row r="258" spans="1:1">
      <c r="A258" t="s">
        <v>590</v>
      </c>
    </row>
  </sheetData>
  <mergeCells count="10">
    <mergeCell ref="BU11:CH11"/>
    <mergeCell ref="CI11:CV11"/>
    <mergeCell ref="A12:B12"/>
    <mergeCell ref="A88:B88"/>
    <mergeCell ref="A11:B11"/>
    <mergeCell ref="C11:P11"/>
    <mergeCell ref="Q11:AD11"/>
    <mergeCell ref="AE11:AR11"/>
    <mergeCell ref="AS11:BF11"/>
    <mergeCell ref="BG11:BT11"/>
  </mergeCells>
  <conditionalFormatting sqref="C115:L125 C129:AR129">
    <cfRule type="dataBar" priority="537">
      <dataBar>
        <cfvo type="min"/>
        <cfvo type="max"/>
        <color rgb="FF638EC6"/>
      </dataBar>
      <extLst>
        <ext xmlns:x14="http://schemas.microsoft.com/office/spreadsheetml/2009/9/main" uri="{B025F937-C7B1-47D3-B67F-A62EFF666E3E}">
          <x14:id>{E860D7BE-B721-3A44-9866-7E99BCA6735E}</x14:id>
        </ext>
      </extLst>
    </cfRule>
  </conditionalFormatting>
  <conditionalFormatting sqref="D106:D111">
    <cfRule type="dataBar" priority="1">
      <dataBar>
        <cfvo type="min"/>
        <cfvo type="max"/>
        <color rgb="FF638EC6"/>
      </dataBar>
      <extLst>
        <ext xmlns:x14="http://schemas.microsoft.com/office/spreadsheetml/2009/9/main" uri="{B025F937-C7B1-47D3-B67F-A62EFF666E3E}">
          <x14:id>{041C147F-D585-A64B-9954-CB785B3AADF0}</x14:id>
        </ext>
      </extLst>
    </cfRule>
  </conditionalFormatting>
  <conditionalFormatting sqref="P43:R48 B44:D44 F44:H44 J44:L44">
    <cfRule type="dataBar" priority="3">
      <dataBar>
        <cfvo type="min"/>
        <cfvo type="max"/>
        <color rgb="FF638EC6"/>
      </dataBar>
      <extLst>
        <ext xmlns:x14="http://schemas.microsoft.com/office/spreadsheetml/2009/9/main" uri="{B025F937-C7B1-47D3-B67F-A62EFF666E3E}">
          <x14:id>{74D34CF1-9076-5F4D-82A9-93E7B7A9EA4D}</x14:id>
        </ext>
      </extLst>
    </cfRule>
  </conditionalFormatting>
  <pageMargins left="0.75" right="0.75" top="1" bottom="1" header="0.5" footer="0.5"/>
  <pageSetup paperSize="9"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dataBar" id="{E860D7BE-B721-3A44-9866-7E99BCA6735E}">
            <x14:dataBar minLength="0" maxLength="100" gradient="0">
              <x14:cfvo type="autoMin"/>
              <x14:cfvo type="autoMax"/>
              <x14:negativeFillColor rgb="FFFF0000"/>
              <x14:axisColor rgb="FF000000"/>
            </x14:dataBar>
          </x14:cfRule>
          <xm:sqref>C115:L125 C129:AR129</xm:sqref>
        </x14:conditionalFormatting>
        <x14:conditionalFormatting xmlns:xm="http://schemas.microsoft.com/office/excel/2006/main">
          <x14:cfRule type="dataBar" id="{041C147F-D585-A64B-9954-CB785B3AADF0}">
            <x14:dataBar minLength="0" maxLength="100" gradient="0">
              <x14:cfvo type="autoMin"/>
              <x14:cfvo type="autoMax"/>
              <x14:negativeFillColor rgb="FFFF0000"/>
              <x14:axisColor rgb="FF000000"/>
            </x14:dataBar>
          </x14:cfRule>
          <xm:sqref>D106:D111</xm:sqref>
        </x14:conditionalFormatting>
        <x14:conditionalFormatting xmlns:xm="http://schemas.microsoft.com/office/excel/2006/main">
          <x14:cfRule type="dataBar" id="{74D34CF1-9076-5F4D-82A9-93E7B7A9EA4D}">
            <x14:dataBar minLength="0" maxLength="100" border="1" negativeBarBorderColorSameAsPositive="0">
              <x14:cfvo type="autoMin"/>
              <x14:cfvo type="autoMax"/>
              <x14:borderColor rgb="FF638EC6"/>
              <x14:negativeFillColor rgb="FFFF0000"/>
              <x14:negativeBorderColor rgb="FFFF0000"/>
              <x14:axisColor rgb="FF000000"/>
            </x14:dataBar>
          </x14:cfRule>
          <xm:sqref>P43:R48 B44:D44 F44:H44 J44:L44</xm:sqref>
        </x14:conditionalFormatting>
      </x14:conditionalFormatting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0">
    <tabColor theme="6" tint="0.79998168889431442"/>
  </sheetPr>
  <dimension ref="A2:P132"/>
  <sheetViews>
    <sheetView workbookViewId="0">
      <selection activeCell="J115" sqref="J115"/>
    </sheetView>
  </sheetViews>
  <sheetFormatPr defaultColWidth="11.42578125" defaultRowHeight="12.75" outlineLevelRow="1"/>
  <cols>
    <col min="3" max="3" width="19.42578125" customWidth="1"/>
    <col min="8" max="8" width="13" bestFit="1" customWidth="1"/>
  </cols>
  <sheetData>
    <row r="2" spans="1:15" s="9" customFormat="1" ht="15.75" thickBot="1">
      <c r="A2" s="81" t="s">
        <v>268</v>
      </c>
      <c r="B2" s="81" t="s">
        <v>269</v>
      </c>
      <c r="C2" s="76" t="s">
        <v>0</v>
      </c>
      <c r="D2" s="77"/>
      <c r="E2" s="77" t="s">
        <v>23</v>
      </c>
    </row>
    <row r="3" spans="1:15" s="9" customFormat="1" ht="16.5" thickTop="1" thickBot="1">
      <c r="A3" s="80" t="s">
        <v>236</v>
      </c>
      <c r="B3" s="80" t="s">
        <v>253</v>
      </c>
      <c r="C3" s="80" t="s">
        <v>42</v>
      </c>
      <c r="D3" s="78"/>
      <c r="E3" s="79">
        <f>Fridges!F17</f>
        <v>1.1879983500000002</v>
      </c>
    </row>
    <row r="4" spans="1:15" s="9" customFormat="1" ht="16.5" thickTop="1" thickBot="1">
      <c r="A4" s="80" t="s">
        <v>236</v>
      </c>
      <c r="B4" s="80" t="s">
        <v>259</v>
      </c>
      <c r="C4" s="80" t="s">
        <v>42</v>
      </c>
      <c r="D4" s="78"/>
      <c r="E4" s="79">
        <f>Fridges!F20</f>
        <v>1.6055999600000002</v>
      </c>
    </row>
    <row r="5" spans="1:15" s="9" customFormat="1" ht="16.5" thickTop="1" thickBot="1">
      <c r="A5" s="80" t="s">
        <v>236</v>
      </c>
      <c r="B5" s="80" t="s">
        <v>264</v>
      </c>
      <c r="C5" s="80" t="s">
        <v>42</v>
      </c>
      <c r="D5" s="78"/>
      <c r="E5" s="79">
        <f>Fridges!F23</f>
        <v>2.9051999999999998</v>
      </c>
    </row>
    <row r="6" spans="1:15" s="9" customFormat="1" ht="16.5" thickTop="1" thickBot="1">
      <c r="A6" s="80" t="s">
        <v>236</v>
      </c>
      <c r="B6" s="80" t="s">
        <v>254</v>
      </c>
      <c r="C6" s="80" t="s">
        <v>42</v>
      </c>
      <c r="D6" s="78"/>
      <c r="E6" s="79"/>
    </row>
    <row r="7" spans="1:15" s="9" customFormat="1" ht="16.5" thickTop="1" thickBot="1">
      <c r="A7" s="80" t="s">
        <v>236</v>
      </c>
      <c r="B7" s="80" t="s">
        <v>260</v>
      </c>
      <c r="C7" s="80" t="s">
        <v>42</v>
      </c>
      <c r="D7" s="78"/>
      <c r="E7" s="79"/>
    </row>
    <row r="8" spans="1:15" s="9" customFormat="1" ht="16.5" thickTop="1" thickBot="1">
      <c r="A8" s="80" t="s">
        <v>236</v>
      </c>
      <c r="B8" s="80" t="s">
        <v>265</v>
      </c>
      <c r="C8" s="80" t="s">
        <v>42</v>
      </c>
      <c r="D8" s="78"/>
      <c r="E8" s="79"/>
    </row>
    <row r="9" spans="1:15" s="9" customFormat="1" ht="16.5" thickTop="1" thickBot="1">
      <c r="A9" s="80" t="s">
        <v>238</v>
      </c>
      <c r="B9" s="80" t="s">
        <v>294</v>
      </c>
      <c r="C9" s="80" t="s">
        <v>17</v>
      </c>
      <c r="D9" s="78"/>
      <c r="E9" s="109"/>
    </row>
    <row r="10" spans="1:15" s="9" customFormat="1" ht="16.5" thickTop="1" thickBot="1">
      <c r="A10" s="80" t="s">
        <v>238</v>
      </c>
      <c r="B10" s="80" t="s">
        <v>295</v>
      </c>
      <c r="C10" s="80" t="s">
        <v>17</v>
      </c>
      <c r="D10" s="78"/>
      <c r="E10" s="79"/>
    </row>
    <row r="11" spans="1:15" s="9" customFormat="1" ht="16.5" thickTop="1" thickBot="1">
      <c r="A11" s="80" t="s">
        <v>238</v>
      </c>
      <c r="B11" s="80" t="s">
        <v>296</v>
      </c>
      <c r="C11" s="80" t="s">
        <v>17</v>
      </c>
      <c r="D11" s="78"/>
      <c r="E11" s="79"/>
    </row>
    <row r="12" spans="1:15" s="9" customFormat="1" ht="16.5" thickTop="1" thickBot="1">
      <c r="A12" s="80" t="s">
        <v>238</v>
      </c>
      <c r="B12" s="80" t="s">
        <v>298</v>
      </c>
      <c r="C12" s="80" t="s">
        <v>17</v>
      </c>
      <c r="D12" s="78"/>
      <c r="E12" s="109"/>
    </row>
    <row r="13" spans="1:15" s="9" customFormat="1" ht="15.75" thickTop="1">
      <c r="A13" s="80" t="s">
        <v>238</v>
      </c>
      <c r="B13" s="80" t="s">
        <v>297</v>
      </c>
      <c r="C13" s="80" t="s">
        <v>17</v>
      </c>
      <c r="D13" s="78"/>
      <c r="E13" s="79"/>
      <c r="F13" s="10"/>
      <c r="G13" s="10"/>
      <c r="H13" s="10"/>
      <c r="I13" s="10"/>
      <c r="J13" s="10"/>
      <c r="K13" s="10"/>
      <c r="L13" s="10"/>
      <c r="M13" s="10"/>
    </row>
    <row r="14" spans="1:15" s="9" customFormat="1" ht="15">
      <c r="A14" s="83"/>
      <c r="B14" s="83"/>
      <c r="C14" s="83"/>
      <c r="D14" s="83"/>
      <c r="E14" s="84"/>
      <c r="F14" s="10"/>
      <c r="G14" s="10"/>
      <c r="H14" s="10"/>
      <c r="I14" s="10"/>
      <c r="J14" s="10"/>
      <c r="K14" s="10"/>
      <c r="L14" s="10"/>
      <c r="M14" s="10"/>
    </row>
    <row r="15" spans="1:15">
      <c r="A15" s="5" t="s">
        <v>826</v>
      </c>
      <c r="D15" s="22"/>
      <c r="E15" s="22"/>
      <c r="F15" s="22"/>
      <c r="K15" s="1"/>
      <c r="L15" s="1"/>
    </row>
    <row r="16" spans="1:15" outlineLevel="1">
      <c r="A16" s="22"/>
      <c r="B16" s="75" t="s">
        <v>29</v>
      </c>
      <c r="C16" s="22"/>
      <c r="D16" s="16" t="s">
        <v>66</v>
      </c>
      <c r="E16" s="16" t="s">
        <v>67</v>
      </c>
      <c r="F16" s="16" t="s">
        <v>23</v>
      </c>
      <c r="G16" s="1"/>
      <c r="O16" s="1"/>
    </row>
    <row r="17" spans="1:16" outlineLevel="1">
      <c r="A17" s="16" t="s">
        <v>68</v>
      </c>
      <c r="B17" s="16" t="s">
        <v>69</v>
      </c>
      <c r="C17" s="16" t="s">
        <v>16</v>
      </c>
      <c r="D17" s="110">
        <v>0.56999999999999995</v>
      </c>
      <c r="E17" s="111"/>
      <c r="F17" s="23">
        <f>3254.79*365/10^6</f>
        <v>1.1879983500000002</v>
      </c>
      <c r="G17" s="1">
        <f>F17/3.6*1000</f>
        <v>329.99954166666674</v>
      </c>
      <c r="H17" s="1"/>
    </row>
    <row r="18" spans="1:16" outlineLevel="1">
      <c r="A18" s="18"/>
      <c r="B18" s="16" t="s">
        <v>70</v>
      </c>
      <c r="C18" s="16" t="s">
        <v>16</v>
      </c>
      <c r="D18" s="110">
        <v>0.09</v>
      </c>
      <c r="E18" s="111"/>
      <c r="F18" s="23">
        <f>3945.2055*365/10^6</f>
        <v>1.4400000075000001</v>
      </c>
      <c r="G18" s="1">
        <f>F18/3.6*1000</f>
        <v>400.00000208333336</v>
      </c>
      <c r="H18" s="1"/>
    </row>
    <row r="19" spans="1:16" outlineLevel="1">
      <c r="A19" s="16" t="s">
        <v>71</v>
      </c>
      <c r="B19" s="16" t="s">
        <v>30</v>
      </c>
      <c r="C19" s="16"/>
      <c r="D19" s="18"/>
      <c r="E19" s="111"/>
      <c r="F19" s="23"/>
      <c r="G19" s="1"/>
      <c r="H19" s="1"/>
    </row>
    <row r="20" spans="1:16" outlineLevel="1">
      <c r="A20" s="18"/>
      <c r="B20" s="16" t="s">
        <v>69</v>
      </c>
      <c r="C20" s="16" t="s">
        <v>16</v>
      </c>
      <c r="D20" s="110">
        <v>0.87</v>
      </c>
      <c r="E20" s="111"/>
      <c r="F20" s="23">
        <f>4398.904*365/10^6</f>
        <v>1.6055999600000002</v>
      </c>
      <c r="G20" s="1">
        <f>F20/3.6*1000</f>
        <v>445.99998888888894</v>
      </c>
      <c r="H20" s="1"/>
    </row>
    <row r="21" spans="1:16" outlineLevel="1">
      <c r="A21" s="18"/>
      <c r="B21" s="16" t="s">
        <v>70</v>
      </c>
      <c r="C21" s="16" t="s">
        <v>16</v>
      </c>
      <c r="D21" s="110">
        <v>0.22</v>
      </c>
      <c r="E21" s="111"/>
      <c r="F21" s="23">
        <f>3945.2055*365/10^6</f>
        <v>1.4400000075000001</v>
      </c>
      <c r="G21" s="1">
        <f>F21/3.6*1000</f>
        <v>400.00000208333336</v>
      </c>
      <c r="H21" s="1"/>
    </row>
    <row r="22" spans="1:16" outlineLevel="1">
      <c r="A22" s="18"/>
      <c r="B22" s="16" t="s">
        <v>31</v>
      </c>
      <c r="C22" s="16"/>
      <c r="D22" s="18"/>
      <c r="E22" s="111"/>
      <c r="F22" s="23"/>
      <c r="G22" s="1"/>
      <c r="H22" s="1"/>
    </row>
    <row r="23" spans="1:16" outlineLevel="1">
      <c r="A23" s="16" t="s">
        <v>72</v>
      </c>
      <c r="B23" s="16" t="s">
        <v>69</v>
      </c>
      <c r="C23" s="16" t="s">
        <v>16</v>
      </c>
      <c r="D23" s="110">
        <v>0.98</v>
      </c>
      <c r="E23" s="111"/>
      <c r="F23" s="23">
        <f>7959.45205479452*365/10^6</f>
        <v>2.9051999999999998</v>
      </c>
      <c r="G23" s="1">
        <f>F23/3.6*1000</f>
        <v>806.99999999999989</v>
      </c>
      <c r="H23" s="1"/>
    </row>
    <row r="24" spans="1:16" outlineLevel="1">
      <c r="A24" s="18"/>
      <c r="B24" s="16" t="s">
        <v>70</v>
      </c>
      <c r="C24" s="16" t="s">
        <v>16</v>
      </c>
      <c r="D24" s="110">
        <v>0.53</v>
      </c>
      <c r="E24" s="111"/>
      <c r="F24" s="23">
        <f>3945.20547945205*365/10^6</f>
        <v>1.4399999999999982</v>
      </c>
      <c r="G24" s="1">
        <f>F24/3.6*1000</f>
        <v>399.99999999999949</v>
      </c>
      <c r="H24" s="1"/>
    </row>
    <row r="25" spans="1:16" outlineLevel="1">
      <c r="A25" s="18"/>
      <c r="B25" s="18"/>
      <c r="C25" s="18"/>
      <c r="P25" s="114"/>
    </row>
    <row r="27" spans="1:16" s="180" customFormat="1" ht="20.25">
      <c r="A27" s="323" t="s">
        <v>689</v>
      </c>
    </row>
    <row r="29" spans="1:16">
      <c r="F29" t="s">
        <v>677</v>
      </c>
    </row>
    <row r="30" spans="1:16">
      <c r="A30" t="s">
        <v>675</v>
      </c>
      <c r="F30" t="s">
        <v>676</v>
      </c>
    </row>
    <row r="31" spans="1:16">
      <c r="A31" s="320" t="s">
        <v>50</v>
      </c>
      <c r="B31" s="319">
        <v>9886238</v>
      </c>
      <c r="F31" s="320" t="s">
        <v>50</v>
      </c>
      <c r="G31" s="319">
        <v>44170365</v>
      </c>
      <c r="H31" s="321">
        <f>G31/(51800000/'Census 2011_17'!$C$47)</f>
        <v>12321793.578458289</v>
      </c>
    </row>
    <row r="32" spans="1:16">
      <c r="A32" s="320" t="s">
        <v>51</v>
      </c>
      <c r="B32" s="319">
        <v>4563924</v>
      </c>
      <c r="F32" s="320" t="s">
        <v>51</v>
      </c>
      <c r="G32" s="319">
        <v>7896323</v>
      </c>
      <c r="H32" s="321">
        <f>G32/(51800000/'Census 2011_17'!$C$47)</f>
        <v>2202763.3693955778</v>
      </c>
    </row>
    <row r="33" spans="1:8" ht="25.5">
      <c r="A33" s="320" t="s">
        <v>27</v>
      </c>
      <c r="B33" s="319">
        <v>14450161</v>
      </c>
      <c r="F33" s="320" t="s">
        <v>286</v>
      </c>
      <c r="G33" s="319">
        <v>3586966</v>
      </c>
      <c r="H33" s="321">
        <f>G33/(51800000/'Census 2011_17'!$C$47)</f>
        <v>1000622.3544892195</v>
      </c>
    </row>
    <row r="34" spans="1:8">
      <c r="A34" s="320"/>
      <c r="B34" s="319"/>
      <c r="F34" s="320" t="s">
        <v>27</v>
      </c>
      <c r="G34" s="319">
        <v>55653654</v>
      </c>
      <c r="H34" s="321">
        <f>G34/(51800000/'Census 2011_17'!$C$47)</f>
        <v>15525179.302343085</v>
      </c>
    </row>
    <row r="35" spans="1:8">
      <c r="A35" s="320"/>
      <c r="B35" s="319"/>
      <c r="F35" s="320"/>
      <c r="G35" s="319"/>
    </row>
    <row r="36" spans="1:8">
      <c r="A36" s="320"/>
      <c r="B36" s="319"/>
      <c r="F36" s="320"/>
      <c r="G36" s="319"/>
    </row>
    <row r="37" spans="1:8">
      <c r="A37" s="320"/>
      <c r="B37" s="319"/>
      <c r="F37" s="320"/>
      <c r="G37" s="319"/>
    </row>
    <row r="38" spans="1:8" s="180" customFormat="1" ht="23.25">
      <c r="A38" s="322" t="s">
        <v>688</v>
      </c>
    </row>
    <row r="40" spans="1:8" ht="20.25">
      <c r="A40" s="279" t="s">
        <v>678</v>
      </c>
      <c r="B40" s="275"/>
      <c r="C40" s="275"/>
    </row>
    <row r="41" spans="1:8" ht="20.25">
      <c r="A41" s="279" t="s">
        <v>679</v>
      </c>
      <c r="B41" s="275"/>
      <c r="C41" s="275"/>
    </row>
    <row r="42" spans="1:8" ht="20.25">
      <c r="A42" s="279" t="s">
        <v>680</v>
      </c>
      <c r="B42" s="275"/>
      <c r="C42" s="275"/>
    </row>
    <row r="43" spans="1:8">
      <c r="A43" s="275"/>
      <c r="B43" s="275"/>
      <c r="C43" s="275"/>
    </row>
    <row r="44" spans="1:8" ht="20.25">
      <c r="A44" s="279" t="s">
        <v>464</v>
      </c>
      <c r="B44" s="275"/>
      <c r="C44" s="275" t="s">
        <v>678</v>
      </c>
    </row>
    <row r="45" spans="1:8">
      <c r="A45" s="275" t="s">
        <v>465</v>
      </c>
      <c r="B45" s="275" t="s">
        <v>681</v>
      </c>
      <c r="C45" s="275"/>
    </row>
    <row r="46" spans="1:8">
      <c r="A46" s="275"/>
      <c r="B46" s="275"/>
      <c r="C46" s="275"/>
    </row>
    <row r="47" spans="1:8">
      <c r="A47" s="609" t="s">
        <v>682</v>
      </c>
      <c r="B47" s="608"/>
      <c r="C47" s="274" t="s">
        <v>681</v>
      </c>
    </row>
    <row r="48" spans="1:8" ht="76.5">
      <c r="A48" s="276" t="s">
        <v>683</v>
      </c>
      <c r="B48" s="276" t="s">
        <v>684</v>
      </c>
      <c r="C48" s="275"/>
    </row>
    <row r="49" spans="1:3">
      <c r="A49" s="612" t="s">
        <v>685</v>
      </c>
      <c r="B49" s="277" t="s">
        <v>685</v>
      </c>
      <c r="C49" s="278">
        <v>10346108.0580603</v>
      </c>
    </row>
    <row r="50" spans="1:3" ht="38.25">
      <c r="A50" s="608"/>
      <c r="B50" s="277" t="s">
        <v>686</v>
      </c>
      <c r="C50" s="278">
        <v>3346922.7480302001</v>
      </c>
    </row>
    <row r="51" spans="1:3" ht="38.25">
      <c r="A51" s="608"/>
      <c r="B51" s="277" t="s">
        <v>687</v>
      </c>
      <c r="C51" s="278">
        <v>26403112.9382765</v>
      </c>
    </row>
    <row r="52" spans="1:3">
      <c r="A52" s="608"/>
      <c r="B52" s="277" t="s">
        <v>286</v>
      </c>
      <c r="C52" s="278">
        <v>530920.0628971</v>
      </c>
    </row>
    <row r="53" spans="1:3">
      <c r="A53" s="608"/>
      <c r="B53" s="277" t="s">
        <v>27</v>
      </c>
      <c r="C53" s="278">
        <v>40627063.807263501</v>
      </c>
    </row>
    <row r="54" spans="1:3">
      <c r="A54" s="612" t="s">
        <v>686</v>
      </c>
      <c r="B54" s="277" t="s">
        <v>685</v>
      </c>
      <c r="C54" s="278">
        <v>318793.32804669999</v>
      </c>
    </row>
    <row r="55" spans="1:3" ht="38.25">
      <c r="A55" s="608"/>
      <c r="B55" s="277" t="s">
        <v>686</v>
      </c>
      <c r="C55" s="278">
        <v>975904.78942289995</v>
      </c>
    </row>
    <row r="56" spans="1:3" ht="38.25">
      <c r="A56" s="608"/>
      <c r="B56" s="277" t="s">
        <v>687</v>
      </c>
      <c r="C56" s="278">
        <v>836656.96756200003</v>
      </c>
    </row>
    <row r="57" spans="1:3">
      <c r="A57" s="608"/>
      <c r="B57" s="277" t="s">
        <v>286</v>
      </c>
      <c r="C57" s="278">
        <v>11121.95803</v>
      </c>
    </row>
    <row r="58" spans="1:3">
      <c r="A58" s="608"/>
      <c r="B58" s="277" t="s">
        <v>27</v>
      </c>
      <c r="C58" s="278">
        <v>2142477.0430616001</v>
      </c>
    </row>
    <row r="59" spans="1:3">
      <c r="A59" s="612" t="s">
        <v>687</v>
      </c>
      <c r="B59" s="277" t="s">
        <v>685</v>
      </c>
      <c r="C59" s="278">
        <v>3515718.7135239998</v>
      </c>
    </row>
    <row r="60" spans="1:3" ht="38.25">
      <c r="A60" s="608"/>
      <c r="B60" s="277" t="s">
        <v>686</v>
      </c>
      <c r="C60" s="278">
        <v>128364.63808030001</v>
      </c>
    </row>
    <row r="61" spans="1:3" ht="38.25">
      <c r="A61" s="608"/>
      <c r="B61" s="277" t="s">
        <v>687</v>
      </c>
      <c r="C61" s="278">
        <v>8042799.6635534</v>
      </c>
    </row>
    <row r="62" spans="1:3">
      <c r="A62" s="608"/>
      <c r="B62" s="277" t="s">
        <v>286</v>
      </c>
      <c r="C62" s="278">
        <v>6784.6686466000001</v>
      </c>
    </row>
    <row r="63" spans="1:3">
      <c r="A63" s="608"/>
      <c r="B63" s="277" t="s">
        <v>27</v>
      </c>
      <c r="C63" s="278">
        <v>11693667.6838043</v>
      </c>
    </row>
    <row r="64" spans="1:3">
      <c r="A64" s="612" t="s">
        <v>286</v>
      </c>
      <c r="B64" s="277" t="s">
        <v>685</v>
      </c>
      <c r="C64" s="278">
        <v>85636.514467800007</v>
      </c>
    </row>
    <row r="65" spans="1:7" ht="38.25">
      <c r="A65" s="608"/>
      <c r="B65" s="277" t="s">
        <v>686</v>
      </c>
      <c r="C65" s="278">
        <v>7633.0913972999997</v>
      </c>
    </row>
    <row r="66" spans="1:7" ht="38.25">
      <c r="A66" s="608"/>
      <c r="B66" s="277" t="s">
        <v>687</v>
      </c>
      <c r="C66" s="278">
        <v>26830.0804675</v>
      </c>
    </row>
    <row r="67" spans="1:7">
      <c r="A67" s="608"/>
      <c r="B67" s="277" t="s">
        <v>286</v>
      </c>
      <c r="C67" s="278">
        <v>184119.02966619999</v>
      </c>
    </row>
    <row r="68" spans="1:7">
      <c r="A68" s="608"/>
      <c r="B68" s="277" t="s">
        <v>27</v>
      </c>
      <c r="C68" s="278">
        <v>304218.71599880001</v>
      </c>
    </row>
    <row r="69" spans="1:7">
      <c r="A69" s="320"/>
      <c r="B69" s="319"/>
      <c r="F69" s="320"/>
      <c r="G69" s="319"/>
    </row>
    <row r="70" spans="1:7">
      <c r="A70" s="320"/>
      <c r="B70" s="319"/>
      <c r="F70" s="320"/>
      <c r="G70" s="319"/>
    </row>
    <row r="71" spans="1:7">
      <c r="A71" s="320"/>
      <c r="B71" s="319"/>
      <c r="F71" s="320"/>
      <c r="G71" s="319"/>
    </row>
    <row r="72" spans="1:7">
      <c r="A72" s="320"/>
      <c r="B72" s="319"/>
      <c r="F72" s="320"/>
      <c r="G72" s="319"/>
    </row>
    <row r="73" spans="1:7" s="180" customFormat="1" ht="21" customHeight="1">
      <c r="A73" s="613" t="s">
        <v>690</v>
      </c>
      <c r="B73" s="613"/>
      <c r="C73" s="613"/>
      <c r="D73" s="613"/>
      <c r="E73" s="613"/>
      <c r="F73" s="613"/>
      <c r="G73" s="613"/>
    </row>
    <row r="74" spans="1:7">
      <c r="A74" s="320"/>
      <c r="B74" s="319"/>
      <c r="F74" s="320"/>
      <c r="G74" s="319"/>
    </row>
    <row r="75" spans="1:7">
      <c r="A75" s="320"/>
      <c r="B75" s="319"/>
      <c r="F75" s="320"/>
      <c r="G75" s="319"/>
    </row>
    <row r="77" spans="1:7">
      <c r="A77" s="610" t="s">
        <v>654</v>
      </c>
      <c r="B77" s="610"/>
      <c r="C77" s="610"/>
      <c r="D77" s="314" t="s">
        <v>655</v>
      </c>
    </row>
    <row r="78" spans="1:7" ht="44.1" customHeight="1">
      <c r="A78" s="610"/>
      <c r="B78" s="610"/>
      <c r="C78" s="610"/>
      <c r="D78" s="314" t="s">
        <v>656</v>
      </c>
    </row>
    <row r="79" spans="1:7" ht="22.5">
      <c r="A79" s="611" t="s">
        <v>657</v>
      </c>
      <c r="B79" s="314" t="s">
        <v>658</v>
      </c>
      <c r="C79" s="315" t="s">
        <v>50</v>
      </c>
      <c r="D79" s="316">
        <v>8552460</v>
      </c>
    </row>
    <row r="80" spans="1:7" ht="33.75">
      <c r="A80" s="611"/>
      <c r="B80" s="314" t="s">
        <v>659</v>
      </c>
      <c r="C80" s="315" t="s">
        <v>50</v>
      </c>
      <c r="D80" s="316">
        <v>35278358</v>
      </c>
    </row>
    <row r="81" spans="1:12">
      <c r="A81" s="611" t="s">
        <v>655</v>
      </c>
      <c r="B81" s="611"/>
      <c r="C81" s="611"/>
      <c r="D81" s="316">
        <v>39777584</v>
      </c>
    </row>
    <row r="83" spans="1:12">
      <c r="A83" s="140" t="s">
        <v>660</v>
      </c>
    </row>
    <row r="84" spans="1:12">
      <c r="A84" s="317" t="s">
        <v>47</v>
      </c>
    </row>
    <row r="85" spans="1:12">
      <c r="A85" s="317" t="s">
        <v>47</v>
      </c>
    </row>
    <row r="88" spans="1:12">
      <c r="A88" s="610" t="s">
        <v>654</v>
      </c>
      <c r="B88" s="610"/>
      <c r="C88" s="610"/>
      <c r="D88" s="611" t="s">
        <v>661</v>
      </c>
      <c r="E88" s="611"/>
      <c r="F88" s="611"/>
      <c r="G88" s="611"/>
      <c r="H88" s="611"/>
      <c r="I88" s="611"/>
      <c r="J88" s="611"/>
      <c r="K88" s="611"/>
      <c r="L88" s="611" t="s">
        <v>655</v>
      </c>
    </row>
    <row r="89" spans="1:12">
      <c r="A89" s="610"/>
      <c r="B89" s="610"/>
      <c r="C89" s="610"/>
      <c r="D89" s="611" t="s">
        <v>662</v>
      </c>
      <c r="E89" s="611"/>
      <c r="F89" s="611"/>
      <c r="G89" s="611"/>
      <c r="H89" s="611"/>
      <c r="I89" s="611"/>
      <c r="J89" s="611"/>
      <c r="K89" s="611"/>
      <c r="L89" s="611"/>
    </row>
    <row r="90" spans="1:12" ht="33" customHeight="1">
      <c r="A90" s="610"/>
      <c r="B90" s="610"/>
      <c r="C90" s="610"/>
      <c r="D90" s="314" t="s">
        <v>663</v>
      </c>
      <c r="E90" s="314" t="s">
        <v>664</v>
      </c>
      <c r="F90" s="314" t="s">
        <v>665</v>
      </c>
      <c r="G90" s="314" t="s">
        <v>666</v>
      </c>
      <c r="H90" s="314" t="s">
        <v>667</v>
      </c>
      <c r="I90" s="314" t="s">
        <v>668</v>
      </c>
      <c r="J90" s="314" t="s">
        <v>669</v>
      </c>
      <c r="K90" s="314" t="s">
        <v>670</v>
      </c>
      <c r="L90" s="611"/>
    </row>
    <row r="91" spans="1:12" ht="36.950000000000003" customHeight="1">
      <c r="A91" s="610"/>
      <c r="B91" s="610"/>
      <c r="C91" s="610"/>
      <c r="D91" s="314" t="s">
        <v>656</v>
      </c>
      <c r="E91" s="314" t="s">
        <v>656</v>
      </c>
      <c r="F91" s="314" t="s">
        <v>656</v>
      </c>
      <c r="G91" s="314" t="s">
        <v>656</v>
      </c>
      <c r="H91" s="314" t="s">
        <v>656</v>
      </c>
      <c r="I91" s="314" t="s">
        <v>656</v>
      </c>
      <c r="J91" s="314" t="s">
        <v>656</v>
      </c>
      <c r="K91" s="314" t="s">
        <v>656</v>
      </c>
      <c r="L91" s="314" t="s">
        <v>656</v>
      </c>
    </row>
    <row r="92" spans="1:12" ht="22.5">
      <c r="A92" s="611" t="s">
        <v>657</v>
      </c>
      <c r="B92" s="314" t="s">
        <v>658</v>
      </c>
      <c r="C92" s="315" t="s">
        <v>50</v>
      </c>
      <c r="D92" s="318">
        <v>37240</v>
      </c>
      <c r="E92" s="318">
        <v>147268</v>
      </c>
      <c r="F92" s="318">
        <v>223917</v>
      </c>
      <c r="G92" s="318">
        <v>722622</v>
      </c>
      <c r="H92" s="318">
        <v>1029437</v>
      </c>
      <c r="I92" s="318">
        <v>1050461</v>
      </c>
      <c r="J92" s="318">
        <v>1718699</v>
      </c>
      <c r="K92" s="318">
        <v>3622817</v>
      </c>
      <c r="L92" s="316">
        <v>8552460</v>
      </c>
    </row>
    <row r="93" spans="1:12" ht="33.75">
      <c r="A93" s="611"/>
      <c r="B93" s="314" t="s">
        <v>659</v>
      </c>
      <c r="C93" s="315" t="s">
        <v>50</v>
      </c>
      <c r="D93" s="318">
        <v>449916</v>
      </c>
      <c r="E93" s="318">
        <v>1508549</v>
      </c>
      <c r="F93" s="318">
        <v>2550018</v>
      </c>
      <c r="G93" s="318">
        <v>6943361</v>
      </c>
      <c r="H93" s="318">
        <v>6641290</v>
      </c>
      <c r="I93" s="318">
        <v>4555341</v>
      </c>
      <c r="J93" s="318">
        <v>5498111</v>
      </c>
      <c r="K93" s="318">
        <v>7131771</v>
      </c>
      <c r="L93" s="316">
        <v>35278358</v>
      </c>
    </row>
    <row r="94" spans="1:12">
      <c r="A94" s="611" t="s">
        <v>655</v>
      </c>
      <c r="B94" s="611"/>
      <c r="C94" s="611"/>
      <c r="D94" s="316">
        <v>717324</v>
      </c>
      <c r="E94" s="316">
        <v>2122183</v>
      </c>
      <c r="F94" s="316">
        <v>3302482</v>
      </c>
      <c r="G94" s="316">
        <v>8479119</v>
      </c>
      <c r="H94" s="316">
        <v>7389817</v>
      </c>
      <c r="I94" s="316">
        <v>4793786</v>
      </c>
      <c r="J94" s="316">
        <v>5721839</v>
      </c>
      <c r="K94" s="316">
        <v>7251035</v>
      </c>
      <c r="L94" s="316">
        <v>39777584</v>
      </c>
    </row>
    <row r="95" spans="1:12">
      <c r="E95">
        <f>1300*12</f>
        <v>15600</v>
      </c>
    </row>
    <row r="96" spans="1:12">
      <c r="A96" s="140" t="s">
        <v>660</v>
      </c>
      <c r="D96" s="412"/>
      <c r="F96" s="412"/>
    </row>
    <row r="97" spans="1:12">
      <c r="A97" s="317" t="s">
        <v>47</v>
      </c>
    </row>
    <row r="99" spans="1:12">
      <c r="A99" t="s">
        <v>671</v>
      </c>
    </row>
    <row r="101" spans="1:12">
      <c r="A101" s="610" t="s">
        <v>672</v>
      </c>
      <c r="B101" s="610"/>
      <c r="C101" s="610"/>
      <c r="D101" s="611" t="s">
        <v>661</v>
      </c>
      <c r="E101" s="611"/>
      <c r="F101" s="611"/>
      <c r="G101" s="611"/>
      <c r="H101" s="611"/>
      <c r="I101" s="611"/>
      <c r="J101" s="611"/>
      <c r="K101" s="611"/>
      <c r="L101" s="611" t="s">
        <v>655</v>
      </c>
    </row>
    <row r="102" spans="1:12">
      <c r="A102" s="610"/>
      <c r="B102" s="610"/>
      <c r="C102" s="610"/>
      <c r="D102" s="611" t="s">
        <v>662</v>
      </c>
      <c r="E102" s="611"/>
      <c r="F102" s="611"/>
      <c r="G102" s="611"/>
      <c r="H102" s="611"/>
      <c r="I102" s="611"/>
      <c r="J102" s="611"/>
      <c r="K102" s="611"/>
      <c r="L102" s="611"/>
    </row>
    <row r="103" spans="1:12" ht="22.5">
      <c r="A103" s="610"/>
      <c r="B103" s="610"/>
      <c r="C103" s="610"/>
      <c r="D103" s="314" t="s">
        <v>663</v>
      </c>
      <c r="E103" s="314" t="s">
        <v>664</v>
      </c>
      <c r="F103" s="314" t="s">
        <v>665</v>
      </c>
      <c r="G103" s="314" t="s">
        <v>666</v>
      </c>
      <c r="H103" s="314" t="s">
        <v>667</v>
      </c>
      <c r="I103" s="314" t="s">
        <v>668</v>
      </c>
      <c r="J103" s="314" t="s">
        <v>669</v>
      </c>
      <c r="K103" s="314" t="s">
        <v>670</v>
      </c>
      <c r="L103" s="611"/>
    </row>
    <row r="104" spans="1:12" ht="33.950000000000003" customHeight="1">
      <c r="A104" s="610"/>
      <c r="B104" s="610"/>
      <c r="C104" s="610"/>
      <c r="D104" s="314" t="s">
        <v>673</v>
      </c>
      <c r="E104" s="314" t="s">
        <v>673</v>
      </c>
      <c r="F104" s="314" t="s">
        <v>673</v>
      </c>
      <c r="G104" s="314" t="s">
        <v>673</v>
      </c>
      <c r="H104" s="314" t="s">
        <v>673</v>
      </c>
      <c r="I104" s="314" t="s">
        <v>673</v>
      </c>
      <c r="J104" s="314" t="s">
        <v>673</v>
      </c>
      <c r="K104" s="314" t="s">
        <v>673</v>
      </c>
      <c r="L104" s="314" t="s">
        <v>673</v>
      </c>
    </row>
    <row r="105" spans="1:12" ht="22.5">
      <c r="A105" s="611" t="s">
        <v>657</v>
      </c>
      <c r="B105" s="314" t="s">
        <v>658</v>
      </c>
      <c r="C105" s="315" t="s">
        <v>50</v>
      </c>
      <c r="D105" s="318">
        <v>29784</v>
      </c>
      <c r="E105" s="318">
        <v>119814</v>
      </c>
      <c r="F105" s="318">
        <v>174612</v>
      </c>
      <c r="G105" s="318">
        <v>343089</v>
      </c>
      <c r="H105" s="318">
        <v>409753</v>
      </c>
      <c r="I105" s="318">
        <v>432865</v>
      </c>
      <c r="J105" s="318">
        <v>639753</v>
      </c>
      <c r="K105" s="318">
        <v>960988</v>
      </c>
      <c r="L105" s="316">
        <v>3110657</v>
      </c>
    </row>
    <row r="106" spans="1:12" ht="33.75">
      <c r="A106" s="611"/>
      <c r="B106" s="314" t="s">
        <v>659</v>
      </c>
      <c r="C106" s="315" t="s">
        <v>50</v>
      </c>
      <c r="D106" s="318">
        <v>369562</v>
      </c>
      <c r="E106" s="318">
        <v>1193435</v>
      </c>
      <c r="F106" s="318">
        <v>1205061</v>
      </c>
      <c r="G106" s="318">
        <v>2205503</v>
      </c>
      <c r="H106" s="318">
        <v>1968756</v>
      </c>
      <c r="I106" s="318">
        <v>1499413</v>
      </c>
      <c r="J106" s="318">
        <v>1584164</v>
      </c>
      <c r="K106" s="318">
        <v>1616276</v>
      </c>
      <c r="L106" s="316">
        <v>11642170</v>
      </c>
    </row>
    <row r="107" spans="1:12">
      <c r="A107" s="611" t="s">
        <v>655</v>
      </c>
      <c r="B107" s="611"/>
      <c r="C107" s="611"/>
      <c r="D107" s="316">
        <v>782499</v>
      </c>
      <c r="E107" s="316">
        <v>1930279</v>
      </c>
      <c r="F107" s="316">
        <v>1754582</v>
      </c>
      <c r="G107" s="316">
        <v>2719903</v>
      </c>
      <c r="H107" s="316">
        <v>2106324</v>
      </c>
      <c r="I107" s="316">
        <v>1544792</v>
      </c>
      <c r="J107" s="316">
        <v>1607226</v>
      </c>
      <c r="K107" s="316">
        <v>1628646</v>
      </c>
      <c r="L107" s="316">
        <v>14074251</v>
      </c>
    </row>
    <row r="109" spans="1:12">
      <c r="A109" s="140" t="s">
        <v>660</v>
      </c>
    </row>
    <row r="110" spans="1:12">
      <c r="A110" s="317" t="s">
        <v>47</v>
      </c>
    </row>
    <row r="113" spans="1:12">
      <c r="A113" t="s">
        <v>674</v>
      </c>
    </row>
    <row r="114" spans="1:12">
      <c r="D114">
        <v>799</v>
      </c>
      <c r="E114">
        <v>1399</v>
      </c>
      <c r="F114">
        <v>2499</v>
      </c>
      <c r="G114">
        <v>4999</v>
      </c>
      <c r="H114">
        <v>7999</v>
      </c>
      <c r="I114">
        <v>19999</v>
      </c>
    </row>
    <row r="119" spans="1:12" s="180" customFormat="1" ht="21" customHeight="1">
      <c r="A119" s="613" t="s">
        <v>735</v>
      </c>
      <c r="B119" s="613"/>
      <c r="C119" s="613"/>
      <c r="D119" s="613"/>
      <c r="E119" s="613"/>
      <c r="F119" s="613"/>
      <c r="G119" s="613"/>
    </row>
    <row r="120" spans="1:12">
      <c r="A120" t="s">
        <v>729</v>
      </c>
    </row>
    <row r="121" spans="1:12">
      <c r="A121" t="s">
        <v>730</v>
      </c>
    </row>
    <row r="123" spans="1:12">
      <c r="A123" t="s">
        <v>731</v>
      </c>
      <c r="C123" t="s">
        <v>732</v>
      </c>
    </row>
    <row r="125" spans="1:12">
      <c r="A125" t="s">
        <v>733</v>
      </c>
    </row>
    <row r="127" spans="1:12">
      <c r="A127" t="s">
        <v>734</v>
      </c>
    </row>
    <row r="128" spans="1:12">
      <c r="B128">
        <v>2003</v>
      </c>
      <c r="C128">
        <v>2004</v>
      </c>
      <c r="D128">
        <v>2005</v>
      </c>
      <c r="E128" s="360">
        <v>2006</v>
      </c>
      <c r="F128">
        <v>2007</v>
      </c>
      <c r="G128">
        <v>2008</v>
      </c>
      <c r="H128">
        <v>2009</v>
      </c>
      <c r="I128" s="360">
        <v>2010</v>
      </c>
      <c r="J128">
        <v>2011</v>
      </c>
      <c r="K128">
        <v>2012</v>
      </c>
      <c r="L128" s="360">
        <v>2013</v>
      </c>
    </row>
    <row r="129" spans="1:12">
      <c r="A129">
        <v>5</v>
      </c>
      <c r="B129">
        <v>100</v>
      </c>
      <c r="C129">
        <f>IF(B129-$B129/$A129&gt;0,B129-$B129/$A129,0)</f>
        <v>80</v>
      </c>
      <c r="D129">
        <f t="shared" ref="D129:L130" si="0">IF(C129-$B129/$A129&gt;0,C129-$B129/$A129,0)</f>
        <v>60</v>
      </c>
      <c r="E129">
        <f t="shared" si="0"/>
        <v>40</v>
      </c>
      <c r="F129">
        <f t="shared" si="0"/>
        <v>20</v>
      </c>
      <c r="G129">
        <f t="shared" si="0"/>
        <v>0</v>
      </c>
      <c r="H129">
        <f t="shared" si="0"/>
        <v>0</v>
      </c>
      <c r="I129">
        <f t="shared" si="0"/>
        <v>0</v>
      </c>
      <c r="J129">
        <f t="shared" si="0"/>
        <v>0</v>
      </c>
      <c r="K129">
        <f t="shared" si="0"/>
        <v>0</v>
      </c>
      <c r="L129">
        <f t="shared" si="0"/>
        <v>0</v>
      </c>
    </row>
    <row r="130" spans="1:12">
      <c r="A130">
        <v>9</v>
      </c>
      <c r="B130">
        <v>100</v>
      </c>
      <c r="C130">
        <f>IF(B130-$B130/$A130&gt;0,B130-$B130/$A130,0)</f>
        <v>88.888888888888886</v>
      </c>
      <c r="D130">
        <f t="shared" si="0"/>
        <v>77.777777777777771</v>
      </c>
      <c r="E130">
        <f t="shared" si="0"/>
        <v>66.666666666666657</v>
      </c>
      <c r="F130">
        <f t="shared" si="0"/>
        <v>55.555555555555543</v>
      </c>
      <c r="G130">
        <f t="shared" si="0"/>
        <v>44.444444444444429</v>
      </c>
      <c r="H130">
        <f t="shared" si="0"/>
        <v>33.333333333333314</v>
      </c>
      <c r="I130">
        <f t="shared" si="0"/>
        <v>22.222222222222204</v>
      </c>
      <c r="J130">
        <f t="shared" si="0"/>
        <v>11.111111111111093</v>
      </c>
      <c r="K130">
        <f t="shared" si="0"/>
        <v>0</v>
      </c>
      <c r="L130">
        <f t="shared" si="0"/>
        <v>0</v>
      </c>
    </row>
    <row r="131" spans="1:12">
      <c r="A131">
        <v>10</v>
      </c>
      <c r="B131">
        <v>100</v>
      </c>
      <c r="C131">
        <f t="shared" ref="C131:L132" si="1">IF(B131-$B131/$A131&gt;0,B131-$B131/$A131,0)</f>
        <v>90</v>
      </c>
      <c r="D131">
        <f t="shared" si="1"/>
        <v>80</v>
      </c>
      <c r="E131">
        <f t="shared" si="1"/>
        <v>70</v>
      </c>
      <c r="F131">
        <f t="shared" si="1"/>
        <v>60</v>
      </c>
      <c r="G131">
        <f t="shared" si="1"/>
        <v>50</v>
      </c>
      <c r="H131">
        <f t="shared" si="1"/>
        <v>40</v>
      </c>
      <c r="I131">
        <f t="shared" si="1"/>
        <v>30</v>
      </c>
      <c r="J131">
        <f t="shared" si="1"/>
        <v>20</v>
      </c>
      <c r="K131">
        <f t="shared" si="1"/>
        <v>10</v>
      </c>
      <c r="L131">
        <f t="shared" si="1"/>
        <v>0</v>
      </c>
    </row>
    <row r="132" spans="1:12">
      <c r="A132">
        <v>15</v>
      </c>
      <c r="B132">
        <v>100</v>
      </c>
      <c r="C132">
        <f t="shared" si="1"/>
        <v>93.333333333333329</v>
      </c>
      <c r="D132">
        <f t="shared" si="1"/>
        <v>86.666666666666657</v>
      </c>
      <c r="E132">
        <f t="shared" si="1"/>
        <v>79.999999999999986</v>
      </c>
      <c r="F132">
        <f t="shared" si="1"/>
        <v>73.333333333333314</v>
      </c>
      <c r="G132">
        <f t="shared" si="1"/>
        <v>66.666666666666643</v>
      </c>
      <c r="H132">
        <f t="shared" si="1"/>
        <v>59.999999999999979</v>
      </c>
      <c r="I132">
        <f t="shared" si="1"/>
        <v>53.333333333333314</v>
      </c>
      <c r="J132">
        <f t="shared" si="1"/>
        <v>46.66666666666665</v>
      </c>
      <c r="K132">
        <f t="shared" si="1"/>
        <v>39.999999999999986</v>
      </c>
      <c r="L132">
        <f t="shared" si="1"/>
        <v>33.333333333333321</v>
      </c>
    </row>
  </sheetData>
  <mergeCells count="22">
    <mergeCell ref="A119:G119"/>
    <mergeCell ref="L101:L103"/>
    <mergeCell ref="D102:K102"/>
    <mergeCell ref="A88:C91"/>
    <mergeCell ref="D88:K88"/>
    <mergeCell ref="L88:L90"/>
    <mergeCell ref="D89:K89"/>
    <mergeCell ref="A105:A106"/>
    <mergeCell ref="A107:C107"/>
    <mergeCell ref="A92:A93"/>
    <mergeCell ref="A94:C94"/>
    <mergeCell ref="A101:C104"/>
    <mergeCell ref="D101:K101"/>
    <mergeCell ref="A77:C78"/>
    <mergeCell ref="A79:A80"/>
    <mergeCell ref="A81:C81"/>
    <mergeCell ref="A47:B47"/>
    <mergeCell ref="A49:A53"/>
    <mergeCell ref="A54:A58"/>
    <mergeCell ref="A59:A63"/>
    <mergeCell ref="A73:G73"/>
    <mergeCell ref="A64:A68"/>
  </mergeCells>
  <hyperlinks>
    <hyperlink ref="A88" r:id="rId1" xr:uid="{00000000-0004-0000-0F00-000000000000}"/>
    <hyperlink ref="A77" r:id="rId2" xr:uid="{00000000-0004-0000-0F00-000001000000}"/>
    <hyperlink ref="A101" r:id="rId3" xr:uid="{00000000-0004-0000-0F00-000002000000}"/>
  </hyperlinks>
  <pageMargins left="0.75" right="0.75" top="1" bottom="1" header="0.5" footer="0.5"/>
  <pageSetup paperSize="9" orientation="portrait" horizontalDpi="4294967292" verticalDpi="4294967292" r:id="rId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8AEB-66FB-4589-98C3-49667D7E2BA1}">
  <sheetPr codeName="Sheet47"/>
  <dimension ref="A1:DG55"/>
  <sheetViews>
    <sheetView topLeftCell="C4" zoomScale="110" zoomScaleNormal="110" workbookViewId="0">
      <selection activeCell="R27" sqref="R27"/>
    </sheetView>
  </sheetViews>
  <sheetFormatPr defaultColWidth="8.85546875" defaultRowHeight="12.75" outlineLevelRow="1"/>
  <cols>
    <col min="2" max="2" width="15.42578125" customWidth="1"/>
    <col min="3" max="3" width="24.42578125" bestFit="1" customWidth="1"/>
    <col min="4" max="4" width="12.85546875" customWidth="1"/>
  </cols>
  <sheetData>
    <row r="1" spans="1:52" ht="15">
      <c r="A1" s="11" t="s">
        <v>11</v>
      </c>
      <c r="B1" s="141" t="s">
        <v>864</v>
      </c>
      <c r="C1" s="9"/>
      <c r="D1" s="9"/>
      <c r="E1" s="9"/>
    </row>
    <row r="2" spans="1:52">
      <c r="H2" t="s">
        <v>792</v>
      </c>
      <c r="I2" s="14"/>
    </row>
    <row r="3" spans="1:52" ht="12.75" customHeight="1">
      <c r="H3" s="1" t="s">
        <v>793</v>
      </c>
      <c r="I3" s="1" t="s">
        <v>793</v>
      </c>
      <c r="J3" s="1" t="s">
        <v>793</v>
      </c>
      <c r="L3" s="1" t="s">
        <v>315</v>
      </c>
      <c r="P3" s="71"/>
    </row>
    <row r="6" spans="1:52" outlineLevel="1">
      <c r="A6" s="21" t="e">
        <f>IF(COUNTIF(#REF!,D6)=1,"y","")</f>
        <v>#REF!</v>
      </c>
      <c r="B6" s="156" t="s">
        <v>109</v>
      </c>
      <c r="C6" s="157"/>
      <c r="D6" s="33" t="str">
        <f>IF(I6="","",G6&amp;INDEX(#REF!,MATCH(I6,#REF!,0),0)&amp;RIGHT(J6,3)&amp;(E6)&amp;"-"&amp;LEFT(H6,1))</f>
        <v/>
      </c>
      <c r="E6" s="21"/>
      <c r="F6" s="21"/>
      <c r="G6" s="614">
        <v>2017</v>
      </c>
      <c r="H6" s="614"/>
      <c r="I6" s="614"/>
      <c r="J6" s="33" t="str">
        <f>IF(F6="","",INDEX(#REF!,MATCH(F6,#REF!,0),0))</f>
        <v/>
      </c>
      <c r="K6" s="33" t="str">
        <f>IF(I6=""," ",G6&amp;INDEX(#REF!,MATCH(I6,#REF!,0),0))</f>
        <v xml:space="preserve"> </v>
      </c>
      <c r="L6" s="132"/>
      <c r="M6" s="615">
        <v>2012</v>
      </c>
      <c r="N6" s="616"/>
      <c r="O6" s="617"/>
      <c r="P6" s="148"/>
      <c r="Q6" s="148"/>
      <c r="R6" s="148"/>
      <c r="S6" s="49"/>
      <c r="W6" s="149">
        <f>N6*S6</f>
        <v>0</v>
      </c>
      <c r="X6" s="150">
        <f>W6*8760*0.0036</f>
        <v>0</v>
      </c>
      <c r="Y6" s="151">
        <f>X6*(L6*365/8760)</f>
        <v>0</v>
      </c>
      <c r="Z6" s="33">
        <f>SUMIF(AFA!$B$3:$AJ$3,K6,AFA!$B$4:$AJ$4)</f>
        <v>0</v>
      </c>
      <c r="AA6" s="33"/>
      <c r="AB6" s="49" t="str">
        <f>IFERROR(AF6/Z6*(1+RES!$D$31),"")</f>
        <v/>
      </c>
      <c r="AC6" s="152" t="e">
        <f>AW6*((L6*365)/8760)*S6/#REF!*(SUMIF(Energy_Balance!$D$55:$D$160,K6,Energy_Balance!#REF!))/10^6</f>
        <v>#REF!</v>
      </c>
      <c r="AD6" s="147"/>
      <c r="AE6" s="147"/>
      <c r="AF6" s="49"/>
      <c r="AG6" s="153"/>
      <c r="AH6" s="153"/>
      <c r="AI6" s="153"/>
      <c r="AJ6" s="153"/>
      <c r="AK6" s="21"/>
      <c r="AL6" s="21"/>
      <c r="AM6" s="154"/>
      <c r="AN6" s="154"/>
      <c r="AO6" s="21"/>
      <c r="AP6" s="133"/>
      <c r="AQ6" s="133"/>
      <c r="AR6" s="33"/>
      <c r="AS6" s="146"/>
      <c r="AT6" s="21"/>
      <c r="AU6" s="21"/>
      <c r="AV6" s="21"/>
      <c r="AW6" s="21"/>
      <c r="AX6" s="155"/>
      <c r="AY6" s="155"/>
    </row>
    <row r="7" spans="1:52" outlineLevel="1">
      <c r="A7" s="21"/>
      <c r="B7" s="156"/>
      <c r="C7" s="120" t="s">
        <v>93</v>
      </c>
      <c r="D7" s="120" t="s">
        <v>95</v>
      </c>
      <c r="E7" s="120" t="s">
        <v>794</v>
      </c>
      <c r="F7" s="120" t="s">
        <v>794</v>
      </c>
      <c r="G7" s="21" t="s">
        <v>249</v>
      </c>
      <c r="H7" s="21" t="s">
        <v>255</v>
      </c>
      <c r="I7" s="21" t="s">
        <v>261</v>
      </c>
      <c r="J7" s="21" t="s">
        <v>266</v>
      </c>
      <c r="K7" s="21" t="s">
        <v>278</v>
      </c>
      <c r="L7" s="1" t="s">
        <v>316</v>
      </c>
      <c r="M7" s="21" t="s">
        <v>249</v>
      </c>
      <c r="N7" s="21" t="s">
        <v>255</v>
      </c>
      <c r="O7" s="21" t="s">
        <v>261</v>
      </c>
      <c r="P7" s="148"/>
      <c r="Q7" s="148"/>
      <c r="R7" s="148"/>
      <c r="S7" s="148"/>
      <c r="T7" s="49"/>
      <c r="W7">
        <v>2030</v>
      </c>
      <c r="X7" s="149"/>
      <c r="Y7" s="150"/>
      <c r="Z7" s="151"/>
      <c r="AA7" s="33"/>
      <c r="AB7" s="33"/>
      <c r="AC7" s="49"/>
      <c r="AD7" s="152"/>
      <c r="AE7" s="152"/>
      <c r="AF7" s="147"/>
      <c r="AG7" s="49"/>
      <c r="AH7" s="153"/>
      <c r="AI7" s="153"/>
      <c r="AJ7" s="153"/>
      <c r="AK7" s="153"/>
      <c r="AL7" s="21"/>
      <c r="AM7" s="21"/>
      <c r="AN7" s="21"/>
      <c r="AO7" s="154"/>
      <c r="AP7" s="21"/>
      <c r="AQ7" s="133"/>
      <c r="AR7" s="133"/>
      <c r="AS7" s="33"/>
      <c r="AT7" s="146"/>
      <c r="AU7" s="21"/>
      <c r="AV7" s="21"/>
      <c r="AW7" s="21"/>
      <c r="AX7" s="21"/>
      <c r="AY7" s="155"/>
      <c r="AZ7" s="155"/>
    </row>
    <row r="8" spans="1:52" outlineLevel="1">
      <c r="A8" s="21"/>
      <c r="B8" s="378" t="s">
        <v>171</v>
      </c>
      <c r="C8" s="371">
        <v>1</v>
      </c>
      <c r="D8" s="372">
        <v>1</v>
      </c>
      <c r="E8" s="372">
        <v>56.332999999999998</v>
      </c>
      <c r="F8" s="372">
        <v>0</v>
      </c>
      <c r="G8" s="371">
        <v>0.19964000000000001</v>
      </c>
      <c r="H8" s="371">
        <f>G8</f>
        <v>0.19964000000000001</v>
      </c>
      <c r="I8" s="371">
        <f>H8</f>
        <v>0.19964000000000001</v>
      </c>
      <c r="J8" s="372"/>
      <c r="K8" s="372"/>
      <c r="L8" s="372"/>
      <c r="M8">
        <v>0.8</v>
      </c>
      <c r="N8">
        <v>0.8</v>
      </c>
      <c r="O8">
        <v>0.8</v>
      </c>
      <c r="P8" s="148"/>
      <c r="Q8" s="132" t="s">
        <v>795</v>
      </c>
      <c r="R8" s="148"/>
      <c r="S8" s="148"/>
      <c r="T8" s="49"/>
      <c r="X8" s="149"/>
      <c r="Y8" s="150"/>
      <c r="Z8" s="151"/>
      <c r="AA8" s="33"/>
      <c r="AB8" s="33"/>
      <c r="AC8" s="49"/>
      <c r="AD8" s="152"/>
      <c r="AE8" s="152"/>
      <c r="AF8" s="147"/>
      <c r="AG8" s="49"/>
      <c r="AH8" s="153"/>
      <c r="AI8" s="153"/>
      <c r="AJ8" s="153"/>
      <c r="AK8" s="153"/>
      <c r="AL8" s="21"/>
      <c r="AM8" s="21"/>
      <c r="AN8" s="21"/>
      <c r="AO8" s="154"/>
      <c r="AP8" s="21"/>
      <c r="AQ8" s="133"/>
      <c r="AR8" s="133"/>
      <c r="AS8" s="33"/>
      <c r="AT8" s="146"/>
      <c r="AU8" s="21"/>
      <c r="AV8" s="21"/>
      <c r="AW8" s="21"/>
      <c r="AX8" s="21"/>
      <c r="AY8" s="155"/>
      <c r="AZ8" s="155"/>
    </row>
    <row r="9" spans="1:52" outlineLevel="1">
      <c r="A9" s="21"/>
      <c r="B9" s="378" t="s">
        <v>56</v>
      </c>
      <c r="C9" s="371">
        <f>E8/E9</f>
        <v>3.7555333333333332</v>
      </c>
      <c r="D9" s="372">
        <v>4.9000000000000004</v>
      </c>
      <c r="E9" s="372">
        <v>15</v>
      </c>
      <c r="F9" s="372">
        <v>0</v>
      </c>
      <c r="G9" s="371">
        <v>0.76131000000000004</v>
      </c>
      <c r="H9" s="371">
        <f t="shared" ref="H9:I9" si="0">(67-76.1)/100*2/5+76.1/100</f>
        <v>0.72459999999999991</v>
      </c>
      <c r="I9" s="371">
        <f t="shared" si="0"/>
        <v>0.72459999999999991</v>
      </c>
      <c r="J9" s="372"/>
      <c r="K9" s="372"/>
      <c r="L9" s="372"/>
      <c r="M9">
        <v>0.2</v>
      </c>
      <c r="N9">
        <v>0.2</v>
      </c>
      <c r="O9">
        <v>0.2</v>
      </c>
      <c r="P9" s="148"/>
      <c r="Q9" s="132" t="s">
        <v>796</v>
      </c>
      <c r="R9" s="148"/>
      <c r="S9" s="148"/>
      <c r="T9" s="49"/>
      <c r="X9" s="149"/>
      <c r="Y9" s="150"/>
      <c r="Z9" s="151"/>
      <c r="AA9" s="33"/>
      <c r="AB9" s="33"/>
      <c r="AC9" s="49"/>
      <c r="AD9" s="152"/>
      <c r="AE9" s="152"/>
      <c r="AF9" s="147"/>
      <c r="AG9" s="49"/>
      <c r="AH9" s="153"/>
      <c r="AI9" s="153"/>
      <c r="AJ9" s="153"/>
      <c r="AK9" s="153"/>
      <c r="AL9" s="21"/>
      <c r="AM9" s="21"/>
      <c r="AN9" s="21"/>
      <c r="AO9" s="154"/>
      <c r="AP9" s="21"/>
      <c r="AQ9" s="133"/>
      <c r="AR9" s="133"/>
      <c r="AS9" s="33"/>
      <c r="AT9" s="146"/>
      <c r="AU9" s="21"/>
      <c r="AV9" s="21"/>
      <c r="AW9" s="21"/>
      <c r="AX9" s="21"/>
      <c r="AY9" s="155"/>
      <c r="AZ9" s="155"/>
    </row>
    <row r="10" spans="1:52">
      <c r="B10" s="378" t="s">
        <v>113</v>
      </c>
      <c r="C10" s="371">
        <f>E8/E10</f>
        <v>5.3019294117647053</v>
      </c>
      <c r="D10" s="372">
        <v>9.6</v>
      </c>
      <c r="E10" s="372">
        <v>10.625</v>
      </c>
      <c r="F10" s="372"/>
      <c r="G10" s="371">
        <f>1-G8-G9</f>
        <v>3.9049999999999918E-2</v>
      </c>
      <c r="H10" s="371">
        <f t="shared" ref="H10:I10" si="1">1-H8-H9</f>
        <v>7.576000000000005E-2</v>
      </c>
      <c r="I10" s="371">
        <f t="shared" si="1"/>
        <v>7.576000000000005E-2</v>
      </c>
      <c r="J10" s="372"/>
      <c r="K10" s="372"/>
      <c r="L10" s="372"/>
    </row>
    <row r="11" spans="1:52">
      <c r="B11" s="378" t="s">
        <v>41</v>
      </c>
      <c r="C11" s="373" t="s">
        <v>791</v>
      </c>
      <c r="D11" s="373"/>
      <c r="E11" s="373"/>
      <c r="F11" s="372"/>
      <c r="G11" s="372"/>
      <c r="H11" s="372"/>
      <c r="I11" s="372"/>
      <c r="J11" s="372"/>
      <c r="K11" s="372"/>
      <c r="L11" s="372"/>
    </row>
    <row r="12" spans="1:52">
      <c r="B12" s="378" t="s">
        <v>238</v>
      </c>
      <c r="C12" s="373"/>
      <c r="D12" s="373"/>
      <c r="E12" s="373">
        <v>5.5</v>
      </c>
      <c r="F12" s="372"/>
      <c r="G12" s="372"/>
      <c r="H12" s="372"/>
      <c r="I12" s="372"/>
      <c r="J12" s="372">
        <v>1</v>
      </c>
      <c r="K12" s="372">
        <v>1</v>
      </c>
      <c r="L12" s="372"/>
    </row>
    <row r="13" spans="1:52">
      <c r="B13" s="623" t="s">
        <v>220</v>
      </c>
      <c r="C13" s="624"/>
      <c r="D13" s="374"/>
      <c r="E13" s="374"/>
      <c r="F13" s="374"/>
      <c r="G13" s="375">
        <v>6</v>
      </c>
      <c r="H13" s="375">
        <v>6</v>
      </c>
      <c r="I13" s="375">
        <v>6</v>
      </c>
      <c r="J13" s="375"/>
      <c r="K13" s="375"/>
      <c r="L13">
        <v>0</v>
      </c>
      <c r="M13" s="428">
        <v>2.8</v>
      </c>
    </row>
    <row r="14" spans="1:52">
      <c r="B14" s="623" t="s">
        <v>241</v>
      </c>
      <c r="C14" s="624"/>
      <c r="D14" s="374"/>
      <c r="E14" s="374"/>
      <c r="F14" s="374"/>
      <c r="G14" s="375">
        <v>1</v>
      </c>
      <c r="H14" s="375">
        <v>1</v>
      </c>
      <c r="I14" s="375">
        <v>1</v>
      </c>
      <c r="J14" s="375">
        <v>3</v>
      </c>
      <c r="K14" s="375">
        <v>4</v>
      </c>
      <c r="L14" s="375"/>
      <c r="M14" s="429">
        <v>3</v>
      </c>
    </row>
    <row r="15" spans="1:52" ht="13.5" customHeight="1">
      <c r="B15" s="619" t="s">
        <v>276</v>
      </c>
      <c r="C15" s="620"/>
      <c r="D15" s="374"/>
      <c r="E15" s="374"/>
      <c r="F15" s="374"/>
      <c r="G15" s="375">
        <v>4.5339999999999998</v>
      </c>
      <c r="H15" s="375">
        <v>5.6760000000000002</v>
      </c>
      <c r="I15" s="375">
        <v>8.6690000000000005</v>
      </c>
      <c r="J15" s="375"/>
      <c r="K15" s="375"/>
      <c r="L15" s="375"/>
      <c r="M15">
        <v>2</v>
      </c>
    </row>
    <row r="16" spans="1:52" ht="15">
      <c r="B16" s="621" t="s">
        <v>277</v>
      </c>
      <c r="C16" s="622"/>
      <c r="D16" s="374"/>
      <c r="E16" s="374"/>
      <c r="F16" s="374"/>
      <c r="G16" s="375">
        <f>G15*G14</f>
        <v>4.5339999999999998</v>
      </c>
      <c r="H16" s="375">
        <f t="shared" ref="H16:I16" si="2">H15*H14</f>
        <v>5.6760000000000002</v>
      </c>
      <c r="I16" s="375">
        <f t="shared" si="2"/>
        <v>8.6690000000000005</v>
      </c>
      <c r="J16" s="375"/>
      <c r="K16" s="375"/>
      <c r="L16" s="375"/>
    </row>
    <row r="17" spans="1:111" ht="15">
      <c r="B17" s="621" t="s">
        <v>222</v>
      </c>
      <c r="C17" s="622"/>
      <c r="D17" s="374"/>
      <c r="E17" s="374"/>
      <c r="F17" s="374"/>
      <c r="G17" s="377">
        <f>($G13*365*$G16*($E9*G9+$E8*G8+$E10*G10))/10^6*3.6</f>
        <v>0.82505029925109663</v>
      </c>
      <c r="H17" s="377">
        <f>($H13*365*$H16*($E9*H9+$E8*H8+$E10*H10))/10^6*3.6</f>
        <v>1.0256725530376303</v>
      </c>
      <c r="I17" s="377">
        <f>($I13*365*$I16*($E9*I9+$E8*I8+$E10*I10))/10^6*3.6</f>
        <v>1.5665178580484878</v>
      </c>
      <c r="J17" s="375">
        <f>E12*12*'conversion factors'!C4/1000</f>
        <v>2.4420000000000002</v>
      </c>
      <c r="K17" s="375">
        <f>E12*7/5.5*12*'conversion factors'!C4/1000</f>
        <v>3.1080000000000001</v>
      </c>
      <c r="L17" s="375"/>
      <c r="M17" s="377">
        <f>($M13*365*$G16*($E9*M9+$E8*M8+$E10*M10)+$L13*365*$F8)/10^6*3.6</f>
        <v>0.80181930552192004</v>
      </c>
      <c r="N17" s="377">
        <f>($H13*365*$H16*($E9*N9+$E8*N8+$E10*N10)+$L13*365*$F8)/10^6*3.6</f>
        <v>2.1509514043776004</v>
      </c>
      <c r="O17" s="377">
        <f>($I13*365*$I16*($E9*O9+$E8*O8+$E10*O10)+$L13*365*$F8)/10^6*3.6</f>
        <v>3.2851652086944005</v>
      </c>
      <c r="Q17" s="376" t="s">
        <v>797</v>
      </c>
      <c r="W17" s="377">
        <f>($I13*365*$I16*($E9*S26+$E8*S25+$E10*S27))/10^6*3.6</f>
        <v>98.026493588699694</v>
      </c>
    </row>
    <row r="18" spans="1:111" ht="15">
      <c r="B18" s="618" t="s">
        <v>798</v>
      </c>
      <c r="C18" s="618"/>
      <c r="D18" s="192"/>
      <c r="E18" s="192"/>
      <c r="F18" s="192"/>
      <c r="G18" s="379">
        <f>O25</f>
        <v>3.2658054255294111</v>
      </c>
      <c r="H18" s="379"/>
      <c r="I18" s="379"/>
      <c r="J18" s="380"/>
      <c r="K18" s="381"/>
      <c r="L18" s="381"/>
      <c r="M18" s="7">
        <f>O45</f>
        <v>3.2658054255294111</v>
      </c>
    </row>
    <row r="19" spans="1:111">
      <c r="B19" s="156"/>
      <c r="G19">
        <f>G17*G18</f>
        <v>2.6944537436288956</v>
      </c>
      <c r="M19">
        <f>M17*M18</f>
        <v>2.6185858382677112</v>
      </c>
    </row>
    <row r="20" spans="1:111" ht="56.25">
      <c r="B20" s="27" t="s">
        <v>81</v>
      </c>
      <c r="C20" s="27" t="s">
        <v>82</v>
      </c>
      <c r="D20" s="27" t="s">
        <v>83</v>
      </c>
      <c r="E20" s="27" t="s">
        <v>84</v>
      </c>
      <c r="F20" s="205" t="s">
        <v>85</v>
      </c>
      <c r="G20" s="27" t="s">
        <v>86</v>
      </c>
      <c r="H20" s="27" t="s">
        <v>87</v>
      </c>
      <c r="I20" s="27" t="s">
        <v>88</v>
      </c>
      <c r="K20" s="195" t="s">
        <v>392</v>
      </c>
      <c r="L20" s="25"/>
      <c r="M20" s="25"/>
      <c r="N20" s="25"/>
      <c r="O20" s="25"/>
      <c r="P20" s="25"/>
      <c r="Q20" s="25"/>
      <c r="R20" s="261" t="s">
        <v>865</v>
      </c>
      <c r="S20" s="190"/>
      <c r="T20" s="190"/>
      <c r="U20" s="190"/>
      <c r="V20" s="192" t="s">
        <v>418</v>
      </c>
      <c r="W20" s="193"/>
      <c r="X20" s="193"/>
      <c r="Y20" s="193"/>
      <c r="Z20" s="192" t="s">
        <v>420</v>
      </c>
      <c r="AA20" s="193"/>
      <c r="AB20" s="193"/>
      <c r="AC20" s="193"/>
      <c r="AD20" s="127"/>
      <c r="AE20" s="128"/>
      <c r="AF20" s="21"/>
      <c r="AG20" s="21"/>
      <c r="AH20" s="21"/>
      <c r="AI20" s="21"/>
      <c r="AJ20" s="21"/>
      <c r="AK20" s="21"/>
      <c r="AL20" s="128"/>
      <c r="AM20" s="21"/>
      <c r="AN20" s="21"/>
      <c r="AO20" s="21"/>
      <c r="AP20" s="21"/>
      <c r="AQ20" s="21"/>
      <c r="AR20" s="21"/>
      <c r="AS20" s="124"/>
      <c r="AT20" s="127"/>
      <c r="AU20" s="21"/>
      <c r="AV20" s="21"/>
      <c r="AW20" s="21"/>
      <c r="AX20" s="21"/>
      <c r="AY20" s="21"/>
      <c r="AZ20" s="21"/>
      <c r="BA20" s="21"/>
      <c r="BB20" s="128"/>
      <c r="BC20" s="21"/>
      <c r="BD20" s="21"/>
      <c r="BE20" s="21"/>
      <c r="BF20" s="21"/>
      <c r="BG20" s="21"/>
      <c r="BH20" s="21"/>
      <c r="BI20" s="124"/>
      <c r="BJ20" s="127"/>
      <c r="BK20" s="21"/>
      <c r="BL20" s="21"/>
      <c r="BM20" s="21"/>
      <c r="BN20" s="21"/>
      <c r="BO20" s="128"/>
      <c r="BP20" s="21"/>
      <c r="BQ20" s="1"/>
      <c r="BR20" s="1"/>
      <c r="BS20" s="54"/>
      <c r="BT20" s="55"/>
      <c r="BU20" s="1"/>
      <c r="BV20" s="1"/>
      <c r="BW20" s="1"/>
      <c r="BX20" s="1"/>
      <c r="BY20" s="56"/>
      <c r="BZ20" s="1"/>
      <c r="CA20" s="1"/>
      <c r="CB20" s="1"/>
      <c r="CC20" s="54"/>
      <c r="CD20" s="55"/>
      <c r="CE20" s="1"/>
      <c r="CF20" s="1"/>
      <c r="CG20" s="1"/>
      <c r="CH20" s="1"/>
      <c r="CI20" s="56"/>
      <c r="CJ20" s="1"/>
      <c r="CK20" s="1"/>
      <c r="CL20" s="1"/>
      <c r="CM20" s="54"/>
      <c r="CN20" s="55"/>
      <c r="CO20" s="1"/>
      <c r="CP20" s="1"/>
      <c r="CQ20" s="1"/>
      <c r="CR20" s="1"/>
      <c r="CS20" s="56"/>
      <c r="CT20" s="1"/>
      <c r="CU20" s="1"/>
      <c r="CV20" s="1"/>
      <c r="CW20" s="54"/>
      <c r="CX20" s="55"/>
      <c r="CY20" s="1"/>
      <c r="CZ20" s="1"/>
      <c r="DA20" s="1"/>
      <c r="DB20" s="1"/>
      <c r="DC20" s="56"/>
      <c r="DD20" s="1"/>
      <c r="DE20" s="1"/>
      <c r="DF20" s="1"/>
      <c r="DG20" s="54"/>
    </row>
    <row r="21" spans="1:111" ht="64.5" thickBot="1">
      <c r="A21" t="s">
        <v>409</v>
      </c>
      <c r="B21" s="45" t="s">
        <v>89</v>
      </c>
      <c r="C21" s="28" t="s">
        <v>90</v>
      </c>
      <c r="D21" s="28" t="s">
        <v>91</v>
      </c>
      <c r="E21" s="28" t="s">
        <v>92</v>
      </c>
      <c r="F21" s="206" t="s">
        <v>93</v>
      </c>
      <c r="G21" s="28" t="s">
        <v>94</v>
      </c>
      <c r="H21" s="28" t="s">
        <v>95</v>
      </c>
      <c r="I21" s="28" t="s">
        <v>96</v>
      </c>
      <c r="J21" s="62" t="s">
        <v>832</v>
      </c>
      <c r="K21" s="196" t="s">
        <v>97</v>
      </c>
      <c r="L21" s="28" t="s">
        <v>98</v>
      </c>
      <c r="M21" s="28" t="s">
        <v>99</v>
      </c>
      <c r="N21" s="28" t="s">
        <v>415</v>
      </c>
      <c r="O21" s="194" t="s">
        <v>417</v>
      </c>
      <c r="P21" s="28" t="s">
        <v>414</v>
      </c>
      <c r="Q21" s="28" t="s">
        <v>416</v>
      </c>
      <c r="R21" s="191">
        <v>2020</v>
      </c>
      <c r="S21" s="191">
        <v>2030</v>
      </c>
      <c r="T21" s="191">
        <v>2040</v>
      </c>
      <c r="U21" s="191">
        <v>2050</v>
      </c>
      <c r="V21" s="194">
        <v>2020</v>
      </c>
      <c r="W21" s="194">
        <v>2030</v>
      </c>
      <c r="X21" s="194">
        <v>2040</v>
      </c>
      <c r="Y21" s="194">
        <v>2050</v>
      </c>
      <c r="Z21" s="194">
        <v>2020</v>
      </c>
      <c r="AA21" s="194">
        <v>2030</v>
      </c>
      <c r="AB21" s="194">
        <v>2040</v>
      </c>
      <c r="AC21" s="194">
        <v>2050</v>
      </c>
      <c r="AD21" s="129"/>
      <c r="AE21" s="130"/>
      <c r="AF21" s="130"/>
      <c r="AG21" s="130"/>
      <c r="AH21" s="130"/>
      <c r="AI21" s="130"/>
      <c r="AJ21" s="130"/>
      <c r="AK21" s="21"/>
      <c r="AL21" s="130"/>
      <c r="AM21" s="130"/>
      <c r="AN21" s="130"/>
      <c r="AO21" s="130"/>
      <c r="AP21" s="130"/>
      <c r="AQ21" s="130"/>
      <c r="AR21" s="130"/>
      <c r="AS21" s="131"/>
      <c r="AT21" s="129"/>
      <c r="AU21" s="130"/>
      <c r="AV21" s="130"/>
      <c r="AW21" s="130"/>
      <c r="AX21" s="130"/>
      <c r="AY21" s="130"/>
      <c r="AZ21" s="130"/>
      <c r="BA21" s="21"/>
      <c r="BB21" s="130"/>
      <c r="BC21" s="130"/>
      <c r="BD21" s="130"/>
      <c r="BE21" s="130"/>
      <c r="BF21" s="130"/>
      <c r="BG21" s="130"/>
      <c r="BH21" s="130"/>
      <c r="BI21" s="131"/>
      <c r="BJ21" s="129"/>
      <c r="BK21" s="130"/>
      <c r="BL21" s="130"/>
      <c r="BM21" s="130"/>
      <c r="BN21" s="21"/>
      <c r="BO21" s="130"/>
      <c r="BP21" s="130"/>
      <c r="BQ21" s="28"/>
      <c r="BR21" s="28"/>
      <c r="BS21" s="58"/>
      <c r="BT21" s="57"/>
      <c r="BU21" s="28"/>
      <c r="BV21" s="28"/>
      <c r="BW21" s="28"/>
      <c r="BX21" s="62"/>
      <c r="BY21" s="28"/>
      <c r="BZ21" s="28"/>
      <c r="CA21" s="28"/>
      <c r="CB21" s="28"/>
      <c r="CC21" s="58"/>
      <c r="CD21" s="143"/>
      <c r="CE21" s="28"/>
      <c r="CF21" s="28"/>
      <c r="CG21" s="28"/>
      <c r="CI21" s="28"/>
      <c r="CJ21" s="28"/>
      <c r="CK21" s="28"/>
      <c r="CL21" s="28"/>
      <c r="CM21" s="58"/>
      <c r="CN21" s="57"/>
      <c r="CO21" s="28"/>
      <c r="CP21" s="28"/>
      <c r="CQ21" s="28"/>
      <c r="CS21" s="28"/>
      <c r="CT21" s="28"/>
      <c r="CU21" s="28"/>
      <c r="CV21" s="28"/>
      <c r="CW21" s="58"/>
      <c r="CX21" s="57"/>
      <c r="CY21" s="28"/>
      <c r="CZ21" s="28"/>
      <c r="DA21" s="28"/>
      <c r="DC21" s="28"/>
      <c r="DD21" s="28"/>
      <c r="DE21" s="28"/>
      <c r="DF21" s="28"/>
      <c r="DG21" s="58"/>
    </row>
    <row r="22" spans="1:111" ht="25.5">
      <c r="B22" s="46" t="s">
        <v>101</v>
      </c>
      <c r="C22" s="29"/>
      <c r="D22" s="29"/>
      <c r="E22" s="29"/>
      <c r="F22" s="207" t="s">
        <v>102</v>
      </c>
      <c r="G22" s="38" t="s">
        <v>103</v>
      </c>
      <c r="H22" s="37" t="s">
        <v>104</v>
      </c>
      <c r="I22" s="39" t="s">
        <v>105</v>
      </c>
      <c r="K22" s="197" t="s">
        <v>106</v>
      </c>
      <c r="L22" s="26" t="s">
        <v>107</v>
      </c>
      <c r="M22" s="26" t="s">
        <v>107</v>
      </c>
      <c r="N22" s="25"/>
      <c r="O22" s="25"/>
      <c r="P22" s="25"/>
      <c r="Q22" s="25"/>
      <c r="R22" s="25"/>
      <c r="S22" s="25"/>
      <c r="T22" s="25"/>
      <c r="U22" s="25"/>
      <c r="V22" s="25"/>
      <c r="W22" s="25"/>
      <c r="X22" s="25"/>
      <c r="Y22" s="25"/>
      <c r="Z22" s="25"/>
      <c r="AA22" s="25"/>
      <c r="AB22" s="25"/>
      <c r="AC22" s="25"/>
      <c r="AD22" s="123"/>
      <c r="AE22" s="21"/>
      <c r="AG22" s="21"/>
      <c r="AH22" s="21"/>
      <c r="AI22" s="21"/>
      <c r="AJ22" s="21"/>
      <c r="AK22" s="21"/>
      <c r="AL22" s="21"/>
      <c r="AM22" s="21"/>
      <c r="AN22" s="21"/>
      <c r="AO22" s="21"/>
      <c r="AP22" s="21"/>
      <c r="AQ22" s="21"/>
      <c r="AR22" s="21"/>
      <c r="AS22" s="124"/>
      <c r="AT22" s="123"/>
      <c r="AU22" s="21"/>
      <c r="AV22" s="21"/>
      <c r="AW22" s="21"/>
      <c r="AX22" s="21"/>
      <c r="AY22" s="21"/>
      <c r="AZ22" s="21"/>
      <c r="BA22" s="21"/>
      <c r="BB22" s="21"/>
      <c r="BC22" s="21"/>
      <c r="BD22" s="21"/>
      <c r="BE22" s="21"/>
      <c r="BF22" s="21"/>
      <c r="BG22" s="21"/>
      <c r="BH22" s="21"/>
      <c r="BI22" s="124"/>
      <c r="BJ22" s="123"/>
      <c r="BK22" s="21"/>
      <c r="BL22" s="21"/>
      <c r="BM22" s="21"/>
      <c r="BN22" s="21"/>
      <c r="BO22" s="21"/>
      <c r="BP22" s="21"/>
      <c r="BQ22" s="1"/>
      <c r="BR22" s="1"/>
      <c r="BS22" s="54"/>
      <c r="BT22" s="53"/>
      <c r="BU22" s="1"/>
      <c r="BV22" s="1"/>
      <c r="BW22" s="1"/>
      <c r="BX22" s="1"/>
      <c r="BY22" s="1"/>
      <c r="BZ22" s="1"/>
      <c r="CA22" s="1"/>
      <c r="CB22" s="1"/>
      <c r="CC22" s="54"/>
      <c r="CD22" s="53"/>
      <c r="CE22" s="1"/>
      <c r="CF22" s="1"/>
      <c r="CG22" s="1"/>
      <c r="CH22" s="1"/>
      <c r="CI22" s="1"/>
      <c r="CJ22" s="1"/>
      <c r="CK22" s="1"/>
      <c r="CL22" s="1"/>
      <c r="CM22" s="54"/>
      <c r="CN22" s="53"/>
      <c r="CO22" s="1"/>
      <c r="CP22" s="1"/>
      <c r="CQ22" s="1"/>
      <c r="CR22" s="1"/>
      <c r="CS22" s="1"/>
      <c r="CT22" s="1"/>
      <c r="CU22" s="1"/>
      <c r="CV22" s="1"/>
      <c r="CW22" s="54"/>
      <c r="CX22" s="53"/>
      <c r="CY22" s="1"/>
      <c r="CZ22" s="1"/>
      <c r="DA22" s="1"/>
      <c r="DB22" s="1"/>
      <c r="DC22" s="1"/>
      <c r="DD22" s="1"/>
      <c r="DE22" s="1"/>
      <c r="DF22" s="1"/>
      <c r="DG22" s="54"/>
    </row>
    <row r="23" spans="1:111">
      <c r="B23" s="47" t="s">
        <v>108</v>
      </c>
      <c r="C23" s="30"/>
      <c r="D23" s="31">
        <v>1</v>
      </c>
      <c r="E23" s="31">
        <f t="shared" ref="E23:I23" si="3">D23+1</f>
        <v>2</v>
      </c>
      <c r="F23" s="208">
        <f>E23+1</f>
        <v>3</v>
      </c>
      <c r="G23" s="31">
        <f t="shared" si="3"/>
        <v>4</v>
      </c>
      <c r="H23" s="31">
        <f t="shared" si="3"/>
        <v>5</v>
      </c>
      <c r="I23" s="31">
        <f t="shared" si="3"/>
        <v>6</v>
      </c>
      <c r="K23" s="198"/>
      <c r="L23" s="118"/>
      <c r="M23" s="118"/>
      <c r="N23" s="25"/>
      <c r="O23" s="25"/>
      <c r="P23" s="25"/>
      <c r="Q23" s="25"/>
      <c r="R23" s="25"/>
      <c r="S23" s="25"/>
      <c r="T23" s="25"/>
      <c r="U23" s="25"/>
      <c r="V23" s="25"/>
      <c r="W23" s="25"/>
      <c r="X23" s="25"/>
      <c r="Y23" s="25"/>
      <c r="Z23" s="25"/>
      <c r="AA23" s="25"/>
      <c r="AB23" s="25"/>
      <c r="AC23" s="25"/>
      <c r="AD23" s="123"/>
      <c r="AE23" s="21"/>
      <c r="AG23" s="21"/>
      <c r="AH23" s="21"/>
      <c r="AI23" s="21"/>
      <c r="AJ23" s="21"/>
      <c r="AK23" s="21"/>
      <c r="AL23" s="21"/>
      <c r="AM23" s="21"/>
      <c r="AN23" s="21"/>
      <c r="AO23" s="21"/>
      <c r="AP23" s="21"/>
      <c r="AQ23" s="21"/>
      <c r="AR23" s="21"/>
      <c r="AS23" s="124"/>
      <c r="AT23" s="123"/>
      <c r="AU23" s="21"/>
      <c r="AV23" s="21"/>
      <c r="AW23" s="21"/>
      <c r="AX23" s="21"/>
      <c r="AY23" s="21"/>
      <c r="AZ23" s="21"/>
      <c r="BA23" s="21"/>
      <c r="BB23" s="21"/>
      <c r="BC23" s="21"/>
      <c r="BD23" s="21"/>
      <c r="BE23" s="21"/>
      <c r="BF23" s="21"/>
      <c r="BG23" s="21"/>
      <c r="BH23" s="21"/>
      <c r="BI23" s="124"/>
      <c r="BJ23" s="123"/>
      <c r="BK23" s="21"/>
      <c r="BL23" s="21"/>
      <c r="BM23" s="21"/>
      <c r="BN23" s="21"/>
      <c r="BO23" s="21"/>
      <c r="BP23" s="21"/>
      <c r="BQ23" s="1"/>
      <c r="BR23" s="1"/>
      <c r="BS23" s="54"/>
      <c r="BT23" s="53"/>
      <c r="BU23" s="1"/>
      <c r="BV23" s="1"/>
      <c r="BW23" s="1"/>
      <c r="BX23" s="1"/>
      <c r="BY23" s="1"/>
      <c r="BZ23" s="1"/>
      <c r="CA23" s="1"/>
      <c r="CB23" s="1"/>
      <c r="CC23" s="54"/>
      <c r="CD23" s="53"/>
      <c r="CE23" s="1"/>
      <c r="CF23" s="1"/>
      <c r="CG23" s="1"/>
      <c r="CH23" s="1"/>
      <c r="CI23" s="1"/>
      <c r="CJ23" s="1"/>
      <c r="CK23" s="1"/>
      <c r="CL23" s="54"/>
      <c r="CM23" s="106"/>
      <c r="CN23" s="107"/>
      <c r="CW23" s="106"/>
      <c r="CX23" s="107"/>
      <c r="DG23" s="106"/>
    </row>
    <row r="24" spans="1:111" ht="15">
      <c r="B24" s="108" t="s">
        <v>114</v>
      </c>
      <c r="C24" s="30"/>
      <c r="D24" s="48"/>
      <c r="E24" s="48"/>
      <c r="F24" s="209"/>
      <c r="G24" s="29"/>
      <c r="H24" s="29"/>
      <c r="I24" s="29"/>
      <c r="K24" s="199"/>
      <c r="L24" s="13"/>
      <c r="M24" s="186"/>
      <c r="N24" s="145"/>
      <c r="O24" s="145"/>
      <c r="U24" s="145"/>
      <c r="V24" s="145"/>
      <c r="W24" s="145"/>
      <c r="X24" s="145"/>
      <c r="Y24" s="145"/>
      <c r="Z24" s="145"/>
      <c r="AA24" s="145"/>
      <c r="AB24" s="145"/>
      <c r="AC24" s="145"/>
      <c r="AD24" s="21"/>
      <c r="AE24" s="21"/>
      <c r="AG24" s="21"/>
      <c r="AH24" s="21"/>
      <c r="AI24" s="21"/>
      <c r="AJ24" s="21"/>
      <c r="AK24" s="21"/>
      <c r="AL24" s="21"/>
      <c r="AM24" s="21"/>
      <c r="AN24" s="21"/>
      <c r="AO24" s="21"/>
      <c r="AP24" s="21"/>
      <c r="AQ24" s="21"/>
      <c r="AR24" s="21"/>
      <c r="AS24" s="124"/>
      <c r="AT24" s="123"/>
      <c r="AU24" s="21"/>
      <c r="AV24" s="21"/>
      <c r="AW24" s="21"/>
      <c r="AX24" s="21"/>
      <c r="AY24" s="21"/>
      <c r="AZ24" s="21"/>
      <c r="BA24" s="21"/>
      <c r="BB24" s="21"/>
      <c r="BC24" s="21"/>
      <c r="BD24" s="21"/>
      <c r="BE24" s="21"/>
      <c r="BF24" s="21"/>
      <c r="BG24" s="21"/>
      <c r="BH24" s="21"/>
      <c r="BI24" s="124"/>
      <c r="BJ24" s="123"/>
      <c r="BK24" s="21"/>
      <c r="BL24" s="21"/>
      <c r="BM24" s="21"/>
      <c r="BN24" s="21"/>
      <c r="BO24" s="21"/>
      <c r="BP24" s="21"/>
      <c r="BQ24" s="1"/>
      <c r="BR24" s="1"/>
      <c r="BS24" s="54"/>
      <c r="BT24" s="53"/>
      <c r="BU24" s="1"/>
      <c r="BV24" s="1"/>
      <c r="BX24" s="1"/>
      <c r="BY24" s="1"/>
      <c r="BZ24" s="1"/>
      <c r="CA24" s="1"/>
      <c r="CB24" s="1"/>
      <c r="CC24" s="54"/>
      <c r="CD24" s="53"/>
      <c r="CE24" s="1"/>
      <c r="CF24" s="1"/>
      <c r="CH24" s="1"/>
      <c r="CI24" s="1"/>
      <c r="CJ24" s="1"/>
      <c r="CK24" s="1"/>
      <c r="CL24" s="54"/>
      <c r="CM24" s="106"/>
      <c r="CN24" s="107"/>
      <c r="CW24" s="106"/>
      <c r="CX24" s="107"/>
      <c r="DG24" s="106"/>
    </row>
    <row r="25" spans="1:111" ht="15.75">
      <c r="A25" s="163" t="s">
        <v>327</v>
      </c>
      <c r="B25" s="162" t="s">
        <v>318</v>
      </c>
      <c r="C25" s="163" t="s">
        <v>171</v>
      </c>
      <c r="D25" s="164" t="s">
        <v>236</v>
      </c>
      <c r="E25" s="164" t="s">
        <v>249</v>
      </c>
      <c r="F25" s="203">
        <f>SUMIF($B$8:$B$11,$C25,$C$8:$C$11)</f>
        <v>1</v>
      </c>
      <c r="G25" s="203">
        <f>SUMIF(AFA!$B$3:$AJ$3,E25,AFA!$B$4:$AJ$4)</f>
        <v>0.34810000000000002</v>
      </c>
      <c r="H25" s="203">
        <f>SUMIF($B$8:$B$11,$C25,$D$8:$D$11)</f>
        <v>1</v>
      </c>
      <c r="I25" s="165" t="s">
        <v>582</v>
      </c>
      <c r="J25" s="166"/>
      <c r="K25" s="200">
        <f>G8</f>
        <v>0.19964000000000001</v>
      </c>
      <c r="L25" s="165">
        <f>(SUMIFS(Energy_Balance!I$55:I$160,Energy_Balance!$C$55:$C$160,D25,Energy_Balance!$D$55:$D$160,E25))*K25</f>
        <v>1.0268694711948596</v>
      </c>
      <c r="M25" s="165">
        <f>F25*L25</f>
        <v>1.0268694711948596</v>
      </c>
      <c r="N25" s="187">
        <f>(SUMIFS(Energy_Balance!I$55:I$160,Energy_Balance!$C$55:$C$160,D25,Energy_Balance!$D$55:$D$160,E25))*SUM(K25:K27)</f>
        <v>5.1436058464979943</v>
      </c>
      <c r="O25" s="187">
        <f>($F25*K25+$F26*K26+$F27*K27)/SUM(K25:K27)</f>
        <v>3.2658054255294111</v>
      </c>
      <c r="P25" s="187">
        <f>N25*O25</f>
        <v>16.798015880277948</v>
      </c>
      <c r="Q25" s="188">
        <f>IFERROR((P25/$G25)," ")</f>
        <v>48.256293824412374</v>
      </c>
      <c r="R25" s="188">
        <v>19.96</v>
      </c>
      <c r="S25" s="188">
        <v>4.9909999999999997</v>
      </c>
      <c r="T25" s="188">
        <v>0</v>
      </c>
      <c r="U25" s="188">
        <v>0</v>
      </c>
      <c r="V25" s="187">
        <f>($F25*R25+$F26*R26+$F27*R27)/SUM(R25:R27)</f>
        <v>3.5618185364705877</v>
      </c>
      <c r="W25" s="187">
        <f t="shared" ref="W25:Y25" si="4">($F25*S25+$F26*S26+$F27*S27)/SUM(S25:S27)</f>
        <v>4.579538282274509</v>
      </c>
      <c r="X25" s="187">
        <f t="shared" si="4"/>
        <v>5.3019294117647053</v>
      </c>
      <c r="Y25" s="187">
        <f t="shared" si="4"/>
        <v>5.3019294117647053</v>
      </c>
      <c r="Z25" s="187" t="s">
        <v>582</v>
      </c>
      <c r="AA25" s="187" t="s">
        <v>582</v>
      </c>
      <c r="AB25" s="187" t="s">
        <v>582</v>
      </c>
      <c r="AC25" s="187" t="s">
        <v>582</v>
      </c>
      <c r="AD25" s="168"/>
      <c r="AE25" s="169"/>
      <c r="AG25" s="169"/>
      <c r="AH25" s="169"/>
      <c r="AI25" s="169"/>
      <c r="AJ25" s="169"/>
      <c r="AK25" s="170"/>
      <c r="AL25" s="171"/>
      <c r="AM25" s="169"/>
      <c r="AN25" s="169"/>
      <c r="AO25" s="169"/>
      <c r="AP25" s="169"/>
      <c r="AQ25" s="169"/>
      <c r="AR25" s="169"/>
      <c r="AS25" s="172"/>
      <c r="AT25" s="173"/>
      <c r="AU25" s="169"/>
      <c r="AV25" s="169"/>
      <c r="AW25" s="169"/>
      <c r="AX25" s="169"/>
      <c r="AY25" s="169"/>
      <c r="AZ25" s="169"/>
      <c r="BA25" s="170"/>
      <c r="BB25" s="171"/>
      <c r="BC25" s="169"/>
      <c r="BD25" s="169"/>
      <c r="BE25" s="169"/>
      <c r="BF25" s="169"/>
      <c r="BG25" s="169"/>
      <c r="BH25" s="169"/>
      <c r="BI25" s="172"/>
      <c r="BJ25" s="173"/>
      <c r="BK25" s="169"/>
      <c r="BL25" s="169"/>
      <c r="BM25" s="169"/>
      <c r="BN25" s="170"/>
      <c r="BO25" s="171"/>
      <c r="BP25" s="169"/>
      <c r="BQ25" s="169"/>
      <c r="BR25" s="169"/>
      <c r="BS25" s="175"/>
      <c r="BT25" s="176"/>
      <c r="BU25" s="179"/>
      <c r="BV25" s="179"/>
      <c r="BW25" s="179"/>
      <c r="BX25" s="166"/>
      <c r="BY25" s="177"/>
      <c r="BZ25" s="174"/>
      <c r="CA25" s="174"/>
      <c r="CB25" s="174"/>
      <c r="CC25" s="175"/>
      <c r="CD25" s="176"/>
      <c r="CE25" s="174"/>
      <c r="CF25" s="174"/>
      <c r="CG25" s="174"/>
      <c r="CH25" s="166"/>
      <c r="CI25" s="177"/>
      <c r="CJ25" s="174"/>
      <c r="CK25" s="174"/>
      <c r="CL25" s="174"/>
      <c r="CM25" s="175"/>
      <c r="CN25" s="176"/>
      <c r="CO25" s="174"/>
      <c r="CP25" s="174"/>
      <c r="CQ25" s="174"/>
      <c r="CR25" s="166"/>
      <c r="CS25" s="177"/>
      <c r="CT25" s="174"/>
      <c r="CU25" s="174"/>
      <c r="CV25" s="174"/>
      <c r="CW25" s="175"/>
      <c r="CX25" s="176"/>
      <c r="CY25" s="174"/>
      <c r="CZ25" s="174"/>
      <c r="DA25" s="174"/>
      <c r="DB25" s="166"/>
      <c r="DC25" s="177"/>
      <c r="DD25" s="174"/>
      <c r="DE25" s="174"/>
      <c r="DF25" s="174"/>
      <c r="DG25" s="175"/>
    </row>
    <row r="26" spans="1:111" ht="15.75">
      <c r="A26" s="166" t="s">
        <v>410</v>
      </c>
      <c r="B26" s="162" t="s">
        <v>319</v>
      </c>
      <c r="C26" s="163" t="s">
        <v>56</v>
      </c>
      <c r="D26" s="164" t="s">
        <v>236</v>
      </c>
      <c r="E26" s="164" t="s">
        <v>249</v>
      </c>
      <c r="F26" s="203">
        <f>SUMIF($B$8:$B$11,$C26,$C$8:$C$11)</f>
        <v>3.7555333333333332</v>
      </c>
      <c r="G26" s="203">
        <f>SUMIF(AFA!$B$3:$AJ$3,E26,AFA!$B$4:$AJ$4)</f>
        <v>0.34810000000000002</v>
      </c>
      <c r="H26" s="203">
        <f>SUMIF($B$8:$B$11,$C26,$D$8:$D$11)</f>
        <v>4.9000000000000004</v>
      </c>
      <c r="I26" s="165" t="s">
        <v>582</v>
      </c>
      <c r="J26" s="166"/>
      <c r="K26" s="200">
        <f t="shared" ref="K26:K27" si="5">G9</f>
        <v>0.76131000000000004</v>
      </c>
      <c r="L26" s="165">
        <f>(SUMIFS(Energy_Balance!I$55:I$160,Energy_Balance!$C$55:$C$160,D26,Energy_Balance!$D$55:$D$160,E26))*K26</f>
        <v>3.9158785669973883</v>
      </c>
      <c r="M26" s="165">
        <f>F26*L26</f>
        <v>14.706212487644258</v>
      </c>
      <c r="N26" s="167"/>
      <c r="O26" s="167"/>
      <c r="P26" s="167"/>
      <c r="Q26" s="167"/>
      <c r="R26" s="188">
        <v>57</v>
      </c>
      <c r="S26" s="188">
        <v>32.83</v>
      </c>
      <c r="T26" s="188">
        <v>0</v>
      </c>
      <c r="U26" s="188">
        <v>0</v>
      </c>
      <c r="V26" s="167"/>
      <c r="W26" s="167"/>
      <c r="X26" s="167"/>
      <c r="Y26" s="167"/>
      <c r="Z26" s="167"/>
      <c r="AA26" s="167"/>
      <c r="AB26" s="167"/>
      <c r="AC26" s="167"/>
      <c r="AD26" s="168"/>
      <c r="AE26" s="169"/>
      <c r="AG26" s="169"/>
      <c r="AH26" s="169"/>
      <c r="AI26" s="169"/>
      <c r="AJ26" s="169"/>
      <c r="AK26" s="170"/>
      <c r="AL26" s="171"/>
      <c r="AM26" s="169"/>
      <c r="AN26" s="169"/>
      <c r="AO26" s="169"/>
      <c r="AP26" s="169"/>
      <c r="AQ26" s="169"/>
      <c r="AR26" s="169"/>
      <c r="AS26" s="172"/>
      <c r="AT26" s="173"/>
      <c r="AU26" s="169"/>
      <c r="AV26" s="169"/>
      <c r="AW26" s="169"/>
      <c r="AX26" s="169"/>
      <c r="AY26" s="169"/>
      <c r="AZ26" s="169"/>
      <c r="BA26" s="170"/>
      <c r="BB26" s="171"/>
      <c r="BC26" s="169"/>
      <c r="BD26" s="169"/>
      <c r="BE26" s="169"/>
      <c r="BF26" s="169"/>
      <c r="BG26" s="169"/>
      <c r="BH26" s="169"/>
      <c r="BI26" s="172"/>
      <c r="BJ26" s="173"/>
      <c r="BK26" s="169"/>
      <c r="BL26" s="169"/>
      <c r="BM26" s="169"/>
      <c r="BN26" s="170"/>
      <c r="BO26" s="171"/>
      <c r="BP26" s="169"/>
      <c r="BQ26" s="169"/>
      <c r="BR26" s="169"/>
      <c r="BS26" s="175"/>
      <c r="BT26" s="176"/>
      <c r="BU26" s="179"/>
      <c r="BV26" s="179"/>
      <c r="BW26" s="179"/>
      <c r="BX26" s="166"/>
      <c r="BY26" s="177"/>
      <c r="BZ26" s="174"/>
      <c r="CA26" s="174"/>
      <c r="CB26" s="174"/>
      <c r="CC26" s="175"/>
      <c r="CD26" s="176"/>
      <c r="CE26" s="174"/>
      <c r="CF26" s="174"/>
      <c r="CG26" s="174"/>
      <c r="CH26" s="166"/>
      <c r="CI26" s="177"/>
      <c r="CJ26" s="174"/>
      <c r="CK26" s="174"/>
      <c r="CL26" s="174"/>
      <c r="CM26" s="175"/>
      <c r="CN26" s="176"/>
      <c r="CO26" s="174"/>
      <c r="CP26" s="174"/>
      <c r="CQ26" s="174"/>
      <c r="CR26" s="166"/>
      <c r="CS26" s="177"/>
      <c r="CT26" s="174"/>
      <c r="CU26" s="174"/>
      <c r="CV26" s="174"/>
      <c r="CW26" s="175"/>
      <c r="CX26" s="176"/>
      <c r="CY26" s="174"/>
      <c r="CZ26" s="174"/>
      <c r="DA26" s="174"/>
      <c r="DB26" s="166"/>
      <c r="DC26" s="177"/>
      <c r="DD26" s="174"/>
      <c r="DE26" s="174"/>
      <c r="DF26" s="174"/>
      <c r="DG26" s="175"/>
    </row>
    <row r="27" spans="1:111" ht="15.75">
      <c r="A27" s="166" t="s">
        <v>410</v>
      </c>
      <c r="B27" s="162" t="s">
        <v>320</v>
      </c>
      <c r="C27" s="163" t="s">
        <v>113</v>
      </c>
      <c r="D27" s="164" t="s">
        <v>236</v>
      </c>
      <c r="E27" s="164" t="s">
        <v>249</v>
      </c>
      <c r="F27" s="203">
        <f>SUMIF($B$8:$B$11,$C27,$C$8:$C$11)</f>
        <v>5.3019294117647053</v>
      </c>
      <c r="G27" s="203">
        <f>SUMIF(AFA!$B$3:$AJ$3,E27,AFA!$B$4:$AJ$4)</f>
        <v>0.34810000000000002</v>
      </c>
      <c r="H27" s="203">
        <f>SUMIF($B$8:$B$11,$C27,$D$8:$D$11)</f>
        <v>9.6</v>
      </c>
      <c r="I27" s="165" t="s">
        <v>582</v>
      </c>
      <c r="J27" s="166"/>
      <c r="K27" s="200">
        <f t="shared" si="5"/>
        <v>3.9049999999999918E-2</v>
      </c>
      <c r="L27" s="165">
        <f>(SUMIFS(Energy_Balance!I$55:I$160,Energy_Balance!$C$55:$C$160,D27,Energy_Balance!$D$55:$D$160,E27))*K27</f>
        <v>0.20085780830574626</v>
      </c>
      <c r="M27" s="165">
        <f>F27*L27</f>
        <v>1.0649339214388331</v>
      </c>
      <c r="N27" s="167"/>
      <c r="O27" s="167"/>
      <c r="P27" s="167"/>
      <c r="Q27" s="167"/>
      <c r="R27" s="188">
        <f>100-R25-R26</f>
        <v>23.039999999999992</v>
      </c>
      <c r="S27" s="188">
        <f>100-S25-S26</f>
        <v>62.179000000000002</v>
      </c>
      <c r="T27" s="188">
        <f>1-T26</f>
        <v>1</v>
      </c>
      <c r="U27" s="188">
        <f>1-U26</f>
        <v>1</v>
      </c>
      <c r="V27" s="167"/>
      <c r="W27" s="167"/>
      <c r="X27" s="167"/>
      <c r="Y27" s="167"/>
      <c r="Z27" s="167"/>
      <c r="AA27" s="167"/>
      <c r="AB27" s="167"/>
      <c r="AC27" s="167"/>
      <c r="AD27" s="168"/>
      <c r="AE27" s="169"/>
      <c r="AG27" s="169"/>
      <c r="AH27" s="169"/>
      <c r="AI27" s="169"/>
      <c r="AJ27" s="169"/>
      <c r="AK27" s="170"/>
      <c r="AL27" s="171"/>
      <c r="AM27" s="169"/>
      <c r="AN27" s="169"/>
      <c r="AO27" s="169"/>
      <c r="AP27" s="169"/>
      <c r="AQ27" s="169"/>
      <c r="AR27" s="169"/>
      <c r="AS27" s="172"/>
      <c r="AT27" s="173"/>
      <c r="AU27" s="169"/>
      <c r="AV27" s="169"/>
      <c r="AW27" s="169"/>
      <c r="AX27" s="169"/>
      <c r="AY27" s="169"/>
      <c r="AZ27" s="169"/>
      <c r="BA27" s="170"/>
      <c r="BB27" s="171"/>
      <c r="BC27" s="169"/>
      <c r="BD27" s="169"/>
      <c r="BE27" s="169"/>
      <c r="BF27" s="169"/>
      <c r="BG27" s="169"/>
      <c r="BH27" s="169"/>
      <c r="BI27" s="172"/>
      <c r="BJ27" s="173"/>
      <c r="BK27" s="169"/>
      <c r="BL27" s="169"/>
      <c r="BM27" s="169"/>
      <c r="BN27" s="170"/>
      <c r="BO27" s="171"/>
      <c r="BP27" s="169"/>
      <c r="BQ27" s="169"/>
      <c r="BR27" s="169"/>
      <c r="BS27" s="175"/>
      <c r="BT27" s="176"/>
      <c r="BU27" s="179"/>
      <c r="BV27" s="179"/>
      <c r="BW27" s="179"/>
      <c r="BX27" s="166"/>
      <c r="BY27" s="177"/>
      <c r="BZ27" s="174"/>
      <c r="CA27" s="174"/>
      <c r="CB27" s="174"/>
      <c r="CC27" s="175"/>
      <c r="CD27" s="176"/>
      <c r="CE27" s="174"/>
      <c r="CF27" s="174"/>
      <c r="CG27" s="174"/>
      <c r="CH27" s="166"/>
      <c r="CI27" s="177"/>
      <c r="CJ27" s="174"/>
      <c r="CK27" s="174"/>
      <c r="CL27" s="174"/>
      <c r="CM27" s="175"/>
      <c r="CN27" s="176"/>
      <c r="CO27" s="174"/>
      <c r="CP27" s="174"/>
      <c r="CQ27" s="174"/>
      <c r="CR27" s="166"/>
      <c r="CS27" s="177"/>
      <c r="CT27" s="174"/>
      <c r="CU27" s="174"/>
      <c r="CV27" s="174"/>
      <c r="CW27" s="175"/>
      <c r="CX27" s="176"/>
      <c r="CY27" s="174"/>
      <c r="CZ27" s="174"/>
      <c r="DA27" s="174"/>
      <c r="DB27" s="166"/>
      <c r="DC27" s="177"/>
      <c r="DD27" s="174"/>
      <c r="DE27" s="174"/>
      <c r="DF27" s="174"/>
      <c r="DG27" s="175"/>
    </row>
    <row r="28" spans="1:111">
      <c r="B28" s="108" t="s">
        <v>120</v>
      </c>
      <c r="C28" s="30" t="s">
        <v>328</v>
      </c>
      <c r="D28" s="43"/>
      <c r="E28" s="43"/>
      <c r="F28" s="203" t="str">
        <f>IF($D28="","",SUMIF(#REF!,$B28,#REF!))</f>
        <v/>
      </c>
      <c r="G28" s="203" t="str">
        <f>IF($D28="","",SUMIF(#REF!,$B28,#REF!))</f>
        <v/>
      </c>
      <c r="H28" s="203" t="str">
        <f>IF($D28="","",SUMIF(#REF!,$B28,#REF!))</f>
        <v/>
      </c>
      <c r="I28" s="40" t="str">
        <f>IFERROR((M28/G28*(1+#REF!))," ")</f>
        <v xml:space="preserve"> </v>
      </c>
      <c r="K28" s="201"/>
      <c r="L28" s="40"/>
      <c r="M28" s="40"/>
      <c r="AD28" s="134"/>
      <c r="AE28" s="135"/>
      <c r="AG28" s="135"/>
      <c r="AH28" s="135"/>
      <c r="AI28" s="135"/>
      <c r="AJ28" s="135"/>
      <c r="AK28" s="21"/>
      <c r="AL28" s="136"/>
      <c r="AM28" s="135"/>
      <c r="AN28" s="135"/>
      <c r="AO28" s="135"/>
      <c r="AP28" s="135"/>
      <c r="AQ28" s="135"/>
      <c r="AR28" s="135"/>
      <c r="AS28" s="124"/>
      <c r="AT28" s="137"/>
      <c r="AU28" s="139"/>
      <c r="AV28" s="139"/>
      <c r="AW28" s="139"/>
      <c r="AX28" s="139"/>
      <c r="AY28" s="139"/>
      <c r="AZ28" s="139"/>
      <c r="BA28" s="21"/>
      <c r="BB28" s="138"/>
      <c r="BC28" s="139"/>
      <c r="BD28" s="139"/>
      <c r="BE28" s="139"/>
      <c r="BF28" s="139"/>
      <c r="BG28" s="139"/>
      <c r="BH28" s="139"/>
      <c r="BI28" s="124"/>
      <c r="BJ28" s="137"/>
      <c r="BK28" s="139"/>
      <c r="BL28" s="139"/>
      <c r="BM28" s="139"/>
      <c r="BN28" s="21"/>
      <c r="BO28" s="138"/>
      <c r="BP28" s="139"/>
      <c r="BQ28" s="66"/>
      <c r="BR28" s="66"/>
      <c r="BS28" s="54"/>
      <c r="BT28" s="144"/>
      <c r="BU28" s="66"/>
      <c r="BV28" s="66"/>
      <c r="BW28" s="66"/>
      <c r="BY28" s="119"/>
      <c r="BZ28" s="66"/>
      <c r="CA28" s="66"/>
      <c r="CB28" s="66"/>
      <c r="CC28" s="54"/>
      <c r="CD28" s="144"/>
      <c r="CE28" s="66"/>
      <c r="CF28" s="66"/>
      <c r="CG28" s="66"/>
      <c r="CI28" s="119"/>
      <c r="CJ28" s="66"/>
      <c r="CK28" s="66"/>
      <c r="CL28" s="66"/>
      <c r="CM28" s="54"/>
      <c r="CN28" s="144"/>
      <c r="CO28" s="66"/>
      <c r="CP28" s="66"/>
      <c r="CQ28" s="66"/>
      <c r="CS28" s="119"/>
      <c r="CT28" s="66"/>
      <c r="CU28" s="66"/>
      <c r="CV28" s="66"/>
      <c r="CW28" s="54"/>
      <c r="CX28" s="144"/>
      <c r="CY28" s="66"/>
      <c r="CZ28" s="66"/>
      <c r="DA28" s="66"/>
      <c r="DC28" s="119"/>
      <c r="DD28" s="66"/>
      <c r="DE28" s="66"/>
      <c r="DF28" s="66"/>
      <c r="DG28" s="54"/>
    </row>
    <row r="29" spans="1:111" ht="15.75">
      <c r="A29" s="163" t="s">
        <v>348</v>
      </c>
      <c r="B29" s="162" t="s">
        <v>321</v>
      </c>
      <c r="C29" s="163" t="s">
        <v>171</v>
      </c>
      <c r="D29" s="164" t="s">
        <v>236</v>
      </c>
      <c r="E29" s="43" t="s">
        <v>255</v>
      </c>
      <c r="F29" s="203">
        <f>SUMIF($B$8:$B$11,$C29,$C$8:$C$11)</f>
        <v>1</v>
      </c>
      <c r="G29" s="203">
        <f>SUMIF(AFA!$B$3:$AJ$3,E29,AFA!$B$4:$AJ$4)</f>
        <v>0.34810000000000002</v>
      </c>
      <c r="H29" s="203">
        <f>SUMIF($B$8:$B$11,$C29,$D$8:$D$11)</f>
        <v>1</v>
      </c>
      <c r="I29" s="165" t="s">
        <v>582</v>
      </c>
      <c r="J29" s="166"/>
      <c r="K29" s="201">
        <f>H8</f>
        <v>0.19964000000000001</v>
      </c>
      <c r="L29" s="165">
        <f>(SUMIFS(Energy_Balance!I$55:I$160,Energy_Balance!$C$55:$C$160,D29,Energy_Balance!$D$55:$D$160,E29))*K29</f>
        <v>1.0560685420660481</v>
      </c>
      <c r="M29" s="165">
        <f>F29*L29</f>
        <v>1.0560685420660481</v>
      </c>
      <c r="N29" s="187">
        <f>(SUMIFS(Energy_Balance!I$55:I$160,Energy_Balance!$C$55:$C$160,D29,Energy_Balance!$D$55:$D$160,E29))*SUM(K29:K31)</f>
        <v>5.2898644663697052</v>
      </c>
      <c r="O29" s="187">
        <f>($F29*K29+$F30*K30+$F31*K31)/SUM(K29:K31)</f>
        <v>3.3225736255686273</v>
      </c>
      <c r="P29" s="187">
        <f>N29*O29</f>
        <v>17.575964158792644</v>
      </c>
      <c r="Q29" s="188">
        <f>IFERROR((P29/$G29)," ")</f>
        <v>50.491135187568638</v>
      </c>
      <c r="R29" s="188">
        <f>R25</f>
        <v>19.96</v>
      </c>
      <c r="S29" s="188">
        <f t="shared" ref="S29:U29" si="6">S25</f>
        <v>4.9909999999999997</v>
      </c>
      <c r="T29" s="188">
        <f t="shared" si="6"/>
        <v>0</v>
      </c>
      <c r="U29" s="188">
        <f t="shared" si="6"/>
        <v>0</v>
      </c>
      <c r="V29" s="187">
        <f>($F29*R29+$F30*R30+$F31*R31)/SUM(R29:R31)</f>
        <v>3.5618185364705877</v>
      </c>
      <c r="W29" s="187">
        <f t="shared" ref="W29:Y29" si="7">($F29*S29+$F30*S30+$F31*S31)/SUM(S29:S31)</f>
        <v>4.579538282274509</v>
      </c>
      <c r="X29" s="187">
        <f t="shared" si="7"/>
        <v>5.3019294117647053</v>
      </c>
      <c r="Y29" s="187">
        <f t="shared" si="7"/>
        <v>5.3019294117647053</v>
      </c>
      <c r="Z29" s="187" t="s">
        <v>582</v>
      </c>
      <c r="AA29" s="187" t="s">
        <v>582</v>
      </c>
      <c r="AB29" s="187" t="s">
        <v>582</v>
      </c>
      <c r="AC29" s="187" t="s">
        <v>582</v>
      </c>
      <c r="AD29" s="168"/>
      <c r="AE29" s="169"/>
      <c r="AG29" s="169"/>
      <c r="AH29" s="169"/>
      <c r="AI29" s="169"/>
      <c r="AJ29" s="169"/>
      <c r="AK29" s="170"/>
      <c r="AL29" s="171"/>
      <c r="AM29" s="169"/>
      <c r="AN29" s="169"/>
      <c r="AO29" s="169"/>
      <c r="AP29" s="169"/>
      <c r="AQ29" s="169"/>
      <c r="AR29" s="169"/>
      <c r="AS29" s="172"/>
      <c r="AT29" s="173"/>
      <c r="AU29" s="169"/>
      <c r="AV29" s="169"/>
      <c r="AW29" s="169"/>
      <c r="AX29" s="169"/>
      <c r="AY29" s="169"/>
      <c r="AZ29" s="169"/>
      <c r="BA29" s="170"/>
      <c r="BB29" s="171"/>
      <c r="BC29" s="169"/>
      <c r="BD29" s="169"/>
      <c r="BE29" s="169"/>
      <c r="BF29" s="169"/>
      <c r="BG29" s="169"/>
      <c r="BH29" s="169"/>
      <c r="BI29" s="172"/>
      <c r="BJ29" s="173"/>
      <c r="BK29" s="169"/>
      <c r="BL29" s="169"/>
      <c r="BM29" s="169"/>
      <c r="BN29" s="170"/>
      <c r="BO29" s="171"/>
      <c r="BP29" s="169"/>
      <c r="BQ29" s="174"/>
      <c r="BR29" s="174"/>
      <c r="BS29" s="175"/>
      <c r="BT29" s="176"/>
      <c r="BU29" s="174"/>
      <c r="BV29" s="174"/>
      <c r="BW29" s="174"/>
      <c r="BX29" s="166"/>
      <c r="BY29" s="177"/>
      <c r="BZ29" s="174"/>
      <c r="CA29" s="174"/>
      <c r="CB29" s="174"/>
      <c r="CC29" s="175"/>
      <c r="CD29" s="176"/>
      <c r="CE29" s="174"/>
      <c r="CF29" s="174"/>
      <c r="CG29" s="174"/>
      <c r="CH29" s="166"/>
      <c r="CI29" s="177"/>
      <c r="CJ29" s="174"/>
      <c r="CK29" s="174"/>
      <c r="CL29" s="174"/>
      <c r="CM29" s="175"/>
      <c r="CN29" s="176"/>
      <c r="CO29" s="174"/>
      <c r="CP29" s="174"/>
      <c r="CQ29" s="174"/>
      <c r="CR29" s="166"/>
      <c r="CS29" s="177"/>
      <c r="CT29" s="174"/>
      <c r="CU29" s="174"/>
      <c r="CV29" s="174"/>
      <c r="CW29" s="175"/>
      <c r="CX29" s="176"/>
      <c r="CY29" s="174"/>
      <c r="CZ29" s="174"/>
      <c r="DA29" s="174"/>
      <c r="DB29" s="166"/>
      <c r="DC29" s="177"/>
      <c r="DD29" s="174"/>
      <c r="DE29" s="174"/>
      <c r="DF29" s="174"/>
      <c r="DG29" s="175"/>
    </row>
    <row r="30" spans="1:111" ht="15.75">
      <c r="A30" s="166"/>
      <c r="B30" s="162" t="s">
        <v>322</v>
      </c>
      <c r="C30" s="163" t="s">
        <v>56</v>
      </c>
      <c r="D30" s="164" t="s">
        <v>236</v>
      </c>
      <c r="E30" s="43" t="s">
        <v>255</v>
      </c>
      <c r="F30" s="203">
        <f t="shared" ref="F30:F31" si="8">SUMIF($B$8:$B$11,$C30,$C$8:$C$11)</f>
        <v>3.7555333333333332</v>
      </c>
      <c r="G30" s="203">
        <f>SUMIF(AFA!$B$3:$AJ$3,E30,AFA!$B$4:$AJ$4)</f>
        <v>0.34810000000000002</v>
      </c>
      <c r="H30" s="203">
        <f>SUMIF($B$8:$B$11,$C30,$D$8:$D$11)</f>
        <v>4.9000000000000004</v>
      </c>
      <c r="I30" s="165" t="s">
        <v>582</v>
      </c>
      <c r="J30" s="166"/>
      <c r="K30" s="201">
        <f>H9</f>
        <v>0.72459999999999991</v>
      </c>
      <c r="L30" s="165">
        <f>(SUMIFS(Energy_Balance!I$55:I$160,Energy_Balance!$C$55:$C$160,D30,Energy_Balance!$D$55:$D$160,E30))*K30</f>
        <v>3.8330357923314877</v>
      </c>
      <c r="M30" s="165">
        <f>F30*L30</f>
        <v>14.395093685960646</v>
      </c>
      <c r="N30" s="167"/>
      <c r="O30" s="167"/>
      <c r="P30" s="167"/>
      <c r="Q30" s="167"/>
      <c r="R30" s="188">
        <f t="shared" ref="R30:U30" si="9">R26</f>
        <v>57</v>
      </c>
      <c r="S30" s="188">
        <f t="shared" si="9"/>
        <v>32.83</v>
      </c>
      <c r="T30" s="188">
        <f t="shared" si="9"/>
        <v>0</v>
      </c>
      <c r="U30" s="188">
        <f t="shared" si="9"/>
        <v>0</v>
      </c>
      <c r="V30" s="167"/>
      <c r="W30" s="167"/>
      <c r="X30" s="167"/>
      <c r="Y30" s="167"/>
      <c r="Z30" s="167"/>
      <c r="AA30" s="167"/>
      <c r="AB30" s="167"/>
      <c r="AC30" s="167"/>
      <c r="AD30" s="168"/>
      <c r="AE30" s="169"/>
      <c r="AG30" s="169"/>
      <c r="AH30" s="169"/>
      <c r="AI30" s="169"/>
      <c r="AJ30" s="169"/>
      <c r="AK30" s="170"/>
      <c r="AL30" s="171"/>
      <c r="AM30" s="169"/>
      <c r="AN30" s="169"/>
      <c r="AO30" s="169"/>
      <c r="AP30" s="169"/>
      <c r="AQ30" s="169"/>
      <c r="AR30" s="169"/>
      <c r="AS30" s="172"/>
      <c r="AT30" s="173"/>
      <c r="AU30" s="169"/>
      <c r="AV30" s="169"/>
      <c r="AW30" s="169"/>
      <c r="AX30" s="169"/>
      <c r="AY30" s="169"/>
      <c r="AZ30" s="169"/>
      <c r="BA30" s="170"/>
      <c r="BB30" s="171"/>
      <c r="BC30" s="169"/>
      <c r="BD30" s="169"/>
      <c r="BE30" s="169"/>
      <c r="BF30" s="169"/>
      <c r="BG30" s="169"/>
      <c r="BH30" s="169"/>
      <c r="BI30" s="172"/>
      <c r="BJ30" s="173"/>
      <c r="BK30" s="169"/>
      <c r="BL30" s="169"/>
      <c r="BM30" s="169"/>
      <c r="BN30" s="170"/>
      <c r="BO30" s="171"/>
      <c r="BP30" s="169"/>
      <c r="BQ30" s="169"/>
      <c r="BR30" s="169"/>
      <c r="BS30" s="178"/>
      <c r="BT30" s="176"/>
      <c r="BU30" s="174"/>
      <c r="BV30" s="174"/>
      <c r="BW30" s="174"/>
      <c r="BX30" s="166"/>
      <c r="BY30" s="177"/>
      <c r="BZ30" s="174"/>
      <c r="CA30" s="174"/>
      <c r="CB30" s="174"/>
      <c r="CC30" s="175"/>
      <c r="CD30" s="176"/>
      <c r="CE30" s="174"/>
      <c r="CF30" s="174"/>
      <c r="CG30" s="174"/>
      <c r="CH30" s="166"/>
      <c r="CI30" s="177"/>
      <c r="CJ30" s="174"/>
      <c r="CK30" s="174"/>
      <c r="CL30" s="174"/>
      <c r="CM30" s="175"/>
      <c r="CN30" s="176"/>
      <c r="CO30" s="174"/>
      <c r="CP30" s="174"/>
      <c r="CQ30" s="174"/>
      <c r="CR30" s="166"/>
      <c r="CS30" s="177"/>
      <c r="CT30" s="174"/>
      <c r="CU30" s="174"/>
      <c r="CV30" s="174"/>
      <c r="CW30" s="175"/>
      <c r="CX30" s="176"/>
      <c r="CY30" s="174"/>
      <c r="CZ30" s="174"/>
      <c r="DA30" s="174"/>
      <c r="DB30" s="166"/>
      <c r="DC30" s="177"/>
      <c r="DD30" s="174"/>
      <c r="DE30" s="174"/>
      <c r="DF30" s="174"/>
      <c r="DG30" s="175"/>
    </row>
    <row r="31" spans="1:111" ht="15.75">
      <c r="A31" s="166"/>
      <c r="B31" s="162" t="s">
        <v>323</v>
      </c>
      <c r="C31" s="163" t="s">
        <v>113</v>
      </c>
      <c r="D31" s="164" t="s">
        <v>236</v>
      </c>
      <c r="E31" s="43" t="s">
        <v>255</v>
      </c>
      <c r="F31" s="203">
        <f t="shared" si="8"/>
        <v>5.3019294117647053</v>
      </c>
      <c r="G31" s="203">
        <f>SUMIF(AFA!$B$3:$AJ$3,E31,AFA!$B$4:$AJ$4)</f>
        <v>0.34810000000000002</v>
      </c>
      <c r="H31" s="203">
        <f>SUMIF($B$8:$B$11,$C31,$D$8:$D$11)</f>
        <v>9.6</v>
      </c>
      <c r="I31" s="165" t="s">
        <v>582</v>
      </c>
      <c r="J31" s="166"/>
      <c r="K31" s="201">
        <f>H10</f>
        <v>7.576000000000005E-2</v>
      </c>
      <c r="L31" s="165">
        <f>(SUMIFS(Energy_Balance!I$55:I$160,Energy_Balance!$C$55:$C$160,D31,Energy_Balance!$D$55:$D$160,E31))*K31</f>
        <v>0.40076013197216914</v>
      </c>
      <c r="M31" s="165">
        <f>F31*L31</f>
        <v>2.1248019307659485</v>
      </c>
      <c r="N31" s="167"/>
      <c r="O31" s="167"/>
      <c r="P31" s="167"/>
      <c r="Q31" s="167"/>
      <c r="R31" s="188">
        <f t="shared" ref="R31:U31" si="10">R27</f>
        <v>23.039999999999992</v>
      </c>
      <c r="S31" s="188">
        <f t="shared" si="10"/>
        <v>62.179000000000002</v>
      </c>
      <c r="T31" s="188">
        <f t="shared" si="10"/>
        <v>1</v>
      </c>
      <c r="U31" s="188">
        <f t="shared" si="10"/>
        <v>1</v>
      </c>
      <c r="V31" s="167"/>
      <c r="W31" s="167"/>
      <c r="X31" s="167"/>
      <c r="Y31" s="167"/>
      <c r="Z31" s="167"/>
      <c r="AA31" s="167"/>
      <c r="AB31" s="167"/>
      <c r="AC31" s="167"/>
      <c r="AD31" s="168"/>
      <c r="AE31" s="169"/>
      <c r="AG31" s="169"/>
      <c r="AH31" s="169"/>
      <c r="AI31" s="169"/>
      <c r="AJ31" s="169"/>
      <c r="AK31" s="170"/>
      <c r="AL31" s="171"/>
      <c r="AM31" s="169"/>
      <c r="AN31" s="169"/>
      <c r="AO31" s="169"/>
      <c r="AP31" s="169"/>
      <c r="AQ31" s="169"/>
      <c r="AR31" s="169"/>
      <c r="AS31" s="172"/>
      <c r="AT31" s="173"/>
      <c r="AU31" s="169"/>
      <c r="AV31" s="169"/>
      <c r="AW31" s="169"/>
      <c r="AX31" s="169"/>
      <c r="AY31" s="169"/>
      <c r="AZ31" s="169"/>
      <c r="BA31" s="170"/>
      <c r="BB31" s="171"/>
      <c r="BC31" s="169"/>
      <c r="BD31" s="169"/>
      <c r="BE31" s="169"/>
      <c r="BF31" s="169"/>
      <c r="BG31" s="169"/>
      <c r="BH31" s="169"/>
      <c r="BI31" s="172"/>
      <c r="BJ31" s="173"/>
      <c r="BK31" s="169"/>
      <c r="BL31" s="169"/>
      <c r="BM31" s="169"/>
      <c r="BN31" s="170"/>
      <c r="BO31" s="171"/>
      <c r="BP31" s="169"/>
      <c r="BQ31" s="169"/>
      <c r="BR31" s="169"/>
      <c r="BS31" s="175"/>
      <c r="BT31" s="176"/>
      <c r="BU31" s="174"/>
      <c r="BV31" s="174"/>
      <c r="BW31" s="174"/>
      <c r="BX31" s="166"/>
      <c r="BY31" s="177"/>
      <c r="BZ31" s="174"/>
      <c r="CA31" s="174"/>
      <c r="CB31" s="174"/>
      <c r="CC31" s="175"/>
      <c r="CD31" s="176"/>
      <c r="CE31" s="174"/>
      <c r="CF31" s="174"/>
      <c r="CG31" s="174"/>
      <c r="CH31" s="166"/>
      <c r="CI31" s="177"/>
      <c r="CJ31" s="174"/>
      <c r="CK31" s="174"/>
      <c r="CL31" s="174"/>
      <c r="CM31" s="175"/>
      <c r="CN31" s="176"/>
      <c r="CO31" s="174"/>
      <c r="CP31" s="174"/>
      <c r="CQ31" s="174"/>
      <c r="CR31" s="166"/>
      <c r="CS31" s="177"/>
      <c r="CT31" s="174"/>
      <c r="CU31" s="174"/>
      <c r="CV31" s="174"/>
      <c r="CW31" s="175"/>
      <c r="CX31" s="176"/>
      <c r="CY31" s="174"/>
      <c r="CZ31" s="174"/>
      <c r="DA31" s="174"/>
      <c r="DB31" s="166"/>
      <c r="DC31" s="177"/>
      <c r="DD31" s="174"/>
      <c r="DE31" s="174"/>
      <c r="DF31" s="174"/>
      <c r="DG31" s="175"/>
    </row>
    <row r="32" spans="1:111">
      <c r="B32" s="108" t="s">
        <v>121</v>
      </c>
      <c r="C32" s="30" t="s">
        <v>328</v>
      </c>
      <c r="D32" s="43"/>
      <c r="E32" s="43"/>
      <c r="F32" s="203" t="str">
        <f>IF($D32="","",SUMIF(#REF!,$B32,#REF!))</f>
        <v/>
      </c>
      <c r="G32" s="203" t="str">
        <f>IF($D32="","",SUMIF(#REF!,$B32,#REF!))</f>
        <v/>
      </c>
      <c r="H32" s="203" t="str">
        <f>IF($D32="","",SUMIF(#REF!,$B32,#REF!))</f>
        <v/>
      </c>
      <c r="I32" s="40" t="str">
        <f>IFERROR((M32/G32*(1+#REF!))," ")</f>
        <v xml:space="preserve"> </v>
      </c>
      <c r="K32" s="201"/>
      <c r="L32" s="40"/>
      <c r="M32" s="40"/>
      <c r="AD32" s="134"/>
      <c r="AE32" s="139"/>
      <c r="AG32" s="139"/>
      <c r="AH32" s="139"/>
      <c r="AI32" s="139"/>
      <c r="AJ32" s="139"/>
      <c r="AK32" s="21"/>
      <c r="AL32" s="138"/>
      <c r="AM32" s="139"/>
      <c r="AN32" s="139"/>
      <c r="AO32" s="139"/>
      <c r="AP32" s="139"/>
      <c r="AQ32" s="139"/>
      <c r="AR32" s="139"/>
      <c r="AS32" s="124"/>
      <c r="AT32" s="137"/>
      <c r="AU32" s="139"/>
      <c r="AV32" s="139"/>
      <c r="AW32" s="139"/>
      <c r="AX32" s="139"/>
      <c r="AY32" s="139"/>
      <c r="AZ32" s="139"/>
      <c r="BA32" s="21"/>
      <c r="BB32" s="138"/>
      <c r="BC32" s="139"/>
      <c r="BD32" s="139"/>
      <c r="BE32" s="139"/>
      <c r="BF32" s="139"/>
      <c r="BG32" s="139"/>
      <c r="BH32" s="139"/>
      <c r="BI32" s="124"/>
      <c r="BJ32" s="137"/>
      <c r="BK32" s="139"/>
      <c r="BL32" s="139"/>
      <c r="BM32" s="139"/>
      <c r="BN32" s="21"/>
      <c r="BO32" s="138"/>
      <c r="BP32" s="139"/>
      <c r="BQ32" s="139"/>
      <c r="BR32" s="139"/>
      <c r="BS32" s="54"/>
      <c r="BT32" s="144"/>
      <c r="BU32" s="66"/>
      <c r="BV32" s="66"/>
      <c r="BW32" s="66"/>
      <c r="BY32" s="119"/>
      <c r="BZ32" s="66"/>
      <c r="CA32" s="66"/>
      <c r="CB32" s="66"/>
      <c r="CC32" s="54"/>
      <c r="CD32" s="144"/>
      <c r="CE32" s="66"/>
      <c r="CF32" s="66"/>
      <c r="CG32" s="66"/>
      <c r="CI32" s="119"/>
      <c r="CJ32" s="66"/>
      <c r="CK32" s="66"/>
      <c r="CL32" s="66"/>
      <c r="CM32" s="54"/>
      <c r="CN32" s="144"/>
      <c r="CO32" s="66"/>
      <c r="CP32" s="66"/>
      <c r="CQ32" s="66"/>
      <c r="CS32" s="119"/>
      <c r="CT32" s="66"/>
      <c r="CU32" s="66"/>
      <c r="CV32" s="66"/>
      <c r="CW32" s="54"/>
      <c r="CX32" s="144"/>
      <c r="CY32" s="66"/>
      <c r="CZ32" s="66"/>
      <c r="DA32" s="66"/>
      <c r="DC32" s="119"/>
      <c r="DD32" s="66"/>
      <c r="DE32" s="66"/>
      <c r="DF32" s="66"/>
      <c r="DG32" s="54"/>
    </row>
    <row r="33" spans="1:111" ht="15.75">
      <c r="A33" s="163" t="s">
        <v>369</v>
      </c>
      <c r="B33" s="162" t="s">
        <v>324</v>
      </c>
      <c r="C33" s="163" t="s">
        <v>171</v>
      </c>
      <c r="D33" s="164" t="s">
        <v>236</v>
      </c>
      <c r="E33" s="164" t="s">
        <v>261</v>
      </c>
      <c r="F33" s="203">
        <f>SUMIF($B$8:$B$11,$C33,$C$8:$C$11)</f>
        <v>1</v>
      </c>
      <c r="G33" s="203">
        <f>SUMIF(AFA!$B$3:$AJ$3,E33,AFA!$B$4:$AJ$4)</f>
        <v>0.38019999999999998</v>
      </c>
      <c r="H33" s="203">
        <f>SUMIF($B$8:$B$11,$C33,$D$8:$D$11)</f>
        <v>1</v>
      </c>
      <c r="I33" s="165" t="s">
        <v>582</v>
      </c>
      <c r="J33" s="166"/>
      <c r="K33" s="200">
        <f>I8</f>
        <v>0.19964000000000001</v>
      </c>
      <c r="L33" s="165">
        <f>(SUMIFS(Energy_Balance!I$55:I$160,Energy_Balance!$C$55:$C$160,D33,Energy_Balance!$D$55:$D$160,E33))*K33</f>
        <v>1.3832536329290315</v>
      </c>
      <c r="M33" s="165">
        <f>F33*L33</f>
        <v>1.3832536329290315</v>
      </c>
      <c r="N33" s="187">
        <f>(SUMIFS(Energy_Balance!I$55:I$160,Energy_Balance!$C$55:$C$160,D33,Energy_Balance!$D$55:$D$160,E33))*SUM(K33:K35)</f>
        <v>6.928739896458783</v>
      </c>
      <c r="O33" s="187">
        <f>($F33*K33+$F34*K34+$F35*K35)/SUM(K33:K35)</f>
        <v>3.3225736255686273</v>
      </c>
      <c r="P33" s="187">
        <f>N33*O33</f>
        <v>23.021248438399056</v>
      </c>
      <c r="Q33" s="188">
        <f>IFERROR((P33/$G33)," ")</f>
        <v>60.550364119934393</v>
      </c>
      <c r="R33" s="188">
        <f>R29</f>
        <v>19.96</v>
      </c>
      <c r="S33" s="188">
        <f t="shared" ref="S33:U33" si="11">S29</f>
        <v>4.9909999999999997</v>
      </c>
      <c r="T33" s="188">
        <f t="shared" si="11"/>
        <v>0</v>
      </c>
      <c r="U33" s="188">
        <f t="shared" si="11"/>
        <v>0</v>
      </c>
      <c r="V33" s="187">
        <f>($F33*R33+$F34*R34+$F35*R35)/SUM(R33:R35)</f>
        <v>3.5618185364705877</v>
      </c>
      <c r="W33" s="187">
        <f t="shared" ref="W33:Y33" si="12">($F33*S33+$F34*S34+$F35*S35)/SUM(S33:S35)</f>
        <v>4.579538282274509</v>
      </c>
      <c r="X33" s="187">
        <f t="shared" si="12"/>
        <v>5.3019294117647053</v>
      </c>
      <c r="Y33" s="187">
        <f t="shared" si="12"/>
        <v>5.3019294117647053</v>
      </c>
      <c r="Z33" s="187"/>
      <c r="AA33" s="187"/>
      <c r="AB33" s="187"/>
      <c r="AC33" s="187"/>
      <c r="AD33" s="168"/>
      <c r="AE33" s="169"/>
      <c r="AG33" s="169"/>
      <c r="AH33" s="169"/>
      <c r="AI33" s="169"/>
      <c r="AJ33" s="169"/>
      <c r="AK33" s="170"/>
      <c r="AL33" s="171"/>
      <c r="AM33" s="169"/>
      <c r="AN33" s="169"/>
      <c r="AO33" s="169"/>
      <c r="AP33" s="169"/>
      <c r="AQ33" s="169"/>
      <c r="AR33" s="169"/>
      <c r="AS33" s="172"/>
      <c r="AT33" s="173"/>
      <c r="AU33" s="169"/>
      <c r="AV33" s="169"/>
      <c r="AW33" s="169"/>
      <c r="AX33" s="169"/>
      <c r="AY33" s="169"/>
      <c r="AZ33" s="169"/>
      <c r="BA33" s="170"/>
      <c r="BB33" s="171"/>
      <c r="BC33" s="169"/>
      <c r="BD33" s="169"/>
      <c r="BE33" s="169"/>
      <c r="BF33" s="169"/>
      <c r="BG33" s="169"/>
      <c r="BH33" s="169"/>
      <c r="BI33" s="172"/>
      <c r="BJ33" s="173"/>
      <c r="BK33" s="169"/>
      <c r="BL33" s="169"/>
      <c r="BM33" s="169"/>
      <c r="BN33" s="170"/>
      <c r="BO33" s="171"/>
      <c r="BP33" s="169"/>
      <c r="BQ33" s="169"/>
      <c r="BR33" s="169"/>
      <c r="BS33" s="175"/>
      <c r="BT33" s="176"/>
      <c r="BU33" s="174"/>
      <c r="BV33" s="174"/>
      <c r="BW33" s="174"/>
      <c r="BX33" s="166"/>
      <c r="BY33" s="177"/>
      <c r="BZ33" s="174"/>
      <c r="CA33" s="174"/>
      <c r="CB33" s="174"/>
      <c r="CC33" s="175"/>
      <c r="CD33" s="176"/>
      <c r="CE33" s="174"/>
      <c r="CF33" s="174"/>
      <c r="CG33" s="174"/>
      <c r="CH33" s="166"/>
      <c r="CI33" s="177"/>
      <c r="CJ33" s="174"/>
      <c r="CK33" s="174"/>
      <c r="CL33" s="174"/>
      <c r="CM33" s="175"/>
      <c r="CN33" s="176"/>
      <c r="CO33" s="174"/>
      <c r="CP33" s="174"/>
      <c r="CQ33" s="174"/>
      <c r="CR33" s="166"/>
      <c r="CS33" s="177"/>
      <c r="CT33" s="174"/>
      <c r="CU33" s="174"/>
      <c r="CV33" s="174"/>
      <c r="CW33" s="175"/>
      <c r="CX33" s="176"/>
      <c r="CY33" s="174"/>
      <c r="CZ33" s="174"/>
      <c r="DA33" s="174"/>
      <c r="DB33" s="166"/>
      <c r="DC33" s="177"/>
      <c r="DD33" s="174"/>
      <c r="DE33" s="174"/>
      <c r="DF33" s="174"/>
      <c r="DG33" s="175"/>
    </row>
    <row r="34" spans="1:111" ht="15.75">
      <c r="A34" s="166"/>
      <c r="B34" s="162" t="s">
        <v>325</v>
      </c>
      <c r="C34" s="163" t="s">
        <v>56</v>
      </c>
      <c r="D34" s="164" t="s">
        <v>236</v>
      </c>
      <c r="E34" s="164" t="s">
        <v>261</v>
      </c>
      <c r="F34" s="203">
        <f t="shared" ref="F34:F35" si="13">SUMIF($B$8:$B$11,$C34,$C$8:$C$11)</f>
        <v>3.7555333333333332</v>
      </c>
      <c r="G34" s="203">
        <f>SUMIF(AFA!$B$3:$AJ$3,E34,AFA!$B$4:$AJ$4)</f>
        <v>0.38019999999999998</v>
      </c>
      <c r="H34" s="203">
        <f>SUMIF($B$8:$B$11,$C34,$D$8:$D$11)</f>
        <v>4.9000000000000004</v>
      </c>
      <c r="I34" s="165" t="s">
        <v>582</v>
      </c>
      <c r="J34" s="166"/>
      <c r="K34" s="200">
        <f>I9</f>
        <v>0.72459999999999991</v>
      </c>
      <c r="L34" s="165">
        <f>(SUMIFS(Energy_Balance!I$55:I$160,Energy_Balance!$C$55:$C$160,D34,Energy_Balance!$D$55:$D$160,E34))*K34</f>
        <v>5.0205649289740339</v>
      </c>
      <c r="M34" s="165">
        <f>F34*L34</f>
        <v>18.854898942926283</v>
      </c>
      <c r="N34" s="167"/>
      <c r="O34" s="167"/>
      <c r="P34" s="167"/>
      <c r="Q34" s="167"/>
      <c r="R34" s="188">
        <f t="shared" ref="R34:U34" si="14">R30</f>
        <v>57</v>
      </c>
      <c r="S34" s="188">
        <f t="shared" si="14"/>
        <v>32.83</v>
      </c>
      <c r="T34" s="188">
        <f t="shared" si="14"/>
        <v>0</v>
      </c>
      <c r="U34" s="188">
        <f t="shared" si="14"/>
        <v>0</v>
      </c>
      <c r="V34" s="167"/>
      <c r="W34" s="167"/>
      <c r="X34" s="167"/>
      <c r="Y34" s="167"/>
      <c r="Z34" s="167"/>
      <c r="AA34" s="167"/>
      <c r="AB34" s="167"/>
      <c r="AC34" s="167"/>
      <c r="AD34" s="168"/>
      <c r="AE34" s="169"/>
      <c r="AG34" s="169"/>
      <c r="AH34" s="169"/>
      <c r="AI34" s="169"/>
      <c r="AJ34" s="169"/>
      <c r="AK34" s="170"/>
      <c r="AL34" s="171"/>
      <c r="AM34" s="169"/>
      <c r="AN34" s="169"/>
      <c r="AO34" s="169"/>
      <c r="AP34" s="169"/>
      <c r="AQ34" s="169"/>
      <c r="AR34" s="169"/>
      <c r="AS34" s="172"/>
      <c r="AT34" s="173"/>
      <c r="AU34" s="169"/>
      <c r="AV34" s="169"/>
      <c r="AW34" s="169"/>
      <c r="AX34" s="169"/>
      <c r="AY34" s="169"/>
      <c r="AZ34" s="169"/>
      <c r="BA34" s="170"/>
      <c r="BB34" s="171"/>
      <c r="BC34" s="169"/>
      <c r="BD34" s="169"/>
      <c r="BE34" s="169"/>
      <c r="BF34" s="169"/>
      <c r="BG34" s="169"/>
      <c r="BH34" s="169"/>
      <c r="BI34" s="172"/>
      <c r="BJ34" s="173"/>
      <c r="BK34" s="169"/>
      <c r="BL34" s="169"/>
      <c r="BM34" s="169"/>
      <c r="BN34" s="170"/>
      <c r="BO34" s="171"/>
      <c r="BP34" s="169"/>
      <c r="BQ34" s="169"/>
      <c r="BR34" s="169"/>
      <c r="BS34" s="175"/>
      <c r="BT34" s="176"/>
      <c r="BU34" s="174"/>
      <c r="BV34" s="174"/>
      <c r="BW34" s="174"/>
      <c r="BX34" s="166"/>
      <c r="BY34" s="177"/>
      <c r="BZ34" s="174"/>
      <c r="CA34" s="174"/>
      <c r="CB34" s="174"/>
      <c r="CC34" s="175"/>
      <c r="CD34" s="176"/>
      <c r="CE34" s="174"/>
      <c r="CF34" s="174"/>
      <c r="CG34" s="174"/>
      <c r="CH34" s="166"/>
      <c r="CI34" s="177"/>
      <c r="CJ34" s="174"/>
      <c r="CK34" s="174"/>
      <c r="CL34" s="174"/>
      <c r="CM34" s="175"/>
      <c r="CN34" s="176"/>
      <c r="CO34" s="174"/>
      <c r="CP34" s="174"/>
      <c r="CQ34" s="174"/>
      <c r="CR34" s="166"/>
      <c r="CS34" s="177"/>
      <c r="CT34" s="174"/>
      <c r="CU34" s="174"/>
      <c r="CV34" s="174"/>
      <c r="CW34" s="175"/>
      <c r="CX34" s="176"/>
      <c r="CY34" s="174"/>
      <c r="CZ34" s="174"/>
      <c r="DA34" s="174"/>
      <c r="DB34" s="166"/>
      <c r="DC34" s="177"/>
      <c r="DD34" s="174"/>
      <c r="DE34" s="174"/>
      <c r="DF34" s="174"/>
      <c r="DG34" s="175"/>
    </row>
    <row r="35" spans="1:111" ht="15.75">
      <c r="A35" s="166"/>
      <c r="B35" s="162" t="s">
        <v>326</v>
      </c>
      <c r="C35" s="163" t="s">
        <v>113</v>
      </c>
      <c r="D35" s="164" t="s">
        <v>236</v>
      </c>
      <c r="E35" s="164" t="s">
        <v>261</v>
      </c>
      <c r="F35" s="203">
        <f t="shared" si="13"/>
        <v>5.3019294117647053</v>
      </c>
      <c r="G35" s="203">
        <f>SUMIF(AFA!$B$3:$AJ$3,E35,AFA!$B$4:$AJ$4)</f>
        <v>0.38019999999999998</v>
      </c>
      <c r="H35" s="203">
        <f>SUMIF($B$8:$B$11,$C35,$D$8:$D$11)</f>
        <v>9.6</v>
      </c>
      <c r="I35" s="165" t="s">
        <v>582</v>
      </c>
      <c r="J35" s="166"/>
      <c r="K35" s="200">
        <f>I10</f>
        <v>7.576000000000005E-2</v>
      </c>
      <c r="L35" s="165">
        <f>(SUMIFS(Energy_Balance!I$55:I$160,Energy_Balance!$C$55:$C$160,D35,Energy_Balance!$D$55:$D$160,E35))*K35</f>
        <v>0.52492133455571777</v>
      </c>
      <c r="M35" s="165">
        <f>F35*L35</f>
        <v>2.7830958625437408</v>
      </c>
      <c r="N35" s="167"/>
      <c r="O35" s="167"/>
      <c r="P35" s="167"/>
      <c r="Q35" s="167"/>
      <c r="R35" s="188">
        <f t="shared" ref="R35:U35" si="15">R31</f>
        <v>23.039999999999992</v>
      </c>
      <c r="S35" s="188">
        <f t="shared" si="15"/>
        <v>62.179000000000002</v>
      </c>
      <c r="T35" s="188">
        <f t="shared" si="15"/>
        <v>1</v>
      </c>
      <c r="U35" s="188">
        <f t="shared" si="15"/>
        <v>1</v>
      </c>
      <c r="V35" s="167"/>
      <c r="W35" s="167"/>
      <c r="X35" s="167"/>
      <c r="Y35" s="167"/>
      <c r="Z35" s="167"/>
      <c r="AA35" s="167"/>
      <c r="AB35" s="167"/>
      <c r="AC35" s="167"/>
      <c r="AD35" s="168"/>
      <c r="AE35" s="169"/>
      <c r="AG35" s="169"/>
      <c r="AH35" s="169"/>
      <c r="AI35" s="169"/>
      <c r="AJ35" s="169"/>
      <c r="AK35" s="170"/>
      <c r="AL35" s="171"/>
      <c r="AM35" s="169"/>
      <c r="AN35" s="169"/>
      <c r="AO35" s="169"/>
      <c r="AP35" s="169"/>
      <c r="AQ35" s="169"/>
      <c r="AR35" s="169"/>
      <c r="AS35" s="172"/>
      <c r="AT35" s="173"/>
      <c r="AU35" s="169"/>
      <c r="AV35" s="169"/>
      <c r="AW35" s="169"/>
      <c r="AX35" s="169"/>
      <c r="AY35" s="169"/>
      <c r="AZ35" s="169"/>
      <c r="BA35" s="170"/>
      <c r="BB35" s="171"/>
      <c r="BC35" s="169"/>
      <c r="BD35" s="169"/>
      <c r="BE35" s="169"/>
      <c r="BF35" s="169"/>
      <c r="BG35" s="169"/>
      <c r="BH35" s="169"/>
      <c r="BI35" s="172"/>
      <c r="BJ35" s="173"/>
      <c r="BK35" s="169"/>
      <c r="BL35" s="169"/>
      <c r="BM35" s="169"/>
      <c r="BN35" s="170"/>
      <c r="BO35" s="171"/>
      <c r="BP35" s="169"/>
      <c r="BQ35" s="169"/>
      <c r="BR35" s="169"/>
      <c r="BS35" s="175"/>
      <c r="BT35" s="176"/>
      <c r="BU35" s="174"/>
      <c r="BV35" s="174"/>
      <c r="BW35" s="174"/>
      <c r="BX35" s="166"/>
      <c r="BY35" s="177"/>
      <c r="BZ35" s="174"/>
      <c r="CA35" s="174"/>
      <c r="CB35" s="174"/>
      <c r="CC35" s="175"/>
      <c r="CD35" s="176"/>
      <c r="CE35" s="174"/>
      <c r="CF35" s="174"/>
      <c r="CG35" s="174"/>
      <c r="CH35" s="166"/>
      <c r="CI35" s="177"/>
      <c r="CJ35" s="174"/>
      <c r="CK35" s="174"/>
      <c r="CL35" s="174"/>
      <c r="CM35" s="175"/>
      <c r="CN35" s="176"/>
      <c r="CO35" s="174"/>
      <c r="CP35" s="174"/>
      <c r="CQ35" s="174"/>
      <c r="CR35" s="166"/>
      <c r="CS35" s="177"/>
      <c r="CT35" s="174"/>
      <c r="CU35" s="174"/>
      <c r="CV35" s="174"/>
      <c r="CW35" s="175"/>
      <c r="CX35" s="176"/>
      <c r="CY35" s="174"/>
      <c r="CZ35" s="174"/>
      <c r="DA35" s="174"/>
      <c r="DB35" s="166"/>
      <c r="DC35" s="177"/>
      <c r="DD35" s="174"/>
      <c r="DE35" s="174"/>
      <c r="DF35" s="174"/>
      <c r="DG35" s="175"/>
    </row>
    <row r="36" spans="1:111">
      <c r="B36" s="108" t="s">
        <v>109</v>
      </c>
      <c r="C36" s="30"/>
      <c r="D36" s="43"/>
      <c r="E36" s="43"/>
      <c r="I36" s="40" t="str">
        <f>IFERROR((M36/G36*(1+#REF!))," ")</f>
        <v xml:space="preserve"> </v>
      </c>
      <c r="K36" s="201"/>
      <c r="L36" s="40">
        <f>SUM(L33:L35)</f>
        <v>6.928739896458783</v>
      </c>
      <c r="M36" s="40"/>
      <c r="AD36" s="134"/>
      <c r="AE36" s="414"/>
      <c r="AF36" s="139"/>
      <c r="AG36" s="139"/>
      <c r="AH36" s="139"/>
      <c r="AI36" s="139"/>
      <c r="AJ36" s="139"/>
      <c r="AK36" s="21"/>
      <c r="AL36" s="138"/>
      <c r="AM36" s="139"/>
      <c r="AN36" s="139"/>
      <c r="AO36" s="139"/>
      <c r="AP36" s="139"/>
      <c r="AQ36" s="139"/>
      <c r="AR36" s="139"/>
      <c r="AS36" s="124"/>
      <c r="AT36" s="137"/>
      <c r="AU36" s="139"/>
      <c r="AV36" s="139"/>
      <c r="AW36" s="139"/>
      <c r="AX36" s="139"/>
      <c r="AY36" s="139"/>
      <c r="AZ36" s="139"/>
      <c r="BA36" s="21"/>
      <c r="BB36" s="138"/>
      <c r="BC36" s="139"/>
      <c r="BD36" s="139"/>
      <c r="BE36" s="139"/>
      <c r="BF36" s="139"/>
      <c r="BG36" s="139"/>
      <c r="BH36" s="139"/>
      <c r="BI36" s="124"/>
      <c r="BJ36" s="137"/>
      <c r="BK36" s="139"/>
      <c r="BL36" s="139"/>
      <c r="BM36" s="139"/>
      <c r="BN36" s="21"/>
      <c r="BO36" s="138"/>
      <c r="BP36" s="139"/>
      <c r="BQ36" s="66"/>
      <c r="BR36" s="66"/>
      <c r="BS36" s="54"/>
      <c r="BT36" s="144"/>
      <c r="BU36" s="66"/>
      <c r="BV36" s="66"/>
      <c r="BW36" s="66"/>
      <c r="BY36" s="119"/>
      <c r="BZ36" s="66"/>
      <c r="CA36" s="66"/>
      <c r="CB36" s="66"/>
      <c r="CC36" s="54"/>
      <c r="CD36" s="144"/>
      <c r="CE36" s="66"/>
      <c r="CF36" s="66"/>
      <c r="CG36" s="66"/>
      <c r="CI36" s="119"/>
      <c r="CJ36" s="66"/>
      <c r="CK36" s="66"/>
      <c r="CL36" s="66"/>
      <c r="CM36" s="54"/>
      <c r="CN36" s="144"/>
      <c r="CO36" s="66"/>
      <c r="CP36" s="66"/>
      <c r="CQ36" s="66"/>
      <c r="CS36" s="119"/>
      <c r="CT36" s="66"/>
      <c r="CU36" s="66"/>
      <c r="CV36" s="66"/>
      <c r="CW36" s="54"/>
      <c r="CX36" s="144"/>
      <c r="CY36" s="66"/>
      <c r="CZ36" s="66"/>
      <c r="DA36" s="66"/>
      <c r="DC36" s="119"/>
      <c r="DD36" s="66"/>
      <c r="DE36" s="66"/>
      <c r="DF36" s="66"/>
      <c r="DG36" s="54"/>
    </row>
    <row r="37" spans="1:111">
      <c r="A37" s="163" t="s">
        <v>828</v>
      </c>
      <c r="B37" s="108" t="s">
        <v>829</v>
      </c>
      <c r="C37" s="30"/>
      <c r="D37" s="43"/>
      <c r="E37" s="43"/>
      <c r="I37" s="40"/>
      <c r="K37" s="413"/>
      <c r="L37" s="40"/>
      <c r="M37" s="40"/>
      <c r="AD37" s="414"/>
      <c r="AE37" s="414"/>
      <c r="AF37" s="139"/>
      <c r="AG37" s="139"/>
      <c r="AH37" s="139"/>
      <c r="AI37" s="139"/>
      <c r="AJ37" s="139"/>
      <c r="AK37" s="21"/>
      <c r="AL37" s="138"/>
      <c r="AM37" s="139"/>
      <c r="AN37" s="139"/>
      <c r="AO37" s="139"/>
      <c r="AP37" s="139"/>
      <c r="AQ37" s="139"/>
      <c r="AR37" s="139"/>
      <c r="AS37" s="21"/>
      <c r="AT37" s="138"/>
      <c r="AU37" s="139"/>
      <c r="AV37" s="139"/>
      <c r="AW37" s="139"/>
      <c r="AX37" s="139"/>
      <c r="AY37" s="139"/>
      <c r="AZ37" s="139"/>
      <c r="BA37" s="21"/>
      <c r="BB37" s="138"/>
      <c r="BC37" s="139"/>
      <c r="BD37" s="139"/>
      <c r="BE37" s="139"/>
      <c r="BF37" s="139"/>
      <c r="BG37" s="139"/>
      <c r="BH37" s="139"/>
      <c r="BI37" s="21"/>
      <c r="BJ37" s="138"/>
      <c r="BK37" s="139"/>
      <c r="BL37" s="139"/>
      <c r="BM37" s="139"/>
      <c r="BN37" s="21"/>
      <c r="BO37" s="138"/>
      <c r="BP37" s="139"/>
      <c r="BQ37" s="66"/>
      <c r="BR37" s="66"/>
      <c r="BS37" s="1"/>
      <c r="BT37" s="119"/>
      <c r="BU37" s="66"/>
      <c r="BV37" s="66"/>
      <c r="BW37" s="66"/>
      <c r="BY37" s="119"/>
      <c r="BZ37" s="66"/>
      <c r="CA37" s="66"/>
      <c r="CB37" s="66"/>
      <c r="CC37" s="1"/>
      <c r="CD37" s="119"/>
      <c r="CE37" s="66"/>
      <c r="CF37" s="66"/>
      <c r="CG37" s="66"/>
      <c r="CI37" s="119"/>
      <c r="CJ37" s="66"/>
      <c r="CK37" s="66"/>
      <c r="CL37" s="66"/>
      <c r="CM37" s="1"/>
      <c r="CN37" s="119"/>
      <c r="CO37" s="66"/>
      <c r="CP37" s="66"/>
      <c r="CQ37" s="66"/>
      <c r="CS37" s="119"/>
      <c r="CT37" s="66"/>
      <c r="CU37" s="66"/>
      <c r="CV37" s="66"/>
      <c r="CW37" s="1"/>
      <c r="CX37" s="119"/>
      <c r="CY37" s="66"/>
      <c r="CZ37" s="66"/>
      <c r="DA37" s="66"/>
      <c r="DC37" s="119"/>
      <c r="DD37" s="66"/>
      <c r="DE37" s="66"/>
      <c r="DF37" s="66"/>
      <c r="DG37" s="1"/>
    </row>
    <row r="38" spans="1:111">
      <c r="B38" s="108"/>
      <c r="C38" s="30"/>
      <c r="D38" s="43"/>
      <c r="E38" s="43"/>
      <c r="I38" s="40"/>
      <c r="K38" s="413"/>
      <c r="L38" s="40"/>
      <c r="M38" s="40"/>
      <c r="AD38" s="414"/>
      <c r="AE38" s="414"/>
      <c r="AF38" s="139"/>
      <c r="AG38" s="139"/>
      <c r="AH38" s="139"/>
      <c r="AI38" s="139"/>
      <c r="AJ38" s="139"/>
      <c r="AK38" s="21"/>
      <c r="AL38" s="138"/>
      <c r="AM38" s="139"/>
      <c r="AN38" s="139"/>
      <c r="AO38" s="139"/>
      <c r="AP38" s="139"/>
      <c r="AQ38" s="139"/>
      <c r="AR38" s="139"/>
      <c r="AS38" s="21"/>
      <c r="AT38" s="138"/>
      <c r="AU38" s="139"/>
      <c r="AV38" s="139"/>
      <c r="AW38" s="139"/>
      <c r="AX38" s="139"/>
      <c r="AY38" s="139"/>
      <c r="AZ38" s="139"/>
      <c r="BA38" s="21"/>
      <c r="BB38" s="138"/>
      <c r="BC38" s="139"/>
      <c r="BD38" s="139"/>
      <c r="BE38" s="139"/>
      <c r="BF38" s="139"/>
      <c r="BG38" s="139"/>
      <c r="BH38" s="139"/>
      <c r="BI38" s="21"/>
      <c r="BJ38" s="138"/>
      <c r="BK38" s="139"/>
      <c r="BL38" s="139"/>
      <c r="BM38" s="139"/>
      <c r="BN38" s="21"/>
      <c r="BO38" s="138"/>
      <c r="BP38" s="139"/>
      <c r="BQ38" s="66"/>
      <c r="BR38" s="66"/>
      <c r="BS38" s="1"/>
      <c r="BT38" s="119"/>
      <c r="BU38" s="66"/>
      <c r="BV38" s="66"/>
      <c r="BW38" s="66"/>
      <c r="BY38" s="119"/>
      <c r="BZ38" s="66"/>
      <c r="CA38" s="66"/>
      <c r="CB38" s="66"/>
      <c r="CC38" s="1"/>
      <c r="CD38" s="119"/>
      <c r="CE38" s="66"/>
      <c r="CF38" s="66"/>
      <c r="CG38" s="66"/>
      <c r="CI38" s="119"/>
      <c r="CJ38" s="66"/>
      <c r="CK38" s="66"/>
      <c r="CL38" s="66"/>
      <c r="CM38" s="1"/>
      <c r="CN38" s="119"/>
      <c r="CO38" s="66"/>
      <c r="CP38" s="66"/>
      <c r="CQ38" s="66"/>
      <c r="CS38" s="119"/>
      <c r="CT38" s="66"/>
      <c r="CU38" s="66"/>
      <c r="CV38" s="66"/>
      <c r="CW38" s="1"/>
      <c r="CX38" s="119"/>
      <c r="CY38" s="66"/>
      <c r="CZ38" s="66"/>
      <c r="DA38" s="66"/>
      <c r="DC38" s="119"/>
      <c r="DD38" s="66"/>
      <c r="DE38" s="66"/>
      <c r="DF38" s="66"/>
      <c r="DG38" s="1"/>
    </row>
    <row r="39" spans="1:111">
      <c r="B39" s="108"/>
      <c r="C39" s="30"/>
      <c r="D39" s="43"/>
      <c r="E39" s="43"/>
      <c r="I39" s="40"/>
      <c r="K39" s="413"/>
      <c r="L39" s="40"/>
      <c r="M39" s="40"/>
      <c r="AD39" s="414"/>
      <c r="AE39" s="414"/>
      <c r="AF39" s="139"/>
      <c r="AG39" s="139"/>
      <c r="AH39" s="139"/>
      <c r="AI39" s="139"/>
      <c r="AJ39" s="139"/>
      <c r="AK39" s="21"/>
      <c r="AL39" s="138"/>
      <c r="AM39" s="139"/>
      <c r="AN39" s="139"/>
      <c r="AO39" s="139"/>
      <c r="AP39" s="139"/>
      <c r="AQ39" s="139"/>
      <c r="AR39" s="139"/>
      <c r="AS39" s="21"/>
      <c r="AT39" s="138"/>
      <c r="AU39" s="139"/>
      <c r="AV39" s="139"/>
      <c r="AW39" s="139"/>
      <c r="AX39" s="139"/>
      <c r="AY39" s="139"/>
      <c r="AZ39" s="139"/>
      <c r="BA39" s="21"/>
      <c r="BB39" s="138"/>
      <c r="BC39" s="139"/>
      <c r="BD39" s="139"/>
      <c r="BE39" s="139"/>
      <c r="BF39" s="139"/>
      <c r="BG39" s="139"/>
      <c r="BH39" s="139"/>
      <c r="BI39" s="21"/>
      <c r="BJ39" s="138"/>
      <c r="BK39" s="139"/>
      <c r="BL39" s="139"/>
      <c r="BM39" s="139"/>
      <c r="BN39" s="21"/>
      <c r="BO39" s="138"/>
      <c r="BP39" s="139"/>
      <c r="BQ39" s="66"/>
      <c r="BR39" s="66"/>
      <c r="BS39" s="1"/>
      <c r="BT39" s="119"/>
      <c r="BU39" s="66"/>
      <c r="BV39" s="66"/>
      <c r="BW39" s="66"/>
      <c r="BY39" s="119"/>
      <c r="BZ39" s="66"/>
      <c r="CA39" s="66"/>
      <c r="CB39" s="66"/>
      <c r="CC39" s="1"/>
      <c r="CD39" s="119"/>
      <c r="CE39" s="66"/>
      <c r="CF39" s="66"/>
      <c r="CG39" s="66"/>
      <c r="CI39" s="119"/>
      <c r="CJ39" s="66"/>
      <c r="CK39" s="66"/>
      <c r="CL39" s="66"/>
      <c r="CM39" s="1"/>
      <c r="CN39" s="119"/>
      <c r="CO39" s="66"/>
      <c r="CP39" s="66"/>
      <c r="CQ39" s="66"/>
      <c r="CS39" s="119"/>
      <c r="CT39" s="66"/>
      <c r="CU39" s="66"/>
      <c r="CV39" s="66"/>
      <c r="CW39" s="1"/>
      <c r="CX39" s="119"/>
      <c r="CY39" s="66"/>
      <c r="CZ39" s="66"/>
      <c r="DA39" s="66"/>
      <c r="DC39" s="119"/>
      <c r="DD39" s="66"/>
      <c r="DE39" s="66"/>
      <c r="DF39" s="66"/>
      <c r="DG39" s="1"/>
    </row>
    <row r="40" spans="1:111" ht="56.25">
      <c r="B40" s="27" t="s">
        <v>81</v>
      </c>
      <c r="C40" s="27" t="s">
        <v>82</v>
      </c>
      <c r="D40" s="27" t="s">
        <v>83</v>
      </c>
      <c r="E40" s="27" t="s">
        <v>84</v>
      </c>
      <c r="F40" s="205" t="s">
        <v>85</v>
      </c>
      <c r="G40" s="27" t="s">
        <v>86</v>
      </c>
      <c r="H40" s="27" t="s">
        <v>87</v>
      </c>
      <c r="I40" s="27" t="s">
        <v>88</v>
      </c>
      <c r="K40" s="195" t="s">
        <v>392</v>
      </c>
      <c r="L40" s="25"/>
      <c r="M40" s="25"/>
      <c r="N40" s="25"/>
      <c r="O40" s="25"/>
      <c r="P40" s="25"/>
      <c r="Q40" s="25"/>
      <c r="R40" s="261" t="s">
        <v>866</v>
      </c>
      <c r="S40" s="190"/>
      <c r="T40" s="190"/>
      <c r="U40" s="190"/>
      <c r="V40" s="192" t="s">
        <v>418</v>
      </c>
      <c r="W40" s="193"/>
      <c r="X40" s="193"/>
      <c r="Y40" s="193"/>
      <c r="Z40" s="192" t="s">
        <v>420</v>
      </c>
      <c r="AA40" s="193"/>
      <c r="AB40" s="193"/>
      <c r="AC40" s="193"/>
      <c r="AD40" s="127"/>
      <c r="AE40" s="128"/>
      <c r="AF40" s="21"/>
      <c r="AG40" s="21"/>
      <c r="AH40" s="21"/>
      <c r="AI40" s="21"/>
      <c r="AJ40" s="21"/>
      <c r="AK40" s="21"/>
      <c r="AL40" s="128"/>
      <c r="AM40" s="21"/>
      <c r="AN40" s="21"/>
      <c r="AO40" s="21"/>
      <c r="AP40" s="21"/>
      <c r="AQ40" s="21"/>
      <c r="AR40" s="21"/>
      <c r="AS40" s="124"/>
      <c r="AT40" s="127"/>
      <c r="AU40" s="21"/>
      <c r="AV40" s="21"/>
      <c r="AW40" s="21"/>
      <c r="AX40" s="21"/>
      <c r="AY40" s="21"/>
      <c r="AZ40" s="21"/>
      <c r="BA40" s="21"/>
      <c r="BB40" s="128"/>
      <c r="BC40" s="21"/>
      <c r="BD40" s="21"/>
      <c r="BE40" s="21"/>
      <c r="BF40" s="21"/>
      <c r="BG40" s="21"/>
      <c r="BH40" s="21"/>
      <c r="BI40" s="124"/>
      <c r="BJ40" s="127"/>
      <c r="BK40" s="21"/>
      <c r="BL40" s="21"/>
      <c r="BM40" s="21"/>
      <c r="BN40" s="21"/>
      <c r="BO40" s="128"/>
      <c r="BP40" s="21"/>
      <c r="BQ40" s="1"/>
      <c r="BR40" s="1"/>
      <c r="BS40" s="54"/>
      <c r="BT40" s="55"/>
      <c r="BU40" s="1"/>
      <c r="BV40" s="1"/>
      <c r="BW40" s="1"/>
      <c r="BX40" s="1"/>
      <c r="BY40" s="56"/>
      <c r="BZ40" s="1"/>
      <c r="CA40" s="1"/>
      <c r="CB40" s="1"/>
      <c r="CC40" s="54"/>
      <c r="CD40" s="55"/>
      <c r="CE40" s="1"/>
      <c r="CF40" s="1"/>
      <c r="CG40" s="1"/>
      <c r="CH40" s="1"/>
      <c r="CI40" s="56"/>
      <c r="CJ40" s="1"/>
      <c r="CK40" s="1"/>
      <c r="CL40" s="1"/>
      <c r="CM40" s="54"/>
      <c r="CN40" s="55"/>
      <c r="CO40" s="1"/>
      <c r="CP40" s="1"/>
      <c r="CQ40" s="1"/>
      <c r="CR40" s="1"/>
      <c r="CS40" s="56"/>
      <c r="CT40" s="1"/>
      <c r="CU40" s="1"/>
      <c r="CV40" s="1"/>
      <c r="CW40" s="54"/>
      <c r="CX40" s="55"/>
      <c r="CY40" s="1"/>
      <c r="CZ40" s="1"/>
      <c r="DA40" s="1"/>
      <c r="DB40" s="1"/>
      <c r="DC40" s="56"/>
      <c r="DD40" s="1"/>
      <c r="DE40" s="1"/>
      <c r="DF40" s="1"/>
      <c r="DG40" s="54"/>
    </row>
    <row r="41" spans="1:111" ht="64.5" thickBot="1">
      <c r="A41" t="s">
        <v>409</v>
      </c>
      <c r="B41" s="45" t="s">
        <v>89</v>
      </c>
      <c r="C41" s="28" t="s">
        <v>90</v>
      </c>
      <c r="D41" s="28" t="s">
        <v>91</v>
      </c>
      <c r="E41" s="28" t="s">
        <v>92</v>
      </c>
      <c r="F41" s="206" t="s">
        <v>93</v>
      </c>
      <c r="G41" s="28" t="s">
        <v>94</v>
      </c>
      <c r="H41" s="28" t="s">
        <v>95</v>
      </c>
      <c r="I41" s="28" t="s">
        <v>96</v>
      </c>
      <c r="J41" s="62" t="s">
        <v>832</v>
      </c>
      <c r="K41" s="196" t="s">
        <v>97</v>
      </c>
      <c r="L41" s="28" t="s">
        <v>98</v>
      </c>
      <c r="M41" s="28" t="s">
        <v>99</v>
      </c>
      <c r="N41" s="28" t="s">
        <v>415</v>
      </c>
      <c r="O41" s="194" t="s">
        <v>417</v>
      </c>
      <c r="P41" s="28" t="s">
        <v>414</v>
      </c>
      <c r="Q41" s="28" t="s">
        <v>416</v>
      </c>
      <c r="R41" s="191">
        <v>2020</v>
      </c>
      <c r="S41" s="191">
        <v>2030</v>
      </c>
      <c r="T41" s="191">
        <v>2040</v>
      </c>
      <c r="U41" s="191">
        <v>2050</v>
      </c>
      <c r="V41" s="194">
        <v>2020</v>
      </c>
      <c r="W41" s="194">
        <v>2030</v>
      </c>
      <c r="X41" s="194">
        <v>2040</v>
      </c>
      <c r="Y41" s="194">
        <v>2050</v>
      </c>
      <c r="Z41" s="194">
        <v>2020</v>
      </c>
      <c r="AA41" s="194">
        <v>2030</v>
      </c>
      <c r="AB41" s="194">
        <v>2040</v>
      </c>
      <c r="AC41" s="194">
        <v>2050</v>
      </c>
      <c r="AD41" s="129"/>
      <c r="AE41" s="130"/>
      <c r="AF41" s="130"/>
      <c r="AG41" s="130"/>
      <c r="AH41" s="130"/>
      <c r="AI41" s="130"/>
      <c r="AJ41" s="130"/>
      <c r="AK41" s="21"/>
      <c r="AL41" s="130"/>
      <c r="AM41" s="130"/>
      <c r="AN41" s="130"/>
      <c r="AO41" s="130"/>
      <c r="AP41" s="130"/>
      <c r="AQ41" s="130"/>
      <c r="AR41" s="130"/>
      <c r="AS41" s="131"/>
      <c r="AT41" s="129"/>
      <c r="AU41" s="130"/>
      <c r="AV41" s="130"/>
      <c r="AW41" s="130"/>
      <c r="AX41" s="130"/>
      <c r="AY41" s="130"/>
      <c r="AZ41" s="130"/>
      <c r="BA41" s="21"/>
      <c r="BB41" s="130"/>
      <c r="BC41" s="130"/>
      <c r="BD41" s="130"/>
      <c r="BE41" s="130"/>
      <c r="BF41" s="130"/>
      <c r="BG41" s="130"/>
      <c r="BH41" s="130"/>
      <c r="BI41" s="131"/>
      <c r="BJ41" s="129"/>
      <c r="BK41" s="130"/>
      <c r="BL41" s="130"/>
      <c r="BM41" s="130"/>
      <c r="BN41" s="21"/>
      <c r="BO41" s="130"/>
      <c r="BP41" s="130"/>
      <c r="BQ41" s="28"/>
      <c r="BR41" s="28"/>
      <c r="BS41" s="58"/>
      <c r="BT41" s="57"/>
      <c r="BU41" s="28"/>
      <c r="BV41" s="28"/>
      <c r="BW41" s="28"/>
      <c r="BX41" s="62"/>
      <c r="BY41" s="28"/>
      <c r="BZ41" s="28"/>
      <c r="CA41" s="28"/>
      <c r="CB41" s="28"/>
      <c r="CC41" s="58"/>
      <c r="CD41" s="143"/>
      <c r="CE41" s="28"/>
      <c r="CF41" s="28"/>
      <c r="CG41" s="28"/>
      <c r="CI41" s="28"/>
      <c r="CJ41" s="28"/>
      <c r="CK41" s="28"/>
      <c r="CL41" s="28"/>
      <c r="CM41" s="58"/>
      <c r="CN41" s="57"/>
      <c r="CO41" s="28"/>
      <c r="CP41" s="28"/>
      <c r="CQ41" s="28"/>
      <c r="CS41" s="28"/>
      <c r="CT41" s="28"/>
      <c r="CU41" s="28"/>
      <c r="CV41" s="28"/>
      <c r="CW41" s="58"/>
      <c r="CX41" s="57"/>
      <c r="CY41" s="28"/>
      <c r="CZ41" s="28"/>
      <c r="DA41" s="28"/>
      <c r="DC41" s="28"/>
      <c r="DD41" s="28"/>
      <c r="DE41" s="28"/>
      <c r="DF41" s="28"/>
      <c r="DG41" s="58"/>
    </row>
    <row r="42" spans="1:111" ht="25.5">
      <c r="B42" s="46" t="s">
        <v>101</v>
      </c>
      <c r="C42" s="29"/>
      <c r="D42" s="29"/>
      <c r="E42" s="29"/>
      <c r="F42" s="207" t="s">
        <v>102</v>
      </c>
      <c r="G42" s="38" t="s">
        <v>103</v>
      </c>
      <c r="H42" s="37" t="s">
        <v>104</v>
      </c>
      <c r="I42" s="39" t="s">
        <v>105</v>
      </c>
      <c r="K42" s="197" t="s">
        <v>106</v>
      </c>
      <c r="L42" s="26" t="s">
        <v>107</v>
      </c>
      <c r="M42" s="26" t="s">
        <v>107</v>
      </c>
      <c r="N42" s="25"/>
      <c r="O42" s="25"/>
      <c r="P42" s="25"/>
      <c r="Q42" s="25"/>
      <c r="R42" s="25"/>
      <c r="S42" s="25"/>
      <c r="T42" s="25"/>
      <c r="U42" s="25"/>
      <c r="V42" s="25"/>
      <c r="W42" s="25"/>
      <c r="X42" s="25"/>
      <c r="Y42" s="25"/>
      <c r="Z42" s="25"/>
      <c r="AA42" s="25"/>
      <c r="AB42" s="25"/>
      <c r="AC42" s="25"/>
      <c r="AD42" s="123"/>
      <c r="AE42" s="21"/>
      <c r="AG42" s="21"/>
      <c r="AH42" s="21"/>
      <c r="AI42" s="21"/>
      <c r="AJ42" s="21"/>
      <c r="AK42" s="21"/>
      <c r="AL42" s="21"/>
      <c r="AM42" s="21"/>
      <c r="AN42" s="21"/>
      <c r="AO42" s="21"/>
      <c r="AP42" s="21"/>
      <c r="AQ42" s="21"/>
      <c r="AR42" s="21"/>
      <c r="AS42" s="124"/>
      <c r="AT42" s="123"/>
      <c r="AU42" s="21"/>
      <c r="AV42" s="21"/>
      <c r="AW42" s="21"/>
      <c r="AX42" s="21"/>
      <c r="AY42" s="21"/>
      <c r="AZ42" s="21"/>
      <c r="BA42" s="21"/>
      <c r="BB42" s="21"/>
      <c r="BC42" s="21"/>
      <c r="BD42" s="21"/>
      <c r="BE42" s="21"/>
      <c r="BF42" s="21"/>
      <c r="BG42" s="21"/>
      <c r="BH42" s="21"/>
      <c r="BI42" s="124"/>
      <c r="BJ42" s="123"/>
      <c r="BK42" s="21"/>
      <c r="BL42" s="21"/>
      <c r="BM42" s="21"/>
      <c r="BN42" s="21"/>
      <c r="BO42" s="21"/>
      <c r="BP42" s="21"/>
      <c r="BQ42" s="1"/>
      <c r="BR42" s="1"/>
      <c r="BS42" s="54"/>
      <c r="BT42" s="53"/>
      <c r="BU42" s="1"/>
      <c r="BV42" s="1"/>
      <c r="BW42" s="1"/>
      <c r="BX42" s="1"/>
      <c r="BY42" s="1"/>
      <c r="BZ42" s="1"/>
      <c r="CA42" s="1"/>
      <c r="CB42" s="1"/>
      <c r="CC42" s="54"/>
      <c r="CD42" s="53"/>
      <c r="CE42" s="1"/>
      <c r="CF42" s="1"/>
      <c r="CG42" s="1"/>
      <c r="CH42" s="1"/>
      <c r="CI42" s="1"/>
      <c r="CJ42" s="1"/>
      <c r="CK42" s="1"/>
      <c r="CL42" s="1"/>
      <c r="CM42" s="54"/>
      <c r="CN42" s="53"/>
      <c r="CO42" s="1"/>
      <c r="CP42" s="1"/>
      <c r="CQ42" s="1"/>
      <c r="CR42" s="1"/>
      <c r="CS42" s="1"/>
      <c r="CT42" s="1"/>
      <c r="CU42" s="1"/>
      <c r="CV42" s="1"/>
      <c r="CW42" s="54"/>
      <c r="CX42" s="53"/>
      <c r="CY42" s="1"/>
      <c r="CZ42" s="1"/>
      <c r="DA42" s="1"/>
      <c r="DB42" s="1"/>
      <c r="DC42" s="1"/>
      <c r="DD42" s="1"/>
      <c r="DE42" s="1"/>
      <c r="DF42" s="1"/>
      <c r="DG42" s="54"/>
    </row>
    <row r="43" spans="1:111">
      <c r="B43" s="47" t="s">
        <v>108</v>
      </c>
      <c r="C43" s="30"/>
      <c r="D43" s="31">
        <v>1</v>
      </c>
      <c r="E43" s="31">
        <f t="shared" ref="E43" si="16">D43+1</f>
        <v>2</v>
      </c>
      <c r="F43" s="208">
        <f>E43+1</f>
        <v>3</v>
      </c>
      <c r="G43" s="31">
        <f t="shared" ref="G43" si="17">F43+1</f>
        <v>4</v>
      </c>
      <c r="H43" s="31">
        <f t="shared" ref="H43" si="18">G43+1</f>
        <v>5</v>
      </c>
      <c r="I43" s="31">
        <f t="shared" ref="I43" si="19">H43+1</f>
        <v>6</v>
      </c>
      <c r="K43" s="198"/>
      <c r="L43" s="118"/>
      <c r="M43" s="118"/>
      <c r="N43" s="25"/>
      <c r="O43" s="25"/>
      <c r="P43" s="25"/>
      <c r="Q43" s="25"/>
      <c r="R43" s="25"/>
      <c r="S43" s="25"/>
      <c r="T43" s="25"/>
      <c r="U43" s="25"/>
      <c r="V43" s="25"/>
      <c r="W43" s="25"/>
      <c r="X43" s="25"/>
      <c r="Y43" s="25"/>
      <c r="Z43" s="25"/>
      <c r="AA43" s="25"/>
      <c r="AB43" s="25"/>
      <c r="AC43" s="25"/>
      <c r="AD43" s="123"/>
      <c r="AE43" s="21"/>
      <c r="AG43" s="21"/>
      <c r="AH43" s="21"/>
      <c r="AI43" s="21"/>
      <c r="AJ43" s="21"/>
      <c r="AK43" s="21"/>
      <c r="AL43" s="21"/>
      <c r="AM43" s="21"/>
      <c r="AN43" s="21"/>
      <c r="AO43" s="21"/>
      <c r="AP43" s="21"/>
      <c r="AQ43" s="21"/>
      <c r="AR43" s="21"/>
      <c r="AS43" s="124"/>
      <c r="AT43" s="123"/>
      <c r="AU43" s="21"/>
      <c r="AV43" s="21"/>
      <c r="AW43" s="21"/>
      <c r="AX43" s="21"/>
      <c r="AY43" s="21"/>
      <c r="AZ43" s="21"/>
      <c r="BA43" s="21"/>
      <c r="BB43" s="21"/>
      <c r="BC43" s="21"/>
      <c r="BD43" s="21"/>
      <c r="BE43" s="21"/>
      <c r="BF43" s="21"/>
      <c r="BG43" s="21"/>
      <c r="BH43" s="21"/>
      <c r="BI43" s="124"/>
      <c r="BJ43" s="123"/>
      <c r="BK43" s="21"/>
      <c r="BL43" s="21"/>
      <c r="BM43" s="21"/>
      <c r="BN43" s="21"/>
      <c r="BO43" s="21"/>
      <c r="BP43" s="21"/>
      <c r="BQ43" s="1"/>
      <c r="BR43" s="1"/>
      <c r="BS43" s="54"/>
      <c r="BT43" s="53"/>
      <c r="BU43" s="1"/>
      <c r="BV43" s="1"/>
      <c r="BW43" s="1"/>
      <c r="BX43" s="1"/>
      <c r="BY43" s="1"/>
      <c r="BZ43" s="1"/>
      <c r="CA43" s="1"/>
      <c r="CB43" s="1"/>
      <c r="CC43" s="54"/>
      <c r="CD43" s="53"/>
      <c r="CE43" s="1"/>
      <c r="CF43" s="1"/>
      <c r="CG43" s="1"/>
      <c r="CH43" s="1"/>
      <c r="CI43" s="1"/>
      <c r="CJ43" s="1"/>
      <c r="CK43" s="1"/>
      <c r="CL43" s="54"/>
      <c r="CM43" s="106"/>
      <c r="CN43" s="107"/>
      <c r="CW43" s="106"/>
      <c r="CX43" s="107"/>
      <c r="DG43" s="106"/>
    </row>
    <row r="44" spans="1:111" ht="15">
      <c r="B44" s="108" t="s">
        <v>114</v>
      </c>
      <c r="C44" s="30"/>
      <c r="D44" s="48"/>
      <c r="E44" s="48"/>
      <c r="F44" s="209"/>
      <c r="G44" s="29"/>
      <c r="H44" s="29"/>
      <c r="I44" s="29"/>
      <c r="K44" s="199"/>
      <c r="L44" s="13"/>
      <c r="M44" s="186"/>
      <c r="N44" s="145"/>
      <c r="O44" s="145"/>
      <c r="U44" s="145"/>
      <c r="V44" s="145"/>
      <c r="W44" s="145"/>
      <c r="X44" s="145"/>
      <c r="Y44" s="145"/>
      <c r="Z44" s="145"/>
      <c r="AA44" s="145"/>
      <c r="AB44" s="145"/>
      <c r="AC44" s="145"/>
      <c r="AD44" s="21"/>
      <c r="AE44" s="21"/>
      <c r="AG44" s="21"/>
      <c r="AH44" s="21"/>
      <c r="AI44" s="21"/>
      <c r="AJ44" s="21"/>
      <c r="AK44" s="21"/>
      <c r="AL44" s="21"/>
      <c r="AM44" s="21"/>
      <c r="AN44" s="21"/>
      <c r="AO44" s="21"/>
      <c r="AP44" s="21"/>
      <c r="AQ44" s="21"/>
      <c r="AR44" s="21"/>
      <c r="AS44" s="124"/>
      <c r="AT44" s="123"/>
      <c r="AU44" s="21"/>
      <c r="AV44" s="21"/>
      <c r="AW44" s="21"/>
      <c r="AX44" s="21"/>
      <c r="AY44" s="21"/>
      <c r="AZ44" s="21"/>
      <c r="BA44" s="21"/>
      <c r="BB44" s="21"/>
      <c r="BC44" s="21"/>
      <c r="BD44" s="21"/>
      <c r="BE44" s="21"/>
      <c r="BF44" s="21"/>
      <c r="BG44" s="21"/>
      <c r="BH44" s="21"/>
      <c r="BI44" s="124"/>
      <c r="BJ44" s="123"/>
      <c r="BK44" s="21"/>
      <c r="BL44" s="21"/>
      <c r="BM44" s="21"/>
      <c r="BN44" s="21"/>
      <c r="BO44" s="21"/>
      <c r="BP44" s="21"/>
      <c r="BQ44" s="1"/>
      <c r="BR44" s="1"/>
      <c r="BS44" s="54"/>
      <c r="BT44" s="53"/>
      <c r="BU44" s="1"/>
      <c r="BV44" s="1"/>
      <c r="BX44" s="1"/>
      <c r="BY44" s="1"/>
      <c r="BZ44" s="1"/>
      <c r="CA44" s="1"/>
      <c r="CB44" s="1"/>
      <c r="CC44" s="54"/>
      <c r="CD44" s="53"/>
      <c r="CE44" s="1"/>
      <c r="CF44" s="1"/>
      <c r="CH44" s="1"/>
      <c r="CI44" s="1"/>
      <c r="CJ44" s="1"/>
      <c r="CK44" s="1"/>
      <c r="CL44" s="54"/>
      <c r="CM44" s="106"/>
      <c r="CN44" s="107"/>
      <c r="CW44" s="106"/>
      <c r="CX44" s="107"/>
      <c r="DG44" s="106"/>
    </row>
    <row r="45" spans="1:111" ht="15.75">
      <c r="A45" s="163" t="s">
        <v>327</v>
      </c>
      <c r="B45" s="162" t="s">
        <v>318</v>
      </c>
      <c r="C45" s="163" t="s">
        <v>171</v>
      </c>
      <c r="D45" s="164" t="s">
        <v>236</v>
      </c>
      <c r="E45" s="164" t="s">
        <v>249</v>
      </c>
      <c r="F45" s="203">
        <f>SUMIF($B$8:$B$11,$C45,$C$8:$C$11)</f>
        <v>1</v>
      </c>
      <c r="G45" s="203">
        <f>SUMIF(AFA!$B$3:$AJ$3,E45,AFA!$B$4:$AJ$4)</f>
        <v>0.34810000000000002</v>
      </c>
      <c r="H45" s="203">
        <f>SUMIF($B$8:$B$11,$C45,$D$8:$D$11)</f>
        <v>1</v>
      </c>
      <c r="I45" s="165" t="s">
        <v>582</v>
      </c>
      <c r="J45" s="166"/>
      <c r="K45" s="200">
        <f>K25</f>
        <v>0.19964000000000001</v>
      </c>
      <c r="L45" s="165">
        <f>(SUMIFS(Energy_Balance!I$55:I$160,Energy_Balance!$C$55:$C$160,D45,Energy_Balance!$D$55:$D$160,E45))*K45</f>
        <v>1.0268694711948596</v>
      </c>
      <c r="M45" s="165">
        <f>F45*L45</f>
        <v>1.0268694711948596</v>
      </c>
      <c r="N45" s="187">
        <f>(SUMIFS(Energy_Balance!I$55:I$160,Energy_Balance!$C$55:$C$160,D45,Energy_Balance!$D$55:$D$160,E45))*SUM(K45:K47)</f>
        <v>5.1436058464979943</v>
      </c>
      <c r="O45" s="187">
        <f>($F45*K45+$F46*K46+$F47*K47)/SUM(K45:K47)</f>
        <v>3.2658054255294111</v>
      </c>
      <c r="P45" s="187">
        <f>N45*O45</f>
        <v>16.798015880277948</v>
      </c>
      <c r="Q45" s="188">
        <f>IFERROR((P45/$G45)," ")</f>
        <v>48.256293824412374</v>
      </c>
      <c r="R45" s="188">
        <f>R25</f>
        <v>19.96</v>
      </c>
      <c r="S45" s="188">
        <v>1.7999999999999999E-2</v>
      </c>
      <c r="T45" s="188">
        <v>0</v>
      </c>
      <c r="U45" s="188">
        <v>0</v>
      </c>
      <c r="V45" s="187">
        <f>($F45*R45+$F46*R46+$F47*R47)/SUM(R45:R47)</f>
        <v>3.5618185364705877</v>
      </c>
      <c r="W45" s="187">
        <f t="shared" ref="W45" si="20">($F45*S45+$F46*S46+$F47*S47)/SUM(S45:S47)</f>
        <v>5.0822262431372547</v>
      </c>
      <c r="X45" s="187">
        <f t="shared" ref="X45" si="21">($F45*T45+$F46*T46+$F47*T47)/SUM(T45:T47)</f>
        <v>5.3019294117647053</v>
      </c>
      <c r="Y45" s="187">
        <f t="shared" ref="Y45" si="22">($F45*U45+$F46*U46+$F47*U47)/SUM(U45:U47)</f>
        <v>5.3019294117647053</v>
      </c>
      <c r="Z45" s="187" t="s">
        <v>582</v>
      </c>
      <c r="AA45" s="187" t="s">
        <v>582</v>
      </c>
      <c r="AB45" s="187" t="s">
        <v>582</v>
      </c>
      <c r="AC45" s="187" t="s">
        <v>582</v>
      </c>
      <c r="AD45" s="168"/>
      <c r="AE45" s="169"/>
      <c r="AG45" s="169"/>
      <c r="AH45" s="169"/>
      <c r="AI45" s="169"/>
      <c r="AJ45" s="169"/>
      <c r="AK45" s="170"/>
      <c r="AL45" s="171"/>
      <c r="AM45" s="169"/>
      <c r="AN45" s="169"/>
      <c r="AO45" s="169"/>
      <c r="AP45" s="169"/>
      <c r="AQ45" s="169"/>
      <c r="AR45" s="169"/>
      <c r="AS45" s="172"/>
      <c r="AT45" s="173"/>
      <c r="AU45" s="169"/>
      <c r="AV45" s="169"/>
      <c r="AW45" s="169"/>
      <c r="AX45" s="169"/>
      <c r="AY45" s="169"/>
      <c r="AZ45" s="169"/>
      <c r="BA45" s="170"/>
      <c r="BB45" s="171"/>
      <c r="BC45" s="169"/>
      <c r="BD45" s="169"/>
      <c r="BE45" s="169"/>
      <c r="BF45" s="169"/>
      <c r="BG45" s="169"/>
      <c r="BH45" s="169"/>
      <c r="BI45" s="172"/>
      <c r="BJ45" s="173"/>
      <c r="BK45" s="169"/>
      <c r="BL45" s="169"/>
      <c r="BM45" s="169"/>
      <c r="BN45" s="170"/>
      <c r="BO45" s="171"/>
      <c r="BP45" s="169"/>
      <c r="BQ45" s="169"/>
      <c r="BR45" s="169"/>
      <c r="BS45" s="175"/>
      <c r="BT45" s="176"/>
      <c r="BU45" s="179"/>
      <c r="BV45" s="179"/>
      <c r="BW45" s="179"/>
      <c r="BX45" s="166"/>
      <c r="BY45" s="177"/>
      <c r="BZ45" s="174"/>
      <c r="CA45" s="174"/>
      <c r="CB45" s="174"/>
      <c r="CC45" s="175"/>
      <c r="CD45" s="176"/>
      <c r="CE45" s="174"/>
      <c r="CF45" s="174"/>
      <c r="CG45" s="174"/>
      <c r="CH45" s="166"/>
      <c r="CI45" s="177"/>
      <c r="CJ45" s="174"/>
      <c r="CK45" s="174"/>
      <c r="CL45" s="174"/>
      <c r="CM45" s="175"/>
      <c r="CN45" s="176"/>
      <c r="CO45" s="174"/>
      <c r="CP45" s="174"/>
      <c r="CQ45" s="174"/>
      <c r="CR45" s="166"/>
      <c r="CS45" s="177"/>
      <c r="CT45" s="174"/>
      <c r="CU45" s="174"/>
      <c r="CV45" s="174"/>
      <c r="CW45" s="175"/>
      <c r="CX45" s="176"/>
      <c r="CY45" s="174"/>
      <c r="CZ45" s="174"/>
      <c r="DA45" s="174"/>
      <c r="DB45" s="166"/>
      <c r="DC45" s="177"/>
      <c r="DD45" s="174"/>
      <c r="DE45" s="174"/>
      <c r="DF45" s="174"/>
      <c r="DG45" s="175"/>
    </row>
    <row r="46" spans="1:111" ht="15.75">
      <c r="A46" s="166" t="s">
        <v>410</v>
      </c>
      <c r="B46" s="162" t="s">
        <v>319</v>
      </c>
      <c r="C46" s="163" t="s">
        <v>56</v>
      </c>
      <c r="D46" s="164" t="s">
        <v>236</v>
      </c>
      <c r="E46" s="164" t="s">
        <v>249</v>
      </c>
      <c r="F46" s="203">
        <f>SUMIF($B$8:$B$11,$C46,$C$8:$C$11)</f>
        <v>3.7555333333333332</v>
      </c>
      <c r="G46" s="203">
        <f>SUMIF(AFA!$B$3:$AJ$3,E46,AFA!$B$4:$AJ$4)</f>
        <v>0.34810000000000002</v>
      </c>
      <c r="H46" s="203">
        <f>SUMIF($B$8:$B$11,$C46,$D$8:$D$11)</f>
        <v>4.9000000000000004</v>
      </c>
      <c r="I46" s="165" t="s">
        <v>582</v>
      </c>
      <c r="J46" s="166"/>
      <c r="K46" s="200">
        <f t="shared" ref="K46:K47" si="23">K26</f>
        <v>0.76131000000000004</v>
      </c>
      <c r="L46" s="165">
        <f>(SUMIFS(Energy_Balance!I$55:I$160,Energy_Balance!$C$55:$C$160,D46,Energy_Balance!$D$55:$D$160,E46))*K46</f>
        <v>3.9158785669973883</v>
      </c>
      <c r="M46" s="165">
        <f>F46*L46</f>
        <v>14.706212487644258</v>
      </c>
      <c r="N46" s="167"/>
      <c r="O46" s="167"/>
      <c r="P46" s="167"/>
      <c r="Q46" s="167"/>
      <c r="R46" s="188">
        <f t="shared" ref="R46:R47" si="24">R26</f>
        <v>57</v>
      </c>
      <c r="S46" s="188">
        <v>9.1999999999999998E-2</v>
      </c>
      <c r="T46" s="188">
        <v>0</v>
      </c>
      <c r="U46" s="188">
        <v>0</v>
      </c>
      <c r="V46" s="167"/>
      <c r="W46" s="167"/>
      <c r="X46" s="167"/>
      <c r="Y46" s="167"/>
      <c r="Z46" s="167"/>
      <c r="AA46" s="167"/>
      <c r="AB46" s="167"/>
      <c r="AC46" s="167"/>
      <c r="AD46" s="168"/>
      <c r="AE46" s="169"/>
      <c r="AG46" s="169"/>
      <c r="AH46" s="169"/>
      <c r="AI46" s="169"/>
      <c r="AJ46" s="169"/>
      <c r="AK46" s="170"/>
      <c r="AL46" s="171"/>
      <c r="AM46" s="169"/>
      <c r="AN46" s="169"/>
      <c r="AO46" s="169"/>
      <c r="AP46" s="169"/>
      <c r="AQ46" s="169"/>
      <c r="AR46" s="169"/>
      <c r="AS46" s="172"/>
      <c r="AT46" s="173"/>
      <c r="AU46" s="169"/>
      <c r="AV46" s="169"/>
      <c r="AW46" s="169"/>
      <c r="AX46" s="169"/>
      <c r="AY46" s="169"/>
      <c r="AZ46" s="169"/>
      <c r="BA46" s="170"/>
      <c r="BB46" s="171"/>
      <c r="BC46" s="169"/>
      <c r="BD46" s="169"/>
      <c r="BE46" s="169"/>
      <c r="BF46" s="169"/>
      <c r="BG46" s="169"/>
      <c r="BH46" s="169"/>
      <c r="BI46" s="172"/>
      <c r="BJ46" s="173"/>
      <c r="BK46" s="169"/>
      <c r="BL46" s="169"/>
      <c r="BM46" s="169"/>
      <c r="BN46" s="170"/>
      <c r="BO46" s="171"/>
      <c r="BP46" s="169"/>
      <c r="BQ46" s="169"/>
      <c r="BR46" s="169"/>
      <c r="BS46" s="175"/>
      <c r="BT46" s="176"/>
      <c r="BU46" s="179"/>
      <c r="BV46" s="179"/>
      <c r="BW46" s="179"/>
      <c r="BX46" s="166"/>
      <c r="BY46" s="177"/>
      <c r="BZ46" s="174"/>
      <c r="CA46" s="174"/>
      <c r="CB46" s="174"/>
      <c r="CC46" s="175"/>
      <c r="CD46" s="176"/>
      <c r="CE46" s="174"/>
      <c r="CF46" s="174"/>
      <c r="CG46" s="174"/>
      <c r="CH46" s="166"/>
      <c r="CI46" s="177"/>
      <c r="CJ46" s="174"/>
      <c r="CK46" s="174"/>
      <c r="CL46" s="174"/>
      <c r="CM46" s="175"/>
      <c r="CN46" s="176"/>
      <c r="CO46" s="174"/>
      <c r="CP46" s="174"/>
      <c r="CQ46" s="174"/>
      <c r="CR46" s="166"/>
      <c r="CS46" s="177"/>
      <c r="CT46" s="174"/>
      <c r="CU46" s="174"/>
      <c r="CV46" s="174"/>
      <c r="CW46" s="175"/>
      <c r="CX46" s="176"/>
      <c r="CY46" s="174"/>
      <c r="CZ46" s="174"/>
      <c r="DA46" s="174"/>
      <c r="DB46" s="166"/>
      <c r="DC46" s="177"/>
      <c r="DD46" s="174"/>
      <c r="DE46" s="174"/>
      <c r="DF46" s="174"/>
      <c r="DG46" s="175"/>
    </row>
    <row r="47" spans="1:111" ht="15.75">
      <c r="A47" s="166" t="s">
        <v>410</v>
      </c>
      <c r="B47" s="162" t="s">
        <v>320</v>
      </c>
      <c r="C47" s="163" t="s">
        <v>113</v>
      </c>
      <c r="D47" s="164" t="s">
        <v>236</v>
      </c>
      <c r="E47" s="164" t="s">
        <v>249</v>
      </c>
      <c r="F47" s="203">
        <f>SUMIF($B$8:$B$11,$C47,$C$8:$C$11)</f>
        <v>5.3019294117647053</v>
      </c>
      <c r="G47" s="203">
        <f>SUMIF(AFA!$B$3:$AJ$3,E47,AFA!$B$4:$AJ$4)</f>
        <v>0.34810000000000002</v>
      </c>
      <c r="H47" s="203">
        <f>SUMIF($B$8:$B$11,$C47,$D$8:$D$11)</f>
        <v>9.6</v>
      </c>
      <c r="I47" s="165" t="s">
        <v>582</v>
      </c>
      <c r="J47" s="166"/>
      <c r="K47" s="200">
        <f t="shared" si="23"/>
        <v>3.9049999999999918E-2</v>
      </c>
      <c r="L47" s="165">
        <f>(SUMIFS(Energy_Balance!I$55:I$160,Energy_Balance!$C$55:$C$160,D47,Energy_Balance!$D$55:$D$160,E47))*K47</f>
        <v>0.20085780830574626</v>
      </c>
      <c r="M47" s="165">
        <f>F47*L47</f>
        <v>1.0649339214388331</v>
      </c>
      <c r="N47" s="167"/>
      <c r="O47" s="167"/>
      <c r="P47" s="167"/>
      <c r="Q47" s="167"/>
      <c r="R47" s="188">
        <f t="shared" si="24"/>
        <v>23.039999999999992</v>
      </c>
      <c r="S47" s="188">
        <f>1-S45-S46</f>
        <v>0.89</v>
      </c>
      <c r="T47" s="188">
        <v>1</v>
      </c>
      <c r="U47" s="188">
        <v>1</v>
      </c>
      <c r="V47" s="167"/>
      <c r="W47" s="167"/>
      <c r="X47" s="167"/>
      <c r="Y47" s="167"/>
      <c r="Z47" s="167"/>
      <c r="AA47" s="167"/>
      <c r="AB47" s="167"/>
      <c r="AC47" s="167"/>
      <c r="AD47" s="168"/>
      <c r="AE47" s="169"/>
      <c r="AG47" s="169"/>
      <c r="AH47" s="169"/>
      <c r="AI47" s="169"/>
      <c r="AJ47" s="169"/>
      <c r="AK47" s="170"/>
      <c r="AL47" s="171"/>
      <c r="AM47" s="169"/>
      <c r="AN47" s="169"/>
      <c r="AO47" s="169"/>
      <c r="AP47" s="169"/>
      <c r="AQ47" s="169"/>
      <c r="AR47" s="169"/>
      <c r="AS47" s="172"/>
      <c r="AT47" s="173"/>
      <c r="AU47" s="169"/>
      <c r="AV47" s="169"/>
      <c r="AW47" s="169"/>
      <c r="AX47" s="169"/>
      <c r="AY47" s="169"/>
      <c r="AZ47" s="169"/>
      <c r="BA47" s="170"/>
      <c r="BB47" s="171"/>
      <c r="BC47" s="169"/>
      <c r="BD47" s="169"/>
      <c r="BE47" s="169"/>
      <c r="BF47" s="169"/>
      <c r="BG47" s="169"/>
      <c r="BH47" s="169"/>
      <c r="BI47" s="172"/>
      <c r="BJ47" s="173"/>
      <c r="BK47" s="169"/>
      <c r="BL47" s="169"/>
      <c r="BM47" s="169"/>
      <c r="BN47" s="170"/>
      <c r="BO47" s="171"/>
      <c r="BP47" s="169"/>
      <c r="BQ47" s="169"/>
      <c r="BR47" s="169"/>
      <c r="BS47" s="175"/>
      <c r="BT47" s="176"/>
      <c r="BU47" s="179"/>
      <c r="BV47" s="179"/>
      <c r="BW47" s="179"/>
      <c r="BX47" s="166"/>
      <c r="BY47" s="177"/>
      <c r="BZ47" s="174"/>
      <c r="CA47" s="174"/>
      <c r="CB47" s="174"/>
      <c r="CC47" s="175"/>
      <c r="CD47" s="176"/>
      <c r="CE47" s="174"/>
      <c r="CF47" s="174"/>
      <c r="CG47" s="174"/>
      <c r="CH47" s="166"/>
      <c r="CI47" s="177"/>
      <c r="CJ47" s="174"/>
      <c r="CK47" s="174"/>
      <c r="CL47" s="174"/>
      <c r="CM47" s="175"/>
      <c r="CN47" s="176"/>
      <c r="CO47" s="174"/>
      <c r="CP47" s="174"/>
      <c r="CQ47" s="174"/>
      <c r="CR47" s="166"/>
      <c r="CS47" s="177"/>
      <c r="CT47" s="174"/>
      <c r="CU47" s="174"/>
      <c r="CV47" s="174"/>
      <c r="CW47" s="175"/>
      <c r="CX47" s="176"/>
      <c r="CY47" s="174"/>
      <c r="CZ47" s="174"/>
      <c r="DA47" s="174"/>
      <c r="DB47" s="166"/>
      <c r="DC47" s="177"/>
      <c r="DD47" s="174"/>
      <c r="DE47" s="174"/>
      <c r="DF47" s="174"/>
      <c r="DG47" s="175"/>
    </row>
    <row r="48" spans="1:111">
      <c r="B48" s="108" t="s">
        <v>120</v>
      </c>
      <c r="C48" s="30" t="s">
        <v>328</v>
      </c>
      <c r="D48" s="43"/>
      <c r="E48" s="43"/>
      <c r="F48" s="203" t="str">
        <f>IF($D48="","",SUMIF(#REF!,$B48,#REF!))</f>
        <v/>
      </c>
      <c r="G48" s="203" t="str">
        <f>IF($D48="","",SUMIF(#REF!,$B48,#REF!))</f>
        <v/>
      </c>
      <c r="H48" s="203" t="str">
        <f>IF($D48="","",SUMIF(#REF!,$B48,#REF!))</f>
        <v/>
      </c>
      <c r="I48" s="40" t="str">
        <f>IFERROR((M48/G48*(1+#REF!))," ")</f>
        <v xml:space="preserve"> </v>
      </c>
      <c r="K48" s="201"/>
      <c r="L48" s="40"/>
      <c r="M48" s="40"/>
      <c r="AD48" s="134"/>
      <c r="AE48" s="135"/>
      <c r="AG48" s="135"/>
      <c r="AH48" s="135"/>
      <c r="AI48" s="135"/>
      <c r="AJ48" s="135"/>
      <c r="AK48" s="21"/>
      <c r="AL48" s="136"/>
      <c r="AM48" s="135"/>
      <c r="AN48" s="135"/>
      <c r="AO48" s="135"/>
      <c r="AP48" s="135"/>
      <c r="AQ48" s="135"/>
      <c r="AR48" s="135"/>
      <c r="AS48" s="124"/>
      <c r="AT48" s="137"/>
      <c r="AU48" s="139"/>
      <c r="AV48" s="139"/>
      <c r="AW48" s="139"/>
      <c r="AX48" s="139"/>
      <c r="AY48" s="139"/>
      <c r="AZ48" s="139"/>
      <c r="BA48" s="21"/>
      <c r="BB48" s="138"/>
      <c r="BC48" s="139"/>
      <c r="BD48" s="139"/>
      <c r="BE48" s="139"/>
      <c r="BF48" s="139"/>
      <c r="BG48" s="139"/>
      <c r="BH48" s="139"/>
      <c r="BI48" s="124"/>
      <c r="BJ48" s="137"/>
      <c r="BK48" s="139"/>
      <c r="BL48" s="139"/>
      <c r="BM48" s="139"/>
      <c r="BN48" s="21"/>
      <c r="BO48" s="138"/>
      <c r="BP48" s="139"/>
      <c r="BQ48" s="66"/>
      <c r="BR48" s="66"/>
      <c r="BS48" s="54"/>
      <c r="BT48" s="144"/>
      <c r="BU48" s="66"/>
      <c r="BV48" s="66"/>
      <c r="BW48" s="66"/>
      <c r="BY48" s="119"/>
      <c r="BZ48" s="66"/>
      <c r="CA48" s="66"/>
      <c r="CB48" s="66"/>
      <c r="CC48" s="54"/>
      <c r="CD48" s="144"/>
      <c r="CE48" s="66"/>
      <c r="CF48" s="66"/>
      <c r="CG48" s="66"/>
      <c r="CI48" s="119"/>
      <c r="CJ48" s="66"/>
      <c r="CK48" s="66"/>
      <c r="CL48" s="66"/>
      <c r="CM48" s="54"/>
      <c r="CN48" s="144"/>
      <c r="CO48" s="66"/>
      <c r="CP48" s="66"/>
      <c r="CQ48" s="66"/>
      <c r="CS48" s="119"/>
      <c r="CT48" s="66"/>
      <c r="CU48" s="66"/>
      <c r="CV48" s="66"/>
      <c r="CW48" s="54"/>
      <c r="CX48" s="144"/>
      <c r="CY48" s="66"/>
      <c r="CZ48" s="66"/>
      <c r="DA48" s="66"/>
      <c r="DC48" s="119"/>
      <c r="DD48" s="66"/>
      <c r="DE48" s="66"/>
      <c r="DF48" s="66"/>
      <c r="DG48" s="54"/>
    </row>
    <row r="49" spans="1:111" ht="15.75">
      <c r="A49" s="163" t="s">
        <v>348</v>
      </c>
      <c r="B49" s="162" t="s">
        <v>321</v>
      </c>
      <c r="C49" s="163" t="s">
        <v>171</v>
      </c>
      <c r="D49" s="164" t="s">
        <v>236</v>
      </c>
      <c r="E49" s="43" t="s">
        <v>255</v>
      </c>
      <c r="F49" s="203">
        <f>SUMIF($B$8:$B$11,$C49,$C$8:$C$11)</f>
        <v>1</v>
      </c>
      <c r="G49" s="203">
        <f>SUMIF(AFA!$B$3:$AJ$3,E49,AFA!$B$4:$AJ$4)</f>
        <v>0.34810000000000002</v>
      </c>
      <c r="H49" s="203">
        <f>SUMIF($B$8:$B$11,$C49,$D$8:$D$11)</f>
        <v>1</v>
      </c>
      <c r="I49" s="165" t="s">
        <v>582</v>
      </c>
      <c r="J49" s="166"/>
      <c r="K49" s="201">
        <f>K45</f>
        <v>0.19964000000000001</v>
      </c>
      <c r="L49" s="165">
        <f>(SUMIFS(Energy_Balance!I$55:I$160,Energy_Balance!$C$55:$C$160,D49,Energy_Balance!$D$55:$D$160,E49))*K49</f>
        <v>1.0560685420660481</v>
      </c>
      <c r="M49" s="165">
        <f>F49*L49</f>
        <v>1.0560685420660481</v>
      </c>
      <c r="N49" s="187">
        <f>(SUMIFS(Energy_Balance!I$55:I$160,Energy_Balance!$C$55:$C$160,D49,Energy_Balance!$D$55:$D$160,E49))*SUM(K49:K51)</f>
        <v>5.2898644663697052</v>
      </c>
      <c r="O49" s="187">
        <f>($F49*K49+$F50*K50+$F51*K51)/SUM(K49:K51)</f>
        <v>3.2658054255294111</v>
      </c>
      <c r="P49" s="187">
        <f>N49*O49</f>
        <v>17.275668074585425</v>
      </c>
      <c r="Q49" s="188">
        <f>IFERROR((P49/$G49)," ")</f>
        <v>49.628463299584674</v>
      </c>
      <c r="R49" s="188">
        <v>0</v>
      </c>
      <c r="S49" s="188">
        <f>S45</f>
        <v>1.7999999999999999E-2</v>
      </c>
      <c r="T49" s="188">
        <v>0</v>
      </c>
      <c r="U49" s="188">
        <v>0</v>
      </c>
      <c r="V49" s="187">
        <f>($F49*R49+$F50*R50+$F51*R51)/SUM(R49:R51)</f>
        <v>4.0648125490196083</v>
      </c>
      <c r="W49" s="187">
        <f t="shared" ref="W49" si="25">($F49*S49+$F50*S50+$F51*S51)/SUM(S49:S51)</f>
        <v>5.0822262431372547</v>
      </c>
      <c r="X49" s="187">
        <f t="shared" ref="X49" si="26">($F49*T49+$F50*T50+$F51*T51)/SUM(T49:T51)</f>
        <v>5.3019294117647053</v>
      </c>
      <c r="Y49" s="187">
        <f t="shared" ref="Y49" si="27">($F49*U49+$F50*U50+$F51*U51)/SUM(U49:U51)</f>
        <v>5.3019294117647053</v>
      </c>
      <c r="Z49" s="187" t="s">
        <v>582</v>
      </c>
      <c r="AA49" s="187" t="s">
        <v>582</v>
      </c>
      <c r="AB49" s="187" t="s">
        <v>582</v>
      </c>
      <c r="AC49" s="187" t="s">
        <v>582</v>
      </c>
      <c r="AD49" s="168"/>
      <c r="AE49" s="169"/>
      <c r="AG49" s="169"/>
      <c r="AH49" s="169"/>
      <c r="AI49" s="169"/>
      <c r="AJ49" s="169"/>
      <c r="AK49" s="170"/>
      <c r="AL49" s="171"/>
      <c r="AM49" s="169"/>
      <c r="AN49" s="169"/>
      <c r="AO49" s="169"/>
      <c r="AP49" s="169"/>
      <c r="AQ49" s="169"/>
      <c r="AR49" s="169"/>
      <c r="AS49" s="172"/>
      <c r="AT49" s="173"/>
      <c r="AU49" s="169"/>
      <c r="AV49" s="169"/>
      <c r="AW49" s="169"/>
      <c r="AX49" s="169"/>
      <c r="AY49" s="169"/>
      <c r="AZ49" s="169"/>
      <c r="BA49" s="170"/>
      <c r="BB49" s="171"/>
      <c r="BC49" s="169"/>
      <c r="BD49" s="169"/>
      <c r="BE49" s="169"/>
      <c r="BF49" s="169"/>
      <c r="BG49" s="169"/>
      <c r="BH49" s="169"/>
      <c r="BI49" s="172"/>
      <c r="BJ49" s="173"/>
      <c r="BK49" s="169"/>
      <c r="BL49" s="169"/>
      <c r="BM49" s="169"/>
      <c r="BN49" s="170"/>
      <c r="BO49" s="171"/>
      <c r="BP49" s="169"/>
      <c r="BQ49" s="174"/>
      <c r="BR49" s="174"/>
      <c r="BS49" s="175"/>
      <c r="BT49" s="176"/>
      <c r="BU49" s="174"/>
      <c r="BV49" s="174"/>
      <c r="BW49" s="174"/>
      <c r="BX49" s="166"/>
      <c r="BY49" s="177"/>
      <c r="BZ49" s="174"/>
      <c r="CA49" s="174"/>
      <c r="CB49" s="174"/>
      <c r="CC49" s="175"/>
      <c r="CD49" s="176"/>
      <c r="CE49" s="174"/>
      <c r="CF49" s="174"/>
      <c r="CG49" s="174"/>
      <c r="CH49" s="166"/>
      <c r="CI49" s="177"/>
      <c r="CJ49" s="174"/>
      <c r="CK49" s="174"/>
      <c r="CL49" s="174"/>
      <c r="CM49" s="175"/>
      <c r="CN49" s="176"/>
      <c r="CO49" s="174"/>
      <c r="CP49" s="174"/>
      <c r="CQ49" s="174"/>
      <c r="CR49" s="166"/>
      <c r="CS49" s="177"/>
      <c r="CT49" s="174"/>
      <c r="CU49" s="174"/>
      <c r="CV49" s="174"/>
      <c r="CW49" s="175"/>
      <c r="CX49" s="176"/>
      <c r="CY49" s="174"/>
      <c r="CZ49" s="174"/>
      <c r="DA49" s="174"/>
      <c r="DB49" s="166"/>
      <c r="DC49" s="177"/>
      <c r="DD49" s="174"/>
      <c r="DE49" s="174"/>
      <c r="DF49" s="174"/>
      <c r="DG49" s="175"/>
    </row>
    <row r="50" spans="1:111" ht="15.75">
      <c r="A50" s="166"/>
      <c r="B50" s="162" t="s">
        <v>322</v>
      </c>
      <c r="C50" s="163" t="s">
        <v>56</v>
      </c>
      <c r="D50" s="164" t="s">
        <v>236</v>
      </c>
      <c r="E50" s="43" t="s">
        <v>255</v>
      </c>
      <c r="F50" s="203">
        <f t="shared" ref="F50:F51" si="28">SUMIF($B$8:$B$11,$C50,$C$8:$C$11)</f>
        <v>3.7555333333333332</v>
      </c>
      <c r="G50" s="203">
        <f>SUMIF(AFA!$B$3:$AJ$3,E50,AFA!$B$4:$AJ$4)</f>
        <v>0.34810000000000002</v>
      </c>
      <c r="H50" s="203">
        <f>SUMIF($B$8:$B$11,$C50,$D$8:$D$11)</f>
        <v>4.9000000000000004</v>
      </c>
      <c r="I50" s="165" t="s">
        <v>582</v>
      </c>
      <c r="J50" s="166"/>
      <c r="K50" s="201">
        <f t="shared" ref="K50:K51" si="29">K46</f>
        <v>0.76131000000000004</v>
      </c>
      <c r="L50" s="165">
        <f>(SUMIFS(Energy_Balance!I$55:I$160,Energy_Balance!$C$55:$C$160,D50,Energy_Balance!$D$55:$D$160,E50))*K50</f>
        <v>4.0272267168919207</v>
      </c>
      <c r="M50" s="165">
        <f>F50*L50</f>
        <v>15.12438417617817</v>
      </c>
      <c r="N50" s="167"/>
      <c r="O50" s="167"/>
      <c r="P50" s="167"/>
      <c r="Q50" s="167"/>
      <c r="R50" s="188">
        <v>0.8</v>
      </c>
      <c r="S50" s="188">
        <f t="shared" ref="S50:S51" si="30">S46</f>
        <v>9.1999999999999998E-2</v>
      </c>
      <c r="T50" s="188">
        <v>0</v>
      </c>
      <c r="U50" s="188">
        <v>0</v>
      </c>
      <c r="V50" s="167"/>
      <c r="W50" s="167"/>
      <c r="X50" s="167"/>
      <c r="Y50" s="167"/>
      <c r="Z50" s="167"/>
      <c r="AA50" s="167"/>
      <c r="AB50" s="167"/>
      <c r="AC50" s="167"/>
      <c r="AD50" s="168"/>
      <c r="AE50" s="169"/>
      <c r="AG50" s="169"/>
      <c r="AH50" s="169"/>
      <c r="AI50" s="169"/>
      <c r="AJ50" s="169"/>
      <c r="AK50" s="170"/>
      <c r="AL50" s="171"/>
      <c r="AM50" s="169"/>
      <c r="AN50" s="169"/>
      <c r="AO50" s="169"/>
      <c r="AP50" s="169"/>
      <c r="AQ50" s="169"/>
      <c r="AR50" s="169"/>
      <c r="AS50" s="172"/>
      <c r="AT50" s="173"/>
      <c r="AU50" s="169"/>
      <c r="AV50" s="169"/>
      <c r="AW50" s="169"/>
      <c r="AX50" s="169"/>
      <c r="AY50" s="169"/>
      <c r="AZ50" s="169"/>
      <c r="BA50" s="170"/>
      <c r="BB50" s="171"/>
      <c r="BC50" s="169"/>
      <c r="BD50" s="169"/>
      <c r="BE50" s="169"/>
      <c r="BF50" s="169"/>
      <c r="BG50" s="169"/>
      <c r="BH50" s="169"/>
      <c r="BI50" s="172"/>
      <c r="BJ50" s="173"/>
      <c r="BK50" s="169"/>
      <c r="BL50" s="169"/>
      <c r="BM50" s="169"/>
      <c r="BN50" s="170"/>
      <c r="BO50" s="171"/>
      <c r="BP50" s="169"/>
      <c r="BQ50" s="169"/>
      <c r="BR50" s="169"/>
      <c r="BS50" s="178"/>
      <c r="BT50" s="176"/>
      <c r="BU50" s="174"/>
      <c r="BV50" s="174"/>
      <c r="BW50" s="174"/>
      <c r="BX50" s="166"/>
      <c r="BY50" s="177"/>
      <c r="BZ50" s="174"/>
      <c r="CA50" s="174"/>
      <c r="CB50" s="174"/>
      <c r="CC50" s="175"/>
      <c r="CD50" s="176"/>
      <c r="CE50" s="174"/>
      <c r="CF50" s="174"/>
      <c r="CG50" s="174"/>
      <c r="CH50" s="166"/>
      <c r="CI50" s="177"/>
      <c r="CJ50" s="174"/>
      <c r="CK50" s="174"/>
      <c r="CL50" s="174"/>
      <c r="CM50" s="175"/>
      <c r="CN50" s="176"/>
      <c r="CO50" s="174"/>
      <c r="CP50" s="174"/>
      <c r="CQ50" s="174"/>
      <c r="CR50" s="166"/>
      <c r="CS50" s="177"/>
      <c r="CT50" s="174"/>
      <c r="CU50" s="174"/>
      <c r="CV50" s="174"/>
      <c r="CW50" s="175"/>
      <c r="CX50" s="176"/>
      <c r="CY50" s="174"/>
      <c r="CZ50" s="174"/>
      <c r="DA50" s="174"/>
      <c r="DB50" s="166"/>
      <c r="DC50" s="177"/>
      <c r="DD50" s="174"/>
      <c r="DE50" s="174"/>
      <c r="DF50" s="174"/>
      <c r="DG50" s="175"/>
    </row>
    <row r="51" spans="1:111" ht="15.75">
      <c r="A51" s="166"/>
      <c r="B51" s="162" t="s">
        <v>323</v>
      </c>
      <c r="C51" s="163" t="s">
        <v>113</v>
      </c>
      <c r="D51" s="164" t="s">
        <v>236</v>
      </c>
      <c r="E51" s="43" t="s">
        <v>255</v>
      </c>
      <c r="F51" s="203">
        <f t="shared" si="28"/>
        <v>5.3019294117647053</v>
      </c>
      <c r="G51" s="203">
        <f>SUMIF(AFA!$B$3:$AJ$3,E51,AFA!$B$4:$AJ$4)</f>
        <v>0.34810000000000002</v>
      </c>
      <c r="H51" s="203">
        <f>SUMIF($B$8:$B$11,$C51,$D$8:$D$11)</f>
        <v>9.6</v>
      </c>
      <c r="I51" s="165" t="s">
        <v>582</v>
      </c>
      <c r="J51" s="166"/>
      <c r="K51" s="201">
        <f t="shared" si="29"/>
        <v>3.9049999999999918E-2</v>
      </c>
      <c r="L51" s="165">
        <f>(SUMIFS(Energy_Balance!I$55:I$160,Energy_Balance!$C$55:$C$160,D51,Energy_Balance!$D$55:$D$160,E51))*K51</f>
        <v>0.20656920741173657</v>
      </c>
      <c r="M51" s="165">
        <f>F51*L51</f>
        <v>1.0952153563412099</v>
      </c>
      <c r="N51" s="167"/>
      <c r="O51" s="167"/>
      <c r="P51" s="167"/>
      <c r="Q51" s="167"/>
      <c r="R51" s="188">
        <v>0.2</v>
      </c>
      <c r="S51" s="188">
        <f t="shared" si="30"/>
        <v>0.89</v>
      </c>
      <c r="T51" s="188">
        <v>1</v>
      </c>
      <c r="U51" s="188">
        <v>1</v>
      </c>
      <c r="V51" s="167"/>
      <c r="W51" s="167"/>
      <c r="X51" s="167"/>
      <c r="Y51" s="167"/>
      <c r="Z51" s="167"/>
      <c r="AA51" s="167"/>
      <c r="AB51" s="167"/>
      <c r="AC51" s="167"/>
      <c r="AD51" s="168"/>
      <c r="AE51" s="169"/>
      <c r="AG51" s="169"/>
      <c r="AH51" s="169"/>
      <c r="AI51" s="169"/>
      <c r="AJ51" s="169"/>
      <c r="AK51" s="170"/>
      <c r="AL51" s="171"/>
      <c r="AM51" s="169"/>
      <c r="AN51" s="169"/>
      <c r="AO51" s="169"/>
      <c r="AP51" s="169"/>
      <c r="AQ51" s="169"/>
      <c r="AR51" s="169"/>
      <c r="AS51" s="172"/>
      <c r="AT51" s="173"/>
      <c r="AU51" s="169"/>
      <c r="AV51" s="169"/>
      <c r="AW51" s="169"/>
      <c r="AX51" s="169"/>
      <c r="AY51" s="169"/>
      <c r="AZ51" s="169"/>
      <c r="BA51" s="170"/>
      <c r="BB51" s="171"/>
      <c r="BC51" s="169"/>
      <c r="BD51" s="169"/>
      <c r="BE51" s="169"/>
      <c r="BF51" s="169"/>
      <c r="BG51" s="169"/>
      <c r="BH51" s="169"/>
      <c r="BI51" s="172"/>
      <c r="BJ51" s="173"/>
      <c r="BK51" s="169"/>
      <c r="BL51" s="169"/>
      <c r="BM51" s="169"/>
      <c r="BN51" s="170"/>
      <c r="BO51" s="171"/>
      <c r="BP51" s="169"/>
      <c r="BQ51" s="169"/>
      <c r="BR51" s="169"/>
      <c r="BS51" s="175"/>
      <c r="BT51" s="176"/>
      <c r="BU51" s="174"/>
      <c r="BV51" s="174"/>
      <c r="BW51" s="174"/>
      <c r="BX51" s="166"/>
      <c r="BY51" s="177"/>
      <c r="BZ51" s="174"/>
      <c r="CA51" s="174"/>
      <c r="CB51" s="174"/>
      <c r="CC51" s="175"/>
      <c r="CD51" s="176"/>
      <c r="CE51" s="174"/>
      <c r="CF51" s="174"/>
      <c r="CG51" s="174"/>
      <c r="CH51" s="166"/>
      <c r="CI51" s="177"/>
      <c r="CJ51" s="174"/>
      <c r="CK51" s="174"/>
      <c r="CL51" s="174"/>
      <c r="CM51" s="175"/>
      <c r="CN51" s="176"/>
      <c r="CO51" s="174"/>
      <c r="CP51" s="174"/>
      <c r="CQ51" s="174"/>
      <c r="CR51" s="166"/>
      <c r="CS51" s="177"/>
      <c r="CT51" s="174"/>
      <c r="CU51" s="174"/>
      <c r="CV51" s="174"/>
      <c r="CW51" s="175"/>
      <c r="CX51" s="176"/>
      <c r="CY51" s="174"/>
      <c r="CZ51" s="174"/>
      <c r="DA51" s="174"/>
      <c r="DB51" s="166"/>
      <c r="DC51" s="177"/>
      <c r="DD51" s="174"/>
      <c r="DE51" s="174"/>
      <c r="DF51" s="174"/>
      <c r="DG51" s="175"/>
    </row>
    <row r="52" spans="1:111">
      <c r="B52" s="108" t="s">
        <v>121</v>
      </c>
      <c r="C52" s="30" t="s">
        <v>328</v>
      </c>
      <c r="D52" s="43"/>
      <c r="E52" s="43"/>
      <c r="F52" s="203" t="str">
        <f>IF($D52="","",SUMIF(#REF!,$B52,#REF!))</f>
        <v/>
      </c>
      <c r="G52" s="203" t="str">
        <f>IF($D52="","",SUMIF(#REF!,$B52,#REF!))</f>
        <v/>
      </c>
      <c r="H52" s="203" t="str">
        <f>IF($D52="","",SUMIF(#REF!,$B52,#REF!))</f>
        <v/>
      </c>
      <c r="I52" s="40" t="str">
        <f>IFERROR((M52/G52*(1+#REF!))," ")</f>
        <v xml:space="preserve"> </v>
      </c>
      <c r="K52" s="201"/>
      <c r="L52" s="40"/>
      <c r="M52" s="40"/>
      <c r="AD52" s="134"/>
      <c r="AE52" s="139"/>
      <c r="AG52" s="139"/>
      <c r="AH52" s="139"/>
      <c r="AI52" s="139"/>
      <c r="AJ52" s="139"/>
      <c r="AK52" s="21"/>
      <c r="AL52" s="138"/>
      <c r="AM52" s="139"/>
      <c r="AN52" s="139"/>
      <c r="AO52" s="139"/>
      <c r="AP52" s="139"/>
      <c r="AQ52" s="139"/>
      <c r="AR52" s="139"/>
      <c r="AS52" s="124"/>
      <c r="AT52" s="137"/>
      <c r="AU52" s="139"/>
      <c r="AV52" s="139"/>
      <c r="AW52" s="139"/>
      <c r="AX52" s="139"/>
      <c r="AY52" s="139"/>
      <c r="AZ52" s="139"/>
      <c r="BA52" s="21"/>
      <c r="BB52" s="138"/>
      <c r="BC52" s="139"/>
      <c r="BD52" s="139"/>
      <c r="BE52" s="139"/>
      <c r="BF52" s="139"/>
      <c r="BG52" s="139"/>
      <c r="BH52" s="139"/>
      <c r="BI52" s="124"/>
      <c r="BJ52" s="137"/>
      <c r="BK52" s="139"/>
      <c r="BL52" s="139"/>
      <c r="BM52" s="139"/>
      <c r="BN52" s="21"/>
      <c r="BO52" s="138"/>
      <c r="BP52" s="139"/>
      <c r="BQ52" s="139"/>
      <c r="BR52" s="139"/>
      <c r="BS52" s="54"/>
      <c r="BT52" s="144"/>
      <c r="BU52" s="66"/>
      <c r="BV52" s="66"/>
      <c r="BW52" s="66"/>
      <c r="BY52" s="119"/>
      <c r="BZ52" s="66"/>
      <c r="CA52" s="66"/>
      <c r="CB52" s="66"/>
      <c r="CC52" s="54"/>
      <c r="CD52" s="144"/>
      <c r="CE52" s="66"/>
      <c r="CF52" s="66"/>
      <c r="CG52" s="66"/>
      <c r="CI52" s="119"/>
      <c r="CJ52" s="66"/>
      <c r="CK52" s="66"/>
      <c r="CL52" s="66"/>
      <c r="CM52" s="54"/>
      <c r="CN52" s="144"/>
      <c r="CO52" s="66"/>
      <c r="CP52" s="66"/>
      <c r="CQ52" s="66"/>
      <c r="CS52" s="119"/>
      <c r="CT52" s="66"/>
      <c r="CU52" s="66"/>
      <c r="CV52" s="66"/>
      <c r="CW52" s="54"/>
      <c r="CX52" s="144"/>
      <c r="CY52" s="66"/>
      <c r="CZ52" s="66"/>
      <c r="DA52" s="66"/>
      <c r="DC52" s="119"/>
      <c r="DD52" s="66"/>
      <c r="DE52" s="66"/>
      <c r="DF52" s="66"/>
      <c r="DG52" s="54"/>
    </row>
    <row r="53" spans="1:111" ht="15.75">
      <c r="A53" s="163" t="s">
        <v>369</v>
      </c>
      <c r="B53" s="162" t="s">
        <v>324</v>
      </c>
      <c r="C53" s="163" t="s">
        <v>171</v>
      </c>
      <c r="D53" s="164" t="s">
        <v>236</v>
      </c>
      <c r="E53" s="164" t="s">
        <v>261</v>
      </c>
      <c r="F53" s="203">
        <f>SUMIF($B$8:$B$11,$C53,$C$8:$C$11)</f>
        <v>1</v>
      </c>
      <c r="G53" s="203">
        <f>SUMIF(AFA!$B$3:$AJ$3,E53,AFA!$B$4:$AJ$4)</f>
        <v>0.38019999999999998</v>
      </c>
      <c r="H53" s="203">
        <f>SUMIF($B$8:$B$11,$C53,$D$8:$D$11)</f>
        <v>1</v>
      </c>
      <c r="I53" s="165" t="s">
        <v>582</v>
      </c>
      <c r="J53" s="166"/>
      <c r="K53" s="200">
        <f>K49</f>
        <v>0.19964000000000001</v>
      </c>
      <c r="L53" s="165">
        <f>(SUMIFS(Energy_Balance!I$55:I$160,Energy_Balance!$C$55:$C$160,D53,Energy_Balance!$D$55:$D$160,E53))*K53</f>
        <v>1.3832536329290315</v>
      </c>
      <c r="M53" s="165">
        <f>F53*L53</f>
        <v>1.3832536329290315</v>
      </c>
      <c r="N53" s="187">
        <f>(SUMIFS(Energy_Balance!I$55:I$160,Energy_Balance!$C$55:$C$160,D53,Energy_Balance!$D$55:$D$160,E53))*SUM(K53:K55)</f>
        <v>6.928739896458783</v>
      </c>
      <c r="O53" s="187">
        <f>($F53*K53+$F54*K54+$F55*K55)/SUM(K53:K55)</f>
        <v>3.2658054255294111</v>
      </c>
      <c r="P53" s="187">
        <f>N53*O53</f>
        <v>22.627916345937184</v>
      </c>
      <c r="Q53" s="188">
        <f>IFERROR((P53/$G53)," ")</f>
        <v>59.515824160802694</v>
      </c>
      <c r="R53" s="188">
        <v>0</v>
      </c>
      <c r="S53" s="188">
        <f>S49</f>
        <v>1.7999999999999999E-2</v>
      </c>
      <c r="T53" s="188">
        <v>0</v>
      </c>
      <c r="U53" s="188">
        <v>0</v>
      </c>
      <c r="V53" s="187">
        <f>($F53*R53+$F54*R54+$F55*R55)/SUM(R53:R55)</f>
        <v>4.2194521568627446</v>
      </c>
      <c r="W53" s="187">
        <f t="shared" ref="W53" si="31">($F53*S53+$F54*S54+$F55*S55)/SUM(S53:S55)</f>
        <v>5.0822262431372547</v>
      </c>
      <c r="X53" s="187">
        <f t="shared" ref="X53" si="32">($F53*T53+$F54*T54+$F55*T55)/SUM(T53:T55)</f>
        <v>5.3019294117647053</v>
      </c>
      <c r="Y53" s="187">
        <f t="shared" ref="Y53" si="33">($F53*U53+$F54*U54+$F55*U55)/SUM(U53:U55)</f>
        <v>5.3019294117647053</v>
      </c>
      <c r="Z53" s="187"/>
      <c r="AA53" s="187"/>
      <c r="AB53" s="187"/>
      <c r="AC53" s="187"/>
      <c r="AD53" s="168"/>
      <c r="AE53" s="169"/>
      <c r="AG53" s="169"/>
      <c r="AH53" s="169"/>
      <c r="AI53" s="169"/>
      <c r="AJ53" s="169"/>
      <c r="AK53" s="170"/>
      <c r="AL53" s="171"/>
      <c r="AM53" s="169"/>
      <c r="AN53" s="169"/>
      <c r="AO53" s="169"/>
      <c r="AP53" s="169"/>
      <c r="AQ53" s="169"/>
      <c r="AR53" s="169"/>
      <c r="AS53" s="172"/>
      <c r="AT53" s="173"/>
      <c r="AU53" s="169"/>
      <c r="AV53" s="169"/>
      <c r="AW53" s="169"/>
      <c r="AX53" s="169"/>
      <c r="AY53" s="169"/>
      <c r="AZ53" s="169"/>
      <c r="BA53" s="170"/>
      <c r="BB53" s="171"/>
      <c r="BC53" s="169"/>
      <c r="BD53" s="169"/>
      <c r="BE53" s="169"/>
      <c r="BF53" s="169"/>
      <c r="BG53" s="169"/>
      <c r="BH53" s="169"/>
      <c r="BI53" s="172"/>
      <c r="BJ53" s="173"/>
      <c r="BK53" s="169"/>
      <c r="BL53" s="169"/>
      <c r="BM53" s="169"/>
      <c r="BN53" s="170"/>
      <c r="BO53" s="171"/>
      <c r="BP53" s="169"/>
      <c r="BQ53" s="169"/>
      <c r="BR53" s="169"/>
      <c r="BS53" s="175"/>
      <c r="BT53" s="176"/>
      <c r="BU53" s="174"/>
      <c r="BV53" s="174"/>
      <c r="BW53" s="174"/>
      <c r="BX53" s="166"/>
      <c r="BY53" s="177"/>
      <c r="BZ53" s="174"/>
      <c r="CA53" s="174"/>
      <c r="CB53" s="174"/>
      <c r="CC53" s="175"/>
      <c r="CD53" s="176"/>
      <c r="CE53" s="174"/>
      <c r="CF53" s="174"/>
      <c r="CG53" s="174"/>
      <c r="CH53" s="166"/>
      <c r="CI53" s="177"/>
      <c r="CJ53" s="174"/>
      <c r="CK53" s="174"/>
      <c r="CL53" s="174"/>
      <c r="CM53" s="175"/>
      <c r="CN53" s="176"/>
      <c r="CO53" s="174"/>
      <c r="CP53" s="174"/>
      <c r="CQ53" s="174"/>
      <c r="CR53" s="166"/>
      <c r="CS53" s="177"/>
      <c r="CT53" s="174"/>
      <c r="CU53" s="174"/>
      <c r="CV53" s="174"/>
      <c r="CW53" s="175"/>
      <c r="CX53" s="176"/>
      <c r="CY53" s="174"/>
      <c r="CZ53" s="174"/>
      <c r="DA53" s="174"/>
      <c r="DB53" s="166"/>
      <c r="DC53" s="177"/>
      <c r="DD53" s="174"/>
      <c r="DE53" s="174"/>
      <c r="DF53" s="174"/>
      <c r="DG53" s="175"/>
    </row>
    <row r="54" spans="1:111" ht="15.75">
      <c r="A54" s="166"/>
      <c r="B54" s="162" t="s">
        <v>325</v>
      </c>
      <c r="C54" s="163" t="s">
        <v>56</v>
      </c>
      <c r="D54" s="164" t="s">
        <v>236</v>
      </c>
      <c r="E54" s="164" t="s">
        <v>261</v>
      </c>
      <c r="F54" s="203">
        <f t="shared" ref="F54:F55" si="34">SUMIF($B$8:$B$11,$C54,$C$8:$C$11)</f>
        <v>3.7555333333333332</v>
      </c>
      <c r="G54" s="203">
        <f>SUMIF(AFA!$B$3:$AJ$3,E54,AFA!$B$4:$AJ$4)</f>
        <v>0.38019999999999998</v>
      </c>
      <c r="H54" s="203">
        <f>SUMIF($B$8:$B$11,$C54,$D$8:$D$11)</f>
        <v>4.9000000000000004</v>
      </c>
      <c r="I54" s="165" t="s">
        <v>582</v>
      </c>
      <c r="J54" s="166"/>
      <c r="K54" s="200">
        <f t="shared" ref="K54:K55" si="35">K50</f>
        <v>0.76131000000000004</v>
      </c>
      <c r="L54" s="165">
        <f>(SUMIFS(Energy_Balance!I$55:I$160,Energy_Balance!$C$55:$C$160,D54,Energy_Balance!$D$55:$D$160,E54))*K54</f>
        <v>5.2749189705730366</v>
      </c>
      <c r="M54" s="165">
        <f>F54*L54</f>
        <v>19.810134024619391</v>
      </c>
      <c r="N54" s="167"/>
      <c r="O54" s="167"/>
      <c r="P54" s="167"/>
      <c r="Q54" s="167"/>
      <c r="R54" s="188">
        <v>0.7</v>
      </c>
      <c r="S54" s="188">
        <f t="shared" ref="S54:S55" si="36">S50</f>
        <v>9.1999999999999998E-2</v>
      </c>
      <c r="T54" s="188">
        <v>0</v>
      </c>
      <c r="U54" s="188">
        <v>0</v>
      </c>
      <c r="V54" s="167"/>
      <c r="W54" s="167"/>
      <c r="X54" s="167"/>
      <c r="Y54" s="167"/>
      <c r="Z54" s="167"/>
      <c r="AA54" s="167"/>
      <c r="AB54" s="167"/>
      <c r="AC54" s="167"/>
      <c r="AD54" s="168"/>
      <c r="AE54" s="169"/>
      <c r="AG54" s="169"/>
      <c r="AH54" s="169"/>
      <c r="AI54" s="169"/>
      <c r="AJ54" s="169"/>
      <c r="AK54" s="170"/>
      <c r="AL54" s="171"/>
      <c r="AM54" s="169"/>
      <c r="AN54" s="169"/>
      <c r="AO54" s="169"/>
      <c r="AP54" s="169"/>
      <c r="AQ54" s="169"/>
      <c r="AR54" s="169"/>
      <c r="AS54" s="172"/>
      <c r="AT54" s="173"/>
      <c r="AU54" s="169"/>
      <c r="AV54" s="169"/>
      <c r="AW54" s="169"/>
      <c r="AX54" s="169"/>
      <c r="AY54" s="169"/>
      <c r="AZ54" s="169"/>
      <c r="BA54" s="170"/>
      <c r="BB54" s="171"/>
      <c r="BC54" s="169"/>
      <c r="BD54" s="169"/>
      <c r="BE54" s="169"/>
      <c r="BF54" s="169"/>
      <c r="BG54" s="169"/>
      <c r="BH54" s="169"/>
      <c r="BI54" s="172"/>
      <c r="BJ54" s="173"/>
      <c r="BK54" s="169"/>
      <c r="BL54" s="169"/>
      <c r="BM54" s="169"/>
      <c r="BN54" s="170"/>
      <c r="BO54" s="171"/>
      <c r="BP54" s="169"/>
      <c r="BQ54" s="169"/>
      <c r="BR54" s="169"/>
      <c r="BS54" s="175"/>
      <c r="BT54" s="176"/>
      <c r="BU54" s="174"/>
      <c r="BV54" s="174"/>
      <c r="BW54" s="174"/>
      <c r="BX54" s="166"/>
      <c r="BY54" s="177"/>
      <c r="BZ54" s="174"/>
      <c r="CA54" s="174"/>
      <c r="CB54" s="174"/>
      <c r="CC54" s="175"/>
      <c r="CD54" s="176"/>
      <c r="CE54" s="174"/>
      <c r="CF54" s="174"/>
      <c r="CG54" s="174"/>
      <c r="CH54" s="166"/>
      <c r="CI54" s="177"/>
      <c r="CJ54" s="174"/>
      <c r="CK54" s="174"/>
      <c r="CL54" s="174"/>
      <c r="CM54" s="175"/>
      <c r="CN54" s="176"/>
      <c r="CO54" s="174"/>
      <c r="CP54" s="174"/>
      <c r="CQ54" s="174"/>
      <c r="CR54" s="166"/>
      <c r="CS54" s="177"/>
      <c r="CT54" s="174"/>
      <c r="CU54" s="174"/>
      <c r="CV54" s="174"/>
      <c r="CW54" s="175"/>
      <c r="CX54" s="176"/>
      <c r="CY54" s="174"/>
      <c r="CZ54" s="174"/>
      <c r="DA54" s="174"/>
      <c r="DB54" s="166"/>
      <c r="DC54" s="177"/>
      <c r="DD54" s="174"/>
      <c r="DE54" s="174"/>
      <c r="DF54" s="174"/>
      <c r="DG54" s="175"/>
    </row>
    <row r="55" spans="1:111" ht="15.75">
      <c r="A55" s="166"/>
      <c r="B55" s="162" t="s">
        <v>326</v>
      </c>
      <c r="C55" s="163" t="s">
        <v>113</v>
      </c>
      <c r="D55" s="164" t="s">
        <v>236</v>
      </c>
      <c r="E55" s="164" t="s">
        <v>261</v>
      </c>
      <c r="F55" s="203">
        <f t="shared" si="34"/>
        <v>5.3019294117647053</v>
      </c>
      <c r="G55" s="203">
        <f>SUMIF(AFA!$B$3:$AJ$3,E55,AFA!$B$4:$AJ$4)</f>
        <v>0.38019999999999998</v>
      </c>
      <c r="H55" s="203">
        <f>SUMIF($B$8:$B$11,$C55,$D$8:$D$11)</f>
        <v>9.6</v>
      </c>
      <c r="I55" s="165" t="s">
        <v>582</v>
      </c>
      <c r="J55" s="166"/>
      <c r="K55" s="200">
        <f t="shared" si="35"/>
        <v>3.9049999999999918E-2</v>
      </c>
      <c r="L55" s="165">
        <f>(SUMIFS(Energy_Balance!I$55:I$160,Energy_Balance!$C$55:$C$160,D55,Energy_Balance!$D$55:$D$160,E55))*K55</f>
        <v>0.27056729295671489</v>
      </c>
      <c r="M55" s="165">
        <f>F55*L55</f>
        <v>1.434528688388764</v>
      </c>
      <c r="N55" s="167"/>
      <c r="O55" s="167"/>
      <c r="P55" s="167"/>
      <c r="Q55" s="167"/>
      <c r="R55" s="188">
        <v>0.3</v>
      </c>
      <c r="S55" s="188">
        <f t="shared" si="36"/>
        <v>0.89</v>
      </c>
      <c r="T55" s="188">
        <v>1</v>
      </c>
      <c r="U55" s="188">
        <v>1</v>
      </c>
      <c r="V55" s="167"/>
      <c r="W55" s="167"/>
      <c r="X55" s="167"/>
      <c r="Y55" s="167"/>
      <c r="Z55" s="167"/>
      <c r="AA55" s="167"/>
      <c r="AB55" s="167"/>
      <c r="AC55" s="167"/>
      <c r="AD55" s="168"/>
      <c r="AE55" s="169"/>
      <c r="AG55" s="169"/>
      <c r="AH55" s="169"/>
      <c r="AI55" s="169"/>
      <c r="AJ55" s="169"/>
      <c r="AK55" s="170"/>
      <c r="AL55" s="171"/>
      <c r="AM55" s="169"/>
      <c r="AN55" s="169"/>
      <c r="AO55" s="169"/>
      <c r="AP55" s="169"/>
      <c r="AQ55" s="169"/>
      <c r="AR55" s="169"/>
      <c r="AS55" s="172"/>
      <c r="AT55" s="173"/>
      <c r="AU55" s="169"/>
      <c r="AV55" s="169"/>
      <c r="AW55" s="169"/>
      <c r="AX55" s="169"/>
      <c r="AY55" s="169"/>
      <c r="AZ55" s="169"/>
      <c r="BA55" s="170"/>
      <c r="BB55" s="171"/>
      <c r="BC55" s="169"/>
      <c r="BD55" s="169"/>
      <c r="BE55" s="169"/>
      <c r="BF55" s="169"/>
      <c r="BG55" s="169"/>
      <c r="BH55" s="169"/>
      <c r="BI55" s="172"/>
      <c r="BJ55" s="173"/>
      <c r="BK55" s="169"/>
      <c r="BL55" s="169"/>
      <c r="BM55" s="169"/>
      <c r="BN55" s="170"/>
      <c r="BO55" s="171"/>
      <c r="BP55" s="169"/>
      <c r="BQ55" s="169"/>
      <c r="BR55" s="169"/>
      <c r="BS55" s="175"/>
      <c r="BT55" s="176"/>
      <c r="BU55" s="174"/>
      <c r="BV55" s="174"/>
      <c r="BW55" s="174"/>
      <c r="BX55" s="166"/>
      <c r="BY55" s="177"/>
      <c r="BZ55" s="174"/>
      <c r="CA55" s="174"/>
      <c r="CB55" s="174"/>
      <c r="CC55" s="175"/>
      <c r="CD55" s="176"/>
      <c r="CE55" s="174"/>
      <c r="CF55" s="174"/>
      <c r="CG55" s="174"/>
      <c r="CH55" s="166"/>
      <c r="CI55" s="177"/>
      <c r="CJ55" s="174"/>
      <c r="CK55" s="174"/>
      <c r="CL55" s="174"/>
      <c r="CM55" s="175"/>
      <c r="CN55" s="176"/>
      <c r="CO55" s="174"/>
      <c r="CP55" s="174"/>
      <c r="CQ55" s="174"/>
      <c r="CR55" s="166"/>
      <c r="CS55" s="177"/>
      <c r="CT55" s="174"/>
      <c r="CU55" s="174"/>
      <c r="CV55" s="174"/>
      <c r="CW55" s="175"/>
      <c r="CX55" s="176"/>
      <c r="CY55" s="174"/>
      <c r="CZ55" s="174"/>
      <c r="DA55" s="174"/>
      <c r="DB55" s="166"/>
      <c r="DC55" s="177"/>
      <c r="DD55" s="174"/>
      <c r="DE55" s="174"/>
      <c r="DF55" s="174"/>
      <c r="DG55" s="175"/>
    </row>
  </sheetData>
  <mergeCells count="8">
    <mergeCell ref="G6:I6"/>
    <mergeCell ref="M6:O6"/>
    <mergeCell ref="B18:C18"/>
    <mergeCell ref="B15:C15"/>
    <mergeCell ref="B16:C16"/>
    <mergeCell ref="B17:C17"/>
    <mergeCell ref="B13:C13"/>
    <mergeCell ref="B14:C14"/>
  </mergeCells>
  <conditionalFormatting sqref="L36:L39">
    <cfRule type="expression" dxfId="55" priority="14">
      <formula>$L$97&lt;&gt;#REF!</formula>
    </cfRule>
    <cfRule type="expression" dxfId="54" priority="15">
      <formula>$L$97=#REF!</formula>
    </cfRule>
  </conditionalFormatting>
  <pageMargins left="0.7" right="0.7" top="0.75" bottom="0.75" header="0.3" footer="0.3"/>
  <pageSetup paperSize="0"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4BD29-0A78-B149-A44D-3BD2444B536C}">
  <dimension ref="A1:R103"/>
  <sheetViews>
    <sheetView workbookViewId="0">
      <selection activeCell="L8" sqref="L8"/>
    </sheetView>
  </sheetViews>
  <sheetFormatPr defaultColWidth="10.85546875" defaultRowHeight="12.75"/>
  <sheetData>
    <row r="1" spans="1:18">
      <c r="A1">
        <v>1</v>
      </c>
      <c r="B1">
        <v>2</v>
      </c>
      <c r="C1">
        <v>3</v>
      </c>
      <c r="D1">
        <v>4</v>
      </c>
      <c r="E1">
        <v>5</v>
      </c>
      <c r="F1">
        <v>6</v>
      </c>
      <c r="G1">
        <v>7</v>
      </c>
      <c r="H1">
        <v>8</v>
      </c>
      <c r="I1">
        <v>9</v>
      </c>
      <c r="J1">
        <v>10</v>
      </c>
      <c r="K1">
        <v>11</v>
      </c>
      <c r="L1">
        <v>12</v>
      </c>
      <c r="M1">
        <v>13</v>
      </c>
      <c r="N1">
        <v>14</v>
      </c>
      <c r="O1">
        <v>15</v>
      </c>
      <c r="P1">
        <v>16</v>
      </c>
      <c r="Q1">
        <v>17</v>
      </c>
      <c r="R1">
        <v>1</v>
      </c>
    </row>
    <row r="2" spans="1:18">
      <c r="A2" s="5" t="s">
        <v>93</v>
      </c>
      <c r="B2" s="1" t="s">
        <v>902</v>
      </c>
      <c r="R2">
        <v>2</v>
      </c>
    </row>
    <row r="3" spans="1:18">
      <c r="A3" s="1" t="s">
        <v>867</v>
      </c>
      <c r="R3">
        <v>3</v>
      </c>
    </row>
    <row r="4" spans="1:18">
      <c r="A4" s="1" t="s">
        <v>868</v>
      </c>
      <c r="I4" s="1" t="s">
        <v>903</v>
      </c>
      <c r="R4">
        <v>4</v>
      </c>
    </row>
    <row r="5" spans="1:18">
      <c r="R5">
        <v>5</v>
      </c>
    </row>
    <row r="6" spans="1:18" ht="16.5" thickBot="1">
      <c r="A6" s="434"/>
      <c r="B6" s="435">
        <v>2020</v>
      </c>
      <c r="C6" s="435">
        <v>2030</v>
      </c>
      <c r="D6" s="435">
        <v>2040</v>
      </c>
      <c r="E6" s="1" t="s">
        <v>877</v>
      </c>
      <c r="L6" s="1" t="s">
        <v>878</v>
      </c>
      <c r="R6">
        <v>6</v>
      </c>
    </row>
    <row r="7" spans="1:18" ht="16.5" thickBot="1">
      <c r="A7" s="436" t="s">
        <v>869</v>
      </c>
      <c r="B7" s="437"/>
      <c r="C7" s="437"/>
      <c r="D7" s="437"/>
      <c r="L7">
        <v>2017</v>
      </c>
      <c r="M7">
        <v>2020</v>
      </c>
      <c r="N7">
        <v>2030</v>
      </c>
      <c r="O7">
        <v>2040</v>
      </c>
      <c r="P7">
        <v>2050</v>
      </c>
      <c r="R7">
        <v>7</v>
      </c>
    </row>
    <row r="8" spans="1:18" ht="15">
      <c r="A8" s="438" t="s">
        <v>870</v>
      </c>
      <c r="B8" s="439">
        <v>0.99</v>
      </c>
      <c r="C8" s="439">
        <v>0.94</v>
      </c>
      <c r="D8" s="439">
        <v>0.93</v>
      </c>
      <c r="I8" s="1" t="str">
        <f>A8</f>
        <v xml:space="preserve">   Cooking</v>
      </c>
      <c r="K8" s="1" t="s">
        <v>250</v>
      </c>
      <c r="L8" s="3">
        <v>0.8</v>
      </c>
      <c r="M8">
        <f>(1/B8)*$L8</f>
        <v>0.80808080808080818</v>
      </c>
      <c r="N8">
        <f t="shared" ref="N8:O11" si="0">(1/C8)*$L8</f>
        <v>0.85106382978723405</v>
      </c>
      <c r="O8">
        <f t="shared" si="0"/>
        <v>0.86021505376344087</v>
      </c>
      <c r="P8">
        <f>O8</f>
        <v>0.86021505376344087</v>
      </c>
      <c r="R8">
        <v>8</v>
      </c>
    </row>
    <row r="9" spans="1:18" ht="15">
      <c r="A9" s="438" t="s">
        <v>871</v>
      </c>
      <c r="B9" s="439">
        <v>0.99</v>
      </c>
      <c r="C9" s="439">
        <v>0.94</v>
      </c>
      <c r="D9" s="439">
        <v>0.9</v>
      </c>
      <c r="I9" s="1" t="str">
        <f>A9</f>
        <v xml:space="preserve">   Other appliances</v>
      </c>
      <c r="K9" s="1" t="s">
        <v>254</v>
      </c>
      <c r="L9">
        <v>0.8</v>
      </c>
      <c r="M9">
        <f t="shared" ref="M9:M11" si="1">(1/B9)*$L9</f>
        <v>0.80808080808080818</v>
      </c>
      <c r="N9">
        <f t="shared" si="0"/>
        <v>0.85106382978723405</v>
      </c>
      <c r="O9">
        <f t="shared" si="0"/>
        <v>0.88888888888888895</v>
      </c>
      <c r="P9">
        <f t="shared" ref="P9:P23" si="2">O9</f>
        <v>0.88888888888888895</v>
      </c>
      <c r="R9">
        <v>9</v>
      </c>
    </row>
    <row r="10" spans="1:18" ht="15">
      <c r="A10" s="438" t="s">
        <v>872</v>
      </c>
      <c r="B10" s="439">
        <v>0.86</v>
      </c>
      <c r="C10" s="439">
        <v>0.53</v>
      </c>
      <c r="D10" s="439">
        <v>0.49</v>
      </c>
      <c r="I10" s="1" t="str">
        <f>A10</f>
        <v xml:space="preserve">   Refrigeration</v>
      </c>
      <c r="K10" s="1" t="s">
        <v>253</v>
      </c>
      <c r="L10">
        <v>0.4</v>
      </c>
      <c r="M10">
        <f t="shared" si="1"/>
        <v>0.46511627906976749</v>
      </c>
      <c r="N10">
        <f t="shared" si="0"/>
        <v>0.75471698113207542</v>
      </c>
      <c r="O10">
        <f t="shared" si="0"/>
        <v>0.81632653061224492</v>
      </c>
      <c r="P10">
        <f t="shared" si="2"/>
        <v>0.81632653061224492</v>
      </c>
      <c r="R10">
        <v>10</v>
      </c>
    </row>
    <row r="11" spans="1:18" ht="15">
      <c r="A11" s="438" t="s">
        <v>873</v>
      </c>
      <c r="B11" s="439">
        <v>1</v>
      </c>
      <c r="C11" s="439">
        <v>1</v>
      </c>
      <c r="D11" s="439">
        <v>1</v>
      </c>
      <c r="I11" s="1" t="str">
        <f>A11</f>
        <v xml:space="preserve">   Space heating</v>
      </c>
      <c r="K11" s="1" t="s">
        <v>251</v>
      </c>
      <c r="L11">
        <v>0.94750000000000001</v>
      </c>
      <c r="M11">
        <f t="shared" si="1"/>
        <v>0.94750000000000001</v>
      </c>
      <c r="N11">
        <f t="shared" si="0"/>
        <v>0.94750000000000001</v>
      </c>
      <c r="O11">
        <f t="shared" si="0"/>
        <v>0.94750000000000001</v>
      </c>
      <c r="P11">
        <f t="shared" si="2"/>
        <v>0.94750000000000001</v>
      </c>
      <c r="R11">
        <v>11</v>
      </c>
    </row>
    <row r="12" spans="1:18" ht="16.5" thickBot="1">
      <c r="A12" s="436" t="s">
        <v>874</v>
      </c>
      <c r="B12" s="437"/>
      <c r="C12" s="437"/>
      <c r="D12" s="437"/>
      <c r="I12" s="1"/>
      <c r="R12">
        <v>12</v>
      </c>
    </row>
    <row r="13" spans="1:18" ht="15">
      <c r="A13" s="438" t="s">
        <v>875</v>
      </c>
      <c r="B13" s="439">
        <v>0.95</v>
      </c>
      <c r="C13" s="439">
        <v>0.88</v>
      </c>
      <c r="D13" s="439">
        <v>0.86</v>
      </c>
      <c r="I13" s="1" t="str">
        <f>A13</f>
        <v xml:space="preserve">    Hot water Geyser</v>
      </c>
      <c r="K13" t="str">
        <f>RES!D57</f>
        <v>RLEWG</v>
      </c>
      <c r="L13" s="3">
        <v>0.7</v>
      </c>
      <c r="M13">
        <f t="shared" ref="M13:O17" si="3">(1/B13)*$L13</f>
        <v>0.73684210526315785</v>
      </c>
      <c r="N13">
        <f t="shared" si="3"/>
        <v>0.79545454545454553</v>
      </c>
      <c r="O13">
        <f t="shared" si="3"/>
        <v>0.81395348837209303</v>
      </c>
      <c r="P13">
        <f t="shared" si="2"/>
        <v>0.81395348837209303</v>
      </c>
      <c r="R13">
        <v>13</v>
      </c>
    </row>
    <row r="14" spans="1:18" ht="15">
      <c r="A14" s="438" t="s">
        <v>870</v>
      </c>
      <c r="B14" s="439">
        <v>0.98</v>
      </c>
      <c r="C14" s="439">
        <v>0.91</v>
      </c>
      <c r="D14" s="439">
        <v>0.89</v>
      </c>
      <c r="I14" s="1" t="str">
        <f>A14</f>
        <v xml:space="preserve">   Cooking</v>
      </c>
      <c r="K14" s="1" t="s">
        <v>256</v>
      </c>
      <c r="L14">
        <v>0.65</v>
      </c>
      <c r="M14">
        <f t="shared" si="3"/>
        <v>0.66326530612244905</v>
      </c>
      <c r="N14">
        <f t="shared" si="3"/>
        <v>0.71428571428571419</v>
      </c>
      <c r="O14">
        <f t="shared" si="3"/>
        <v>0.73033707865168551</v>
      </c>
      <c r="P14">
        <f t="shared" si="2"/>
        <v>0.73033707865168551</v>
      </c>
      <c r="R14">
        <v>14</v>
      </c>
    </row>
    <row r="15" spans="1:18" ht="15">
      <c r="A15" s="438" t="s">
        <v>871</v>
      </c>
      <c r="B15" s="439">
        <v>0.99</v>
      </c>
      <c r="C15" s="439">
        <v>0.95</v>
      </c>
      <c r="D15" s="439">
        <v>0.94</v>
      </c>
      <c r="I15" s="1" t="str">
        <f>A15</f>
        <v xml:space="preserve">   Other appliances</v>
      </c>
      <c r="K15" s="1" t="s">
        <v>260</v>
      </c>
      <c r="L15">
        <v>0.8</v>
      </c>
      <c r="M15">
        <f t="shared" si="3"/>
        <v>0.80808080808080818</v>
      </c>
      <c r="N15">
        <f t="shared" si="3"/>
        <v>0.84210526315789469</v>
      </c>
      <c r="O15">
        <f t="shared" si="3"/>
        <v>0.85106382978723405</v>
      </c>
      <c r="P15">
        <f t="shared" si="2"/>
        <v>0.85106382978723405</v>
      </c>
      <c r="R15">
        <v>15</v>
      </c>
    </row>
    <row r="16" spans="1:18" ht="15">
      <c r="A16" s="438" t="s">
        <v>872</v>
      </c>
      <c r="B16" s="439">
        <v>0.86</v>
      </c>
      <c r="C16" s="439">
        <v>0.52</v>
      </c>
      <c r="D16" s="439">
        <v>0.49</v>
      </c>
      <c r="I16" s="1" t="str">
        <f>A16</f>
        <v xml:space="preserve">   Refrigeration</v>
      </c>
      <c r="K16" s="1" t="s">
        <v>259</v>
      </c>
      <c r="L16">
        <v>0.64200000000000002</v>
      </c>
      <c r="M16">
        <f t="shared" si="3"/>
        <v>0.74651162790697678</v>
      </c>
      <c r="N16">
        <f t="shared" si="3"/>
        <v>1.2346153846153844</v>
      </c>
      <c r="O16">
        <f t="shared" si="3"/>
        <v>1.3102040816326532</v>
      </c>
      <c r="P16">
        <f t="shared" si="2"/>
        <v>1.3102040816326532</v>
      </c>
      <c r="R16">
        <v>16</v>
      </c>
    </row>
    <row r="17" spans="1:18" ht="15">
      <c r="A17" s="438" t="s">
        <v>873</v>
      </c>
      <c r="B17" s="439">
        <v>1</v>
      </c>
      <c r="C17" s="439">
        <v>1</v>
      </c>
      <c r="D17" s="439">
        <v>1</v>
      </c>
      <c r="I17" s="1" t="str">
        <f>A17</f>
        <v xml:space="preserve">   Space heating</v>
      </c>
      <c r="K17" s="1" t="s">
        <v>257</v>
      </c>
      <c r="L17">
        <v>0.94750000000000012</v>
      </c>
      <c r="M17">
        <f t="shared" si="3"/>
        <v>0.94750000000000012</v>
      </c>
      <c r="N17">
        <f t="shared" si="3"/>
        <v>0.94750000000000012</v>
      </c>
      <c r="O17">
        <f t="shared" si="3"/>
        <v>0.94750000000000012</v>
      </c>
      <c r="P17">
        <f t="shared" si="2"/>
        <v>0.94750000000000012</v>
      </c>
      <c r="R17">
        <v>17</v>
      </c>
    </row>
    <row r="18" spans="1:18" ht="16.5" thickBot="1">
      <c r="A18" s="440" t="s">
        <v>876</v>
      </c>
      <c r="B18" s="441"/>
      <c r="C18" s="441"/>
      <c r="D18" s="441"/>
      <c r="I18" s="1"/>
      <c r="R18">
        <v>18</v>
      </c>
    </row>
    <row r="19" spans="1:18" ht="15">
      <c r="A19" s="438" t="s">
        <v>875</v>
      </c>
      <c r="B19" s="439">
        <v>0.97</v>
      </c>
      <c r="C19" s="439">
        <v>0.88</v>
      </c>
      <c r="D19" s="439">
        <v>0.84</v>
      </c>
      <c r="I19" s="1" t="str">
        <f>A19</f>
        <v xml:space="preserve">    Hot water Geyser</v>
      </c>
      <c r="L19" s="3">
        <v>0.7</v>
      </c>
      <c r="M19">
        <f t="shared" ref="M19:O23" si="4">(1/B19)*$L19</f>
        <v>0.72164948453608246</v>
      </c>
      <c r="N19">
        <f t="shared" si="4"/>
        <v>0.79545454545454553</v>
      </c>
      <c r="O19">
        <f t="shared" si="4"/>
        <v>0.83333333333333326</v>
      </c>
      <c r="P19">
        <f t="shared" si="2"/>
        <v>0.83333333333333326</v>
      </c>
      <c r="R19">
        <v>19</v>
      </c>
    </row>
    <row r="20" spans="1:18" ht="15">
      <c r="A20" s="438" t="s">
        <v>870</v>
      </c>
      <c r="B20" s="439">
        <v>0.97</v>
      </c>
      <c r="C20" s="439">
        <v>0.88</v>
      </c>
      <c r="D20" s="439">
        <v>0.86</v>
      </c>
      <c r="I20" s="1" t="str">
        <f>A20</f>
        <v xml:space="preserve">   Cooking</v>
      </c>
      <c r="K20" s="1" t="s">
        <v>262</v>
      </c>
      <c r="L20">
        <v>0.65</v>
      </c>
      <c r="M20">
        <f t="shared" si="4"/>
        <v>0.67010309278350522</v>
      </c>
      <c r="N20">
        <f t="shared" si="4"/>
        <v>0.73863636363636376</v>
      </c>
      <c r="O20">
        <f t="shared" si="4"/>
        <v>0.75581395348837221</v>
      </c>
      <c r="P20">
        <f t="shared" si="2"/>
        <v>0.75581395348837221</v>
      </c>
      <c r="R20">
        <v>20</v>
      </c>
    </row>
    <row r="21" spans="1:18" ht="15">
      <c r="A21" s="438" t="s">
        <v>871</v>
      </c>
      <c r="B21" s="439">
        <v>0.97</v>
      </c>
      <c r="C21" s="439">
        <v>0.9</v>
      </c>
      <c r="D21" s="439">
        <v>0.88</v>
      </c>
      <c r="I21" s="1" t="str">
        <f>A21</f>
        <v xml:space="preserve">   Other appliances</v>
      </c>
      <c r="K21" s="1" t="s">
        <v>265</v>
      </c>
      <c r="L21">
        <v>0.8</v>
      </c>
      <c r="M21">
        <f t="shared" si="4"/>
        <v>0.82474226804123729</v>
      </c>
      <c r="N21">
        <f t="shared" si="4"/>
        <v>0.88888888888888895</v>
      </c>
      <c r="O21">
        <f t="shared" si="4"/>
        <v>0.90909090909090917</v>
      </c>
      <c r="P21">
        <f t="shared" si="2"/>
        <v>0.90909090909090917</v>
      </c>
      <c r="R21">
        <v>21</v>
      </c>
    </row>
    <row r="22" spans="1:18" ht="15">
      <c r="A22" s="438" t="s">
        <v>872</v>
      </c>
      <c r="B22" s="439">
        <v>0.88</v>
      </c>
      <c r="C22" s="439">
        <v>0.55000000000000004</v>
      </c>
      <c r="D22" s="439">
        <v>0.49</v>
      </c>
      <c r="I22" s="1" t="str">
        <f>A22</f>
        <v xml:space="preserve">   Refrigeration</v>
      </c>
      <c r="K22" s="1" t="s">
        <v>264</v>
      </c>
      <c r="L22">
        <v>0.64200000000000002</v>
      </c>
      <c r="M22">
        <f t="shared" si="4"/>
        <v>0.72954545454545461</v>
      </c>
      <c r="N22">
        <f t="shared" si="4"/>
        <v>1.1672727272727272</v>
      </c>
      <c r="O22">
        <f t="shared" si="4"/>
        <v>1.3102040816326532</v>
      </c>
      <c r="P22">
        <f t="shared" si="2"/>
        <v>1.3102040816326532</v>
      </c>
      <c r="R22">
        <v>22</v>
      </c>
    </row>
    <row r="23" spans="1:18" ht="15">
      <c r="A23" s="438" t="s">
        <v>873</v>
      </c>
      <c r="B23" s="439">
        <v>1</v>
      </c>
      <c r="C23" s="439">
        <v>1</v>
      </c>
      <c r="D23" s="439">
        <v>1</v>
      </c>
      <c r="I23" s="1" t="str">
        <f>A23</f>
        <v xml:space="preserve">   Space heating</v>
      </c>
      <c r="K23" s="1" t="s">
        <v>246</v>
      </c>
      <c r="L23">
        <v>0.97249999999999992</v>
      </c>
      <c r="M23">
        <f t="shared" si="4"/>
        <v>0.97249999999999992</v>
      </c>
      <c r="N23">
        <f t="shared" si="4"/>
        <v>0.97249999999999992</v>
      </c>
      <c r="O23">
        <f t="shared" si="4"/>
        <v>0.97249999999999992</v>
      </c>
      <c r="P23">
        <f t="shared" si="2"/>
        <v>0.97249999999999992</v>
      </c>
      <c r="R23">
        <v>23</v>
      </c>
    </row>
    <row r="24" spans="1:18">
      <c r="R24">
        <v>24</v>
      </c>
    </row>
    <row r="25" spans="1:18" ht="15">
      <c r="A25" s="438" t="s">
        <v>907</v>
      </c>
      <c r="R25">
        <v>25</v>
      </c>
    </row>
    <row r="26" spans="1:18" ht="16.5" thickBot="1">
      <c r="A26" s="434"/>
      <c r="B26" s="435">
        <v>2020</v>
      </c>
      <c r="C26" s="435">
        <v>2030</v>
      </c>
      <c r="D26" s="435">
        <v>2040</v>
      </c>
      <c r="E26" s="1" t="s">
        <v>877</v>
      </c>
      <c r="L26" s="1" t="s">
        <v>878</v>
      </c>
      <c r="R26">
        <v>26</v>
      </c>
    </row>
    <row r="27" spans="1:18" ht="16.5" thickBot="1">
      <c r="A27" s="436" t="s">
        <v>869</v>
      </c>
      <c r="B27" s="437"/>
      <c r="C27" s="437"/>
      <c r="D27" s="437"/>
      <c r="L27">
        <v>2017</v>
      </c>
      <c r="M27">
        <v>2020</v>
      </c>
      <c r="N27">
        <v>2030</v>
      </c>
      <c r="O27">
        <v>2040</v>
      </c>
      <c r="P27">
        <v>2050</v>
      </c>
      <c r="R27">
        <v>27</v>
      </c>
    </row>
    <row r="28" spans="1:18" ht="15">
      <c r="A28" s="438" t="s">
        <v>870</v>
      </c>
      <c r="B28" s="439">
        <v>0.99</v>
      </c>
      <c r="C28" s="439">
        <v>0.94</v>
      </c>
      <c r="D28" s="439">
        <v>0.93</v>
      </c>
      <c r="I28" s="1" t="str">
        <f>A28</f>
        <v xml:space="preserve">   Cooking</v>
      </c>
      <c r="K28" s="1" t="s">
        <v>250</v>
      </c>
      <c r="L28" s="3">
        <v>0.8</v>
      </c>
      <c r="M28">
        <f>(1/B28)*$L28</f>
        <v>0.80808080808080818</v>
      </c>
      <c r="N28">
        <f t="shared" ref="N28:N31" si="5">(1/C28)*$L28</f>
        <v>0.85106382978723405</v>
      </c>
      <c r="O28">
        <f t="shared" ref="O28:O31" si="6">(1/D28)*$L28</f>
        <v>0.86021505376344087</v>
      </c>
      <c r="P28">
        <f>O28</f>
        <v>0.86021505376344087</v>
      </c>
      <c r="R28">
        <v>28</v>
      </c>
    </row>
    <row r="29" spans="1:18" ht="15">
      <c r="A29" s="438" t="s">
        <v>871</v>
      </c>
      <c r="B29" s="439">
        <v>0.99</v>
      </c>
      <c r="C29" s="439">
        <v>0.94</v>
      </c>
      <c r="D29" s="439">
        <v>0.9</v>
      </c>
      <c r="I29" s="1" t="str">
        <f>A29</f>
        <v xml:space="preserve">   Other appliances</v>
      </c>
      <c r="K29" s="1" t="s">
        <v>254</v>
      </c>
      <c r="L29">
        <v>0.8</v>
      </c>
      <c r="M29">
        <f t="shared" ref="M29:M31" si="7">(1/B29)*$L29</f>
        <v>0.80808080808080818</v>
      </c>
      <c r="N29">
        <f t="shared" si="5"/>
        <v>0.85106382978723405</v>
      </c>
      <c r="O29">
        <f t="shared" si="6"/>
        <v>0.88888888888888895</v>
      </c>
      <c r="P29">
        <f t="shared" ref="P29:P31" si="8">O29</f>
        <v>0.88888888888888895</v>
      </c>
      <c r="R29">
        <v>29</v>
      </c>
    </row>
    <row r="30" spans="1:18" ht="15">
      <c r="A30" s="438" t="s">
        <v>872</v>
      </c>
      <c r="B30" s="439">
        <v>0.86</v>
      </c>
      <c r="C30" s="439">
        <v>0.53</v>
      </c>
      <c r="D30" s="439">
        <v>0.49</v>
      </c>
      <c r="I30" s="1" t="str">
        <f>A30</f>
        <v xml:space="preserve">   Refrigeration</v>
      </c>
      <c r="K30" s="1" t="s">
        <v>253</v>
      </c>
      <c r="L30">
        <v>0.4</v>
      </c>
      <c r="M30">
        <f t="shared" si="7"/>
        <v>0.46511627906976749</v>
      </c>
      <c r="N30">
        <f t="shared" si="5"/>
        <v>0.75471698113207542</v>
      </c>
      <c r="O30">
        <f t="shared" si="6"/>
        <v>0.81632653061224492</v>
      </c>
      <c r="P30">
        <f t="shared" si="8"/>
        <v>0.81632653061224492</v>
      </c>
      <c r="R30">
        <v>30</v>
      </c>
    </row>
    <row r="31" spans="1:18" ht="15">
      <c r="A31" s="438" t="s">
        <v>873</v>
      </c>
      <c r="B31" s="439">
        <v>1</v>
      </c>
      <c r="C31" s="439">
        <v>1</v>
      </c>
      <c r="D31" s="439">
        <v>1</v>
      </c>
      <c r="I31" s="1" t="str">
        <f>A31</f>
        <v xml:space="preserve">   Space heating</v>
      </c>
      <c r="K31" s="1" t="s">
        <v>251</v>
      </c>
      <c r="L31">
        <v>0.94750000000000001</v>
      </c>
      <c r="M31">
        <f t="shared" si="7"/>
        <v>0.94750000000000001</v>
      </c>
      <c r="N31">
        <f t="shared" si="5"/>
        <v>0.94750000000000001</v>
      </c>
      <c r="O31">
        <f t="shared" si="6"/>
        <v>0.94750000000000001</v>
      </c>
      <c r="P31">
        <f t="shared" si="8"/>
        <v>0.94750000000000001</v>
      </c>
      <c r="R31">
        <v>31</v>
      </c>
    </row>
    <row r="32" spans="1:18" ht="16.5" thickBot="1">
      <c r="A32" s="436" t="s">
        <v>874</v>
      </c>
      <c r="B32" s="437"/>
      <c r="C32" s="437"/>
      <c r="D32" s="437"/>
      <c r="I32" s="1"/>
      <c r="R32">
        <v>32</v>
      </c>
    </row>
    <row r="33" spans="1:18" ht="15">
      <c r="A33" s="438" t="s">
        <v>875</v>
      </c>
      <c r="B33" s="439">
        <v>0.95</v>
      </c>
      <c r="C33" s="439">
        <v>0.88</v>
      </c>
      <c r="D33" s="439">
        <v>0.86</v>
      </c>
      <c r="I33" s="1" t="str">
        <f>A33</f>
        <v xml:space="preserve">    Hot water Geyser</v>
      </c>
      <c r="K33">
        <f>RES!D77</f>
        <v>0</v>
      </c>
      <c r="L33" s="3">
        <v>0.7</v>
      </c>
      <c r="M33">
        <f t="shared" ref="M33:M37" si="9">(1/B33)*$L33</f>
        <v>0.73684210526315785</v>
      </c>
      <c r="N33">
        <f t="shared" ref="N33:N37" si="10">(1/C33)*$L33</f>
        <v>0.79545454545454553</v>
      </c>
      <c r="O33">
        <f t="shared" ref="O33:O37" si="11">(1/D33)*$L33</f>
        <v>0.81395348837209303</v>
      </c>
      <c r="P33">
        <f t="shared" ref="P33:P37" si="12">O33</f>
        <v>0.81395348837209303</v>
      </c>
      <c r="R33">
        <v>33</v>
      </c>
    </row>
    <row r="34" spans="1:18" ht="15">
      <c r="A34" s="438" t="s">
        <v>870</v>
      </c>
      <c r="B34" s="439">
        <v>0.98</v>
      </c>
      <c r="C34" s="439">
        <v>0.91</v>
      </c>
      <c r="D34" s="439">
        <v>0.89</v>
      </c>
      <c r="I34" s="1" t="str">
        <f>A34</f>
        <v xml:space="preserve">   Cooking</v>
      </c>
      <c r="K34" s="1" t="s">
        <v>256</v>
      </c>
      <c r="L34">
        <v>0.65</v>
      </c>
      <c r="M34">
        <f t="shared" si="9"/>
        <v>0.66326530612244905</v>
      </c>
      <c r="N34">
        <f t="shared" si="10"/>
        <v>0.71428571428571419</v>
      </c>
      <c r="O34">
        <f t="shared" si="11"/>
        <v>0.73033707865168551</v>
      </c>
      <c r="P34">
        <f t="shared" si="12"/>
        <v>0.73033707865168551</v>
      </c>
      <c r="R34">
        <v>34</v>
      </c>
    </row>
    <row r="35" spans="1:18" ht="15">
      <c r="A35" s="438" t="s">
        <v>871</v>
      </c>
      <c r="B35" s="439">
        <v>0.99</v>
      </c>
      <c r="C35" s="439">
        <v>0.95</v>
      </c>
      <c r="D35" s="439">
        <v>0.94</v>
      </c>
      <c r="I35" s="1" t="str">
        <f>A35</f>
        <v xml:space="preserve">   Other appliances</v>
      </c>
      <c r="K35" s="1" t="s">
        <v>260</v>
      </c>
      <c r="L35">
        <v>0.8</v>
      </c>
      <c r="M35">
        <f t="shared" si="9"/>
        <v>0.80808080808080818</v>
      </c>
      <c r="N35">
        <f t="shared" si="10"/>
        <v>0.84210526315789469</v>
      </c>
      <c r="O35">
        <f t="shared" si="11"/>
        <v>0.85106382978723405</v>
      </c>
      <c r="P35">
        <f t="shared" si="12"/>
        <v>0.85106382978723405</v>
      </c>
      <c r="R35">
        <v>35</v>
      </c>
    </row>
    <row r="36" spans="1:18" ht="15">
      <c r="A36" s="438" t="s">
        <v>872</v>
      </c>
      <c r="B36" s="439">
        <v>0.86</v>
      </c>
      <c r="C36" s="439">
        <v>0.52</v>
      </c>
      <c r="D36" s="439">
        <v>0.49</v>
      </c>
      <c r="I36" s="1" t="str">
        <f>A36</f>
        <v xml:space="preserve">   Refrigeration</v>
      </c>
      <c r="K36" s="1" t="s">
        <v>259</v>
      </c>
      <c r="L36">
        <v>0.64200000000000002</v>
      </c>
      <c r="M36">
        <f t="shared" si="9"/>
        <v>0.74651162790697678</v>
      </c>
      <c r="N36">
        <f t="shared" si="10"/>
        <v>1.2346153846153844</v>
      </c>
      <c r="O36">
        <f t="shared" si="11"/>
        <v>1.3102040816326532</v>
      </c>
      <c r="P36">
        <f t="shared" si="12"/>
        <v>1.3102040816326532</v>
      </c>
      <c r="R36">
        <v>36</v>
      </c>
    </row>
    <row r="37" spans="1:18" ht="15">
      <c r="A37" s="438" t="s">
        <v>873</v>
      </c>
      <c r="B37" s="439">
        <v>1</v>
      </c>
      <c r="C37" s="439">
        <v>1</v>
      </c>
      <c r="D37" s="439">
        <v>1</v>
      </c>
      <c r="I37" s="1" t="str">
        <f>A37</f>
        <v xml:space="preserve">   Space heating</v>
      </c>
      <c r="K37" s="1" t="s">
        <v>257</v>
      </c>
      <c r="L37">
        <v>0.94750000000000012</v>
      </c>
      <c r="M37">
        <f t="shared" si="9"/>
        <v>0.94750000000000012</v>
      </c>
      <c r="N37">
        <f t="shared" si="10"/>
        <v>0.94750000000000012</v>
      </c>
      <c r="O37">
        <f t="shared" si="11"/>
        <v>0.94750000000000012</v>
      </c>
      <c r="P37">
        <f t="shared" si="12"/>
        <v>0.94750000000000012</v>
      </c>
      <c r="R37">
        <v>37</v>
      </c>
    </row>
    <row r="38" spans="1:18" ht="16.5" thickBot="1">
      <c r="A38" s="440" t="s">
        <v>876</v>
      </c>
      <c r="B38" s="441"/>
      <c r="C38" s="441"/>
      <c r="D38" s="441"/>
      <c r="I38" s="1"/>
      <c r="R38">
        <v>38</v>
      </c>
    </row>
    <row r="39" spans="1:18" ht="15">
      <c r="A39" s="438" t="s">
        <v>875</v>
      </c>
      <c r="B39" s="439">
        <v>0.97</v>
      </c>
      <c r="C39" s="439">
        <v>0.88</v>
      </c>
      <c r="D39" s="439">
        <v>0.84</v>
      </c>
      <c r="I39" s="1" t="str">
        <f>A39</f>
        <v xml:space="preserve">    Hot water Geyser</v>
      </c>
      <c r="L39" s="3">
        <v>0.7</v>
      </c>
      <c r="M39">
        <f t="shared" ref="M39:M43" si="13">(1/B39)*$L39</f>
        <v>0.72164948453608246</v>
      </c>
      <c r="N39">
        <f t="shared" ref="N39:N43" si="14">(1/C39)*$L39</f>
        <v>0.79545454545454553</v>
      </c>
      <c r="O39">
        <f t="shared" ref="O39:O43" si="15">(1/D39)*$L39</f>
        <v>0.83333333333333326</v>
      </c>
      <c r="P39">
        <f t="shared" ref="P39:P43" si="16">O39</f>
        <v>0.83333333333333326</v>
      </c>
      <c r="R39">
        <v>39</v>
      </c>
    </row>
    <row r="40" spans="1:18" ht="15">
      <c r="A40" s="438" t="s">
        <v>870</v>
      </c>
      <c r="B40" s="439">
        <v>0.97</v>
      </c>
      <c r="C40" s="439">
        <v>0.88</v>
      </c>
      <c r="D40" s="439">
        <v>0.86</v>
      </c>
      <c r="I40" s="1" t="str">
        <f>A40</f>
        <v xml:space="preserve">   Cooking</v>
      </c>
      <c r="K40" s="1" t="s">
        <v>262</v>
      </c>
      <c r="L40">
        <v>0.65</v>
      </c>
      <c r="M40">
        <f t="shared" si="13"/>
        <v>0.67010309278350522</v>
      </c>
      <c r="N40">
        <f t="shared" si="14"/>
        <v>0.73863636363636376</v>
      </c>
      <c r="O40">
        <f t="shared" si="15"/>
        <v>0.75581395348837221</v>
      </c>
      <c r="P40">
        <f t="shared" si="16"/>
        <v>0.75581395348837221</v>
      </c>
      <c r="R40">
        <v>40</v>
      </c>
    </row>
    <row r="41" spans="1:18" ht="15">
      <c r="A41" s="438" t="s">
        <v>871</v>
      </c>
      <c r="B41" s="439">
        <v>0.97</v>
      </c>
      <c r="C41" s="439">
        <v>0.9</v>
      </c>
      <c r="D41" s="439">
        <v>0.88</v>
      </c>
      <c r="I41" s="1" t="str">
        <f>A41</f>
        <v xml:space="preserve">   Other appliances</v>
      </c>
      <c r="K41" s="1" t="s">
        <v>265</v>
      </c>
      <c r="L41">
        <v>0.8</v>
      </c>
      <c r="M41">
        <f t="shared" si="13"/>
        <v>0.82474226804123729</v>
      </c>
      <c r="N41">
        <f t="shared" si="14"/>
        <v>0.88888888888888895</v>
      </c>
      <c r="O41">
        <f t="shared" si="15"/>
        <v>0.90909090909090917</v>
      </c>
      <c r="P41">
        <f t="shared" si="16"/>
        <v>0.90909090909090917</v>
      </c>
      <c r="R41">
        <v>41</v>
      </c>
    </row>
    <row r="42" spans="1:18" ht="15">
      <c r="A42" s="438" t="s">
        <v>872</v>
      </c>
      <c r="B42" s="439">
        <v>0.88</v>
      </c>
      <c r="C42" s="439">
        <v>0.55000000000000004</v>
      </c>
      <c r="D42" s="439">
        <v>0.49</v>
      </c>
      <c r="I42" s="1" t="str">
        <f>A42</f>
        <v xml:space="preserve">   Refrigeration</v>
      </c>
      <c r="K42" s="1" t="s">
        <v>264</v>
      </c>
      <c r="L42">
        <v>0.64200000000000002</v>
      </c>
      <c r="M42">
        <f t="shared" si="13"/>
        <v>0.72954545454545461</v>
      </c>
      <c r="N42">
        <f t="shared" si="14"/>
        <v>1.1672727272727272</v>
      </c>
      <c r="O42">
        <f t="shared" si="15"/>
        <v>1.3102040816326532</v>
      </c>
      <c r="P42">
        <f t="shared" si="16"/>
        <v>1.3102040816326532</v>
      </c>
      <c r="R42">
        <v>42</v>
      </c>
    </row>
    <row r="43" spans="1:18" ht="15">
      <c r="A43" s="438" t="s">
        <v>873</v>
      </c>
      <c r="B43" s="439">
        <v>1</v>
      </c>
      <c r="C43" s="439">
        <v>1</v>
      </c>
      <c r="D43" s="439">
        <v>1</v>
      </c>
      <c r="I43" s="1" t="str">
        <f>A43</f>
        <v xml:space="preserve">   Space heating</v>
      </c>
      <c r="K43" s="1" t="s">
        <v>246</v>
      </c>
      <c r="L43">
        <v>0.97249999999999992</v>
      </c>
      <c r="M43">
        <f t="shared" si="13"/>
        <v>0.97249999999999992</v>
      </c>
      <c r="N43">
        <f t="shared" si="14"/>
        <v>0.97249999999999992</v>
      </c>
      <c r="O43">
        <f t="shared" si="15"/>
        <v>0.97249999999999992</v>
      </c>
      <c r="P43">
        <f t="shared" si="16"/>
        <v>0.97249999999999992</v>
      </c>
      <c r="R43">
        <v>43</v>
      </c>
    </row>
    <row r="44" spans="1:18">
      <c r="R44">
        <v>44</v>
      </c>
    </row>
    <row r="45" spans="1:18" ht="15">
      <c r="A45" s="438" t="s">
        <v>908</v>
      </c>
      <c r="R45">
        <v>45</v>
      </c>
    </row>
    <row r="46" spans="1:18" ht="16.5" thickBot="1">
      <c r="A46" s="434"/>
      <c r="B46" s="435">
        <v>2020</v>
      </c>
      <c r="C46" s="435">
        <v>2030</v>
      </c>
      <c r="D46" s="435">
        <v>2040</v>
      </c>
      <c r="E46" s="1" t="s">
        <v>877</v>
      </c>
      <c r="L46" s="1" t="s">
        <v>878</v>
      </c>
      <c r="R46">
        <v>46</v>
      </c>
    </row>
    <row r="47" spans="1:18" ht="16.5" thickBot="1">
      <c r="A47" s="436" t="s">
        <v>869</v>
      </c>
      <c r="B47" s="437"/>
      <c r="C47" s="437"/>
      <c r="D47" s="437"/>
      <c r="L47">
        <v>2017</v>
      </c>
      <c r="M47">
        <v>2020</v>
      </c>
      <c r="N47">
        <v>2030</v>
      </c>
      <c r="O47">
        <v>2040</v>
      </c>
      <c r="P47">
        <v>2050</v>
      </c>
      <c r="R47">
        <v>47</v>
      </c>
    </row>
    <row r="48" spans="1:18" ht="15">
      <c r="A48" s="438" t="s">
        <v>870</v>
      </c>
      <c r="B48" s="439">
        <v>0.99</v>
      </c>
      <c r="C48" s="439">
        <v>0.94</v>
      </c>
      <c r="D48" s="439">
        <v>0.93</v>
      </c>
      <c r="I48" s="1" t="str">
        <f>A48</f>
        <v xml:space="preserve">   Cooking</v>
      </c>
      <c r="K48" s="1" t="s">
        <v>250</v>
      </c>
      <c r="L48" s="3">
        <v>0.8</v>
      </c>
      <c r="M48">
        <f>(1/B48)*$L48</f>
        <v>0.80808080808080818</v>
      </c>
      <c r="N48">
        <f t="shared" ref="N48:N51" si="17">(1/C48)*$L48</f>
        <v>0.85106382978723405</v>
      </c>
      <c r="O48">
        <f t="shared" ref="O48:O51" si="18">(1/D48)*$L48</f>
        <v>0.86021505376344087</v>
      </c>
      <c r="P48">
        <f>O48</f>
        <v>0.86021505376344087</v>
      </c>
      <c r="R48">
        <v>48</v>
      </c>
    </row>
    <row r="49" spans="1:18" ht="15">
      <c r="A49" s="438" t="s">
        <v>871</v>
      </c>
      <c r="B49" s="439">
        <v>0.99</v>
      </c>
      <c r="C49" s="439">
        <v>0.94</v>
      </c>
      <c r="D49" s="439">
        <v>0.9</v>
      </c>
      <c r="I49" s="1" t="str">
        <f>A49</f>
        <v xml:space="preserve">   Other appliances</v>
      </c>
      <c r="K49" s="1" t="s">
        <v>254</v>
      </c>
      <c r="L49">
        <v>0.8</v>
      </c>
      <c r="M49">
        <f t="shared" ref="M49:M51" si="19">(1/B49)*$L49</f>
        <v>0.80808080808080818</v>
      </c>
      <c r="N49">
        <f t="shared" si="17"/>
        <v>0.85106382978723405</v>
      </c>
      <c r="O49">
        <f t="shared" si="18"/>
        <v>0.88888888888888895</v>
      </c>
      <c r="P49">
        <f t="shared" ref="P49:P51" si="20">O49</f>
        <v>0.88888888888888895</v>
      </c>
      <c r="R49">
        <v>49</v>
      </c>
    </row>
    <row r="50" spans="1:18" ht="15">
      <c r="A50" s="438" t="s">
        <v>872</v>
      </c>
      <c r="B50" s="439">
        <v>0.86</v>
      </c>
      <c r="C50" s="439">
        <v>0.53</v>
      </c>
      <c r="D50" s="439">
        <v>0.49</v>
      </c>
      <c r="I50" s="1" t="str">
        <f>A50</f>
        <v xml:space="preserve">   Refrigeration</v>
      </c>
      <c r="K50" s="1" t="s">
        <v>253</v>
      </c>
      <c r="L50">
        <v>0.4</v>
      </c>
      <c r="M50">
        <f t="shared" si="19"/>
        <v>0.46511627906976749</v>
      </c>
      <c r="N50">
        <f t="shared" si="17"/>
        <v>0.75471698113207542</v>
      </c>
      <c r="O50">
        <f t="shared" si="18"/>
        <v>0.81632653061224492</v>
      </c>
      <c r="P50">
        <f t="shared" si="20"/>
        <v>0.81632653061224492</v>
      </c>
      <c r="R50">
        <v>50</v>
      </c>
    </row>
    <row r="51" spans="1:18" ht="15">
      <c r="A51" s="438" t="s">
        <v>873</v>
      </c>
      <c r="B51" s="439">
        <v>1</v>
      </c>
      <c r="C51" s="439">
        <v>1</v>
      </c>
      <c r="D51" s="439">
        <v>1</v>
      </c>
      <c r="I51" s="1" t="str">
        <f>A51</f>
        <v xml:space="preserve">   Space heating</v>
      </c>
      <c r="K51" s="1" t="s">
        <v>251</v>
      </c>
      <c r="L51">
        <v>0.94750000000000001</v>
      </c>
      <c r="M51">
        <f t="shared" si="19"/>
        <v>0.94750000000000001</v>
      </c>
      <c r="N51">
        <f t="shared" si="17"/>
        <v>0.94750000000000001</v>
      </c>
      <c r="O51">
        <f t="shared" si="18"/>
        <v>0.94750000000000001</v>
      </c>
      <c r="P51">
        <f t="shared" si="20"/>
        <v>0.94750000000000001</v>
      </c>
      <c r="R51">
        <v>51</v>
      </c>
    </row>
    <row r="52" spans="1:18" ht="16.5" thickBot="1">
      <c r="A52" s="436" t="s">
        <v>874</v>
      </c>
      <c r="B52" s="437"/>
      <c r="C52" s="437"/>
      <c r="D52" s="437"/>
      <c r="I52" s="1"/>
      <c r="R52">
        <v>52</v>
      </c>
    </row>
    <row r="53" spans="1:18" ht="15">
      <c r="A53" s="438" t="s">
        <v>875</v>
      </c>
      <c r="B53" s="439">
        <v>0.95</v>
      </c>
      <c r="C53" s="439">
        <v>0.88</v>
      </c>
      <c r="D53" s="439">
        <v>0.86</v>
      </c>
      <c r="I53" s="1" t="str">
        <f>A53</f>
        <v xml:space="preserve">    Hot water Geyser</v>
      </c>
      <c r="K53">
        <f>RES!D97</f>
        <v>0</v>
      </c>
      <c r="L53" s="3">
        <v>0.7</v>
      </c>
      <c r="M53">
        <f t="shared" ref="M53:M57" si="21">(1/B53)*$L53</f>
        <v>0.73684210526315785</v>
      </c>
      <c r="N53">
        <f t="shared" ref="N53:N57" si="22">(1/C53)*$L53</f>
        <v>0.79545454545454553</v>
      </c>
      <c r="O53">
        <f t="shared" ref="O53:O57" si="23">(1/D53)*$L53</f>
        <v>0.81395348837209303</v>
      </c>
      <c r="P53">
        <f t="shared" ref="P53:P57" si="24">O53</f>
        <v>0.81395348837209303</v>
      </c>
      <c r="R53">
        <v>53</v>
      </c>
    </row>
    <row r="54" spans="1:18" ht="15">
      <c r="A54" s="438" t="s">
        <v>870</v>
      </c>
      <c r="B54" s="439">
        <v>0.98</v>
      </c>
      <c r="C54" s="439">
        <v>0.91</v>
      </c>
      <c r="D54" s="439">
        <v>0.89</v>
      </c>
      <c r="I54" s="1" t="str">
        <f>A54</f>
        <v xml:space="preserve">   Cooking</v>
      </c>
      <c r="K54" s="1" t="s">
        <v>256</v>
      </c>
      <c r="L54">
        <v>0.65</v>
      </c>
      <c r="M54">
        <f t="shared" si="21"/>
        <v>0.66326530612244905</v>
      </c>
      <c r="N54">
        <f t="shared" si="22"/>
        <v>0.71428571428571419</v>
      </c>
      <c r="O54">
        <f t="shared" si="23"/>
        <v>0.73033707865168551</v>
      </c>
      <c r="P54">
        <f t="shared" si="24"/>
        <v>0.73033707865168551</v>
      </c>
      <c r="R54">
        <v>54</v>
      </c>
    </row>
    <row r="55" spans="1:18" ht="15">
      <c r="A55" s="438" t="s">
        <v>871</v>
      </c>
      <c r="B55" s="439">
        <v>0.99</v>
      </c>
      <c r="C55" s="439">
        <v>0.95</v>
      </c>
      <c r="D55" s="439">
        <v>0.94</v>
      </c>
      <c r="I55" s="1" t="str">
        <f>A55</f>
        <v xml:space="preserve">   Other appliances</v>
      </c>
      <c r="K55" s="1" t="s">
        <v>260</v>
      </c>
      <c r="L55">
        <v>0.8</v>
      </c>
      <c r="M55">
        <f t="shared" si="21"/>
        <v>0.80808080808080818</v>
      </c>
      <c r="N55">
        <f t="shared" si="22"/>
        <v>0.84210526315789469</v>
      </c>
      <c r="O55">
        <f t="shared" si="23"/>
        <v>0.85106382978723405</v>
      </c>
      <c r="P55">
        <f t="shared" si="24"/>
        <v>0.85106382978723405</v>
      </c>
      <c r="R55">
        <v>55</v>
      </c>
    </row>
    <row r="56" spans="1:18" ht="15">
      <c r="A56" s="438" t="s">
        <v>872</v>
      </c>
      <c r="B56" s="439">
        <v>0.86</v>
      </c>
      <c r="C56" s="439">
        <v>0.52</v>
      </c>
      <c r="D56" s="439">
        <v>0.49</v>
      </c>
      <c r="I56" s="1" t="str">
        <f>A56</f>
        <v xml:space="preserve">   Refrigeration</v>
      </c>
      <c r="K56" s="1" t="s">
        <v>259</v>
      </c>
      <c r="L56">
        <v>0.64200000000000002</v>
      </c>
      <c r="M56">
        <f t="shared" si="21"/>
        <v>0.74651162790697678</v>
      </c>
      <c r="N56">
        <f t="shared" si="22"/>
        <v>1.2346153846153844</v>
      </c>
      <c r="O56">
        <f t="shared" si="23"/>
        <v>1.3102040816326532</v>
      </c>
      <c r="P56">
        <f t="shared" si="24"/>
        <v>1.3102040816326532</v>
      </c>
      <c r="R56">
        <v>56</v>
      </c>
    </row>
    <row r="57" spans="1:18" ht="15">
      <c r="A57" s="438" t="s">
        <v>873</v>
      </c>
      <c r="B57" s="439">
        <v>1</v>
      </c>
      <c r="C57" s="439">
        <v>1</v>
      </c>
      <c r="D57" s="439">
        <v>1</v>
      </c>
      <c r="I57" s="1" t="str">
        <f>A57</f>
        <v xml:space="preserve">   Space heating</v>
      </c>
      <c r="K57" s="1" t="s">
        <v>257</v>
      </c>
      <c r="L57">
        <v>0.94750000000000012</v>
      </c>
      <c r="M57">
        <f t="shared" si="21"/>
        <v>0.94750000000000012</v>
      </c>
      <c r="N57">
        <f t="shared" si="22"/>
        <v>0.94750000000000012</v>
      </c>
      <c r="O57">
        <f t="shared" si="23"/>
        <v>0.94750000000000012</v>
      </c>
      <c r="P57">
        <f t="shared" si="24"/>
        <v>0.94750000000000012</v>
      </c>
      <c r="R57">
        <v>57</v>
      </c>
    </row>
    <row r="58" spans="1:18" ht="16.5" thickBot="1">
      <c r="A58" s="440" t="s">
        <v>876</v>
      </c>
      <c r="B58" s="441"/>
      <c r="C58" s="441"/>
      <c r="D58" s="441"/>
      <c r="I58" s="1"/>
      <c r="R58">
        <v>58</v>
      </c>
    </row>
    <row r="59" spans="1:18" ht="15">
      <c r="A59" s="438" t="s">
        <v>875</v>
      </c>
      <c r="B59" s="439">
        <v>0.97</v>
      </c>
      <c r="C59" s="439">
        <v>0.88</v>
      </c>
      <c r="D59" s="439">
        <v>0.84</v>
      </c>
      <c r="I59" s="1" t="str">
        <f>A59</f>
        <v xml:space="preserve">    Hot water Geyser</v>
      </c>
      <c r="L59" s="3">
        <v>0.7</v>
      </c>
      <c r="M59">
        <f t="shared" ref="M59:M63" si="25">(1/B59)*$L59</f>
        <v>0.72164948453608246</v>
      </c>
      <c r="N59">
        <f t="shared" ref="N59:N63" si="26">(1/C59)*$L59</f>
        <v>0.79545454545454553</v>
      </c>
      <c r="O59">
        <f t="shared" ref="O59:O63" si="27">(1/D59)*$L59</f>
        <v>0.83333333333333326</v>
      </c>
      <c r="P59">
        <f t="shared" ref="P59:P63" si="28">O59</f>
        <v>0.83333333333333326</v>
      </c>
      <c r="R59">
        <v>59</v>
      </c>
    </row>
    <row r="60" spans="1:18" ht="15">
      <c r="A60" s="438" t="s">
        <v>870</v>
      </c>
      <c r="B60" s="439">
        <v>0.97</v>
      </c>
      <c r="C60" s="439">
        <v>0.88</v>
      </c>
      <c r="D60" s="439">
        <v>0.86</v>
      </c>
      <c r="I60" s="1" t="str">
        <f>A60</f>
        <v xml:space="preserve">   Cooking</v>
      </c>
      <c r="K60" s="1" t="s">
        <v>262</v>
      </c>
      <c r="L60">
        <v>0.65</v>
      </c>
      <c r="M60">
        <f t="shared" si="25"/>
        <v>0.67010309278350522</v>
      </c>
      <c r="N60">
        <f t="shared" si="26"/>
        <v>0.73863636363636376</v>
      </c>
      <c r="O60">
        <f t="shared" si="27"/>
        <v>0.75581395348837221</v>
      </c>
      <c r="P60">
        <f t="shared" si="28"/>
        <v>0.75581395348837221</v>
      </c>
      <c r="R60">
        <v>60</v>
      </c>
    </row>
    <row r="61" spans="1:18" ht="15">
      <c r="A61" s="438" t="s">
        <v>871</v>
      </c>
      <c r="B61" s="439">
        <v>0.97</v>
      </c>
      <c r="C61" s="439">
        <v>0.9</v>
      </c>
      <c r="D61" s="439">
        <v>0.88</v>
      </c>
      <c r="I61" s="1" t="str">
        <f>A61</f>
        <v xml:space="preserve">   Other appliances</v>
      </c>
      <c r="K61" s="1" t="s">
        <v>265</v>
      </c>
      <c r="L61">
        <v>0.8</v>
      </c>
      <c r="M61">
        <f t="shared" si="25"/>
        <v>0.82474226804123729</v>
      </c>
      <c r="N61">
        <f t="shared" si="26"/>
        <v>0.88888888888888895</v>
      </c>
      <c r="O61">
        <f t="shared" si="27"/>
        <v>0.90909090909090917</v>
      </c>
      <c r="P61">
        <f t="shared" si="28"/>
        <v>0.90909090909090917</v>
      </c>
      <c r="R61">
        <v>61</v>
      </c>
    </row>
    <row r="62" spans="1:18" ht="15">
      <c r="A62" s="438" t="s">
        <v>872</v>
      </c>
      <c r="B62" s="439">
        <v>0.88</v>
      </c>
      <c r="C62" s="439">
        <v>0.55000000000000004</v>
      </c>
      <c r="D62" s="439">
        <v>0.49</v>
      </c>
      <c r="I62" s="1" t="str">
        <f>A62</f>
        <v xml:space="preserve">   Refrigeration</v>
      </c>
      <c r="K62" s="1" t="s">
        <v>264</v>
      </c>
      <c r="L62">
        <v>0.64200000000000002</v>
      </c>
      <c r="M62">
        <f t="shared" si="25"/>
        <v>0.72954545454545461</v>
      </c>
      <c r="N62">
        <f t="shared" si="26"/>
        <v>1.1672727272727272</v>
      </c>
      <c r="O62">
        <f t="shared" si="27"/>
        <v>1.3102040816326532</v>
      </c>
      <c r="P62">
        <f t="shared" si="28"/>
        <v>1.3102040816326532</v>
      </c>
      <c r="R62">
        <v>62</v>
      </c>
    </row>
    <row r="63" spans="1:18" ht="15">
      <c r="A63" s="438" t="s">
        <v>873</v>
      </c>
      <c r="B63" s="439">
        <v>1</v>
      </c>
      <c r="C63" s="439">
        <v>1</v>
      </c>
      <c r="D63" s="439">
        <v>1</v>
      </c>
      <c r="I63" s="1" t="str">
        <f>A63</f>
        <v xml:space="preserve">   Space heating</v>
      </c>
      <c r="K63" s="1" t="s">
        <v>246</v>
      </c>
      <c r="L63">
        <v>0.97249999999999992</v>
      </c>
      <c r="M63">
        <f t="shared" si="25"/>
        <v>0.97249999999999992</v>
      </c>
      <c r="N63">
        <f t="shared" si="26"/>
        <v>0.97249999999999992</v>
      </c>
      <c r="O63">
        <f t="shared" si="27"/>
        <v>0.97249999999999992</v>
      </c>
      <c r="P63">
        <f t="shared" si="28"/>
        <v>0.97249999999999992</v>
      </c>
      <c r="R63">
        <v>63</v>
      </c>
    </row>
    <row r="64" spans="1:18">
      <c r="R64">
        <v>64</v>
      </c>
    </row>
    <row r="65" spans="1:18" ht="15">
      <c r="A65" s="438" t="s">
        <v>909</v>
      </c>
      <c r="R65">
        <v>65</v>
      </c>
    </row>
    <row r="66" spans="1:18" ht="16.5" thickBot="1">
      <c r="A66" s="434"/>
      <c r="B66" s="435">
        <v>2020</v>
      </c>
      <c r="C66" s="435">
        <v>2030</v>
      </c>
      <c r="D66" s="435">
        <v>2040</v>
      </c>
      <c r="E66" s="1" t="s">
        <v>877</v>
      </c>
      <c r="L66" s="1" t="s">
        <v>878</v>
      </c>
      <c r="R66">
        <v>66</v>
      </c>
    </row>
    <row r="67" spans="1:18" ht="16.5" thickBot="1">
      <c r="A67" s="436" t="s">
        <v>869</v>
      </c>
      <c r="B67" s="437"/>
      <c r="C67" s="437"/>
      <c r="D67" s="437"/>
      <c r="L67">
        <v>2017</v>
      </c>
      <c r="M67">
        <v>2020</v>
      </c>
      <c r="N67">
        <v>2030</v>
      </c>
      <c r="O67">
        <v>2040</v>
      </c>
      <c r="P67">
        <v>2050</v>
      </c>
      <c r="R67">
        <v>67</v>
      </c>
    </row>
    <row r="68" spans="1:18" ht="15">
      <c r="A68" s="438" t="s">
        <v>870</v>
      </c>
      <c r="B68" s="439">
        <v>0.99</v>
      </c>
      <c r="C68" s="439">
        <v>0.94</v>
      </c>
      <c r="D68" s="439">
        <v>0.93</v>
      </c>
      <c r="I68" s="1" t="str">
        <f>A68</f>
        <v xml:space="preserve">   Cooking</v>
      </c>
      <c r="K68" s="1" t="s">
        <v>250</v>
      </c>
      <c r="L68" s="3">
        <v>0.8</v>
      </c>
      <c r="M68">
        <f>(1/B68)*$L68</f>
        <v>0.80808080808080818</v>
      </c>
      <c r="N68">
        <f t="shared" ref="N68:N71" si="29">(1/C68)*$L68</f>
        <v>0.85106382978723405</v>
      </c>
      <c r="O68">
        <f t="shared" ref="O68:O71" si="30">(1/D68)*$L68</f>
        <v>0.86021505376344087</v>
      </c>
      <c r="P68">
        <f>O68</f>
        <v>0.86021505376344087</v>
      </c>
      <c r="R68">
        <v>68</v>
      </c>
    </row>
    <row r="69" spans="1:18" ht="15">
      <c r="A69" s="438" t="s">
        <v>871</v>
      </c>
      <c r="B69" s="439">
        <v>0.99</v>
      </c>
      <c r="C69" s="439">
        <v>0.94</v>
      </c>
      <c r="D69" s="439">
        <v>0.9</v>
      </c>
      <c r="I69" s="1" t="str">
        <f>A69</f>
        <v xml:space="preserve">   Other appliances</v>
      </c>
      <c r="K69" s="1" t="s">
        <v>254</v>
      </c>
      <c r="L69">
        <v>0.8</v>
      </c>
      <c r="M69">
        <f t="shared" ref="M69:M71" si="31">(1/B69)*$L69</f>
        <v>0.80808080808080818</v>
      </c>
      <c r="N69">
        <f t="shared" si="29"/>
        <v>0.85106382978723405</v>
      </c>
      <c r="O69">
        <f t="shared" si="30"/>
        <v>0.88888888888888895</v>
      </c>
      <c r="P69">
        <f t="shared" ref="P69:P71" si="32">O69</f>
        <v>0.88888888888888895</v>
      </c>
      <c r="R69">
        <v>69</v>
      </c>
    </row>
    <row r="70" spans="1:18" ht="15">
      <c r="A70" s="438" t="s">
        <v>872</v>
      </c>
      <c r="B70" s="439">
        <v>0.86</v>
      </c>
      <c r="C70" s="439">
        <v>0.53</v>
      </c>
      <c r="D70" s="439">
        <v>0.49</v>
      </c>
      <c r="I70" s="1" t="str">
        <f>A70</f>
        <v xml:space="preserve">   Refrigeration</v>
      </c>
      <c r="K70" s="1" t="s">
        <v>253</v>
      </c>
      <c r="L70">
        <v>0.4</v>
      </c>
      <c r="M70">
        <f t="shared" si="31"/>
        <v>0.46511627906976749</v>
      </c>
      <c r="N70">
        <f t="shared" si="29"/>
        <v>0.75471698113207542</v>
      </c>
      <c r="O70">
        <f t="shared" si="30"/>
        <v>0.81632653061224492</v>
      </c>
      <c r="P70">
        <f t="shared" si="32"/>
        <v>0.81632653061224492</v>
      </c>
      <c r="R70">
        <v>70</v>
      </c>
    </row>
    <row r="71" spans="1:18" ht="15">
      <c r="A71" s="438" t="s">
        <v>873</v>
      </c>
      <c r="B71" s="439">
        <v>1</v>
      </c>
      <c r="C71" s="439">
        <v>1</v>
      </c>
      <c r="D71" s="439">
        <v>1</v>
      </c>
      <c r="I71" s="1" t="str">
        <f>A71</f>
        <v xml:space="preserve">   Space heating</v>
      </c>
      <c r="K71" s="1" t="s">
        <v>251</v>
      </c>
      <c r="L71">
        <v>0.94750000000000001</v>
      </c>
      <c r="M71">
        <f t="shared" si="31"/>
        <v>0.94750000000000001</v>
      </c>
      <c r="N71">
        <f t="shared" si="29"/>
        <v>0.94750000000000001</v>
      </c>
      <c r="O71">
        <f t="shared" si="30"/>
        <v>0.94750000000000001</v>
      </c>
      <c r="P71">
        <f t="shared" si="32"/>
        <v>0.94750000000000001</v>
      </c>
      <c r="R71">
        <v>71</v>
      </c>
    </row>
    <row r="72" spans="1:18" ht="16.5" thickBot="1">
      <c r="A72" s="436" t="s">
        <v>874</v>
      </c>
      <c r="B72" s="437"/>
      <c r="C72" s="437"/>
      <c r="D72" s="437"/>
      <c r="I72" s="1"/>
      <c r="R72">
        <v>72</v>
      </c>
    </row>
    <row r="73" spans="1:18" ht="15">
      <c r="A73" s="438" t="s">
        <v>875</v>
      </c>
      <c r="B73" s="439">
        <v>0.95</v>
      </c>
      <c r="C73" s="439">
        <v>0.88</v>
      </c>
      <c r="D73" s="439">
        <v>0.86</v>
      </c>
      <c r="I73" s="1" t="str">
        <f>A73</f>
        <v xml:space="preserve">    Hot water Geyser</v>
      </c>
      <c r="K73" t="str">
        <f>RES!D117</f>
        <v>RHEK</v>
      </c>
      <c r="L73" s="3">
        <v>0.7</v>
      </c>
      <c r="M73">
        <f t="shared" ref="M73:M77" si="33">(1/B73)*$L73</f>
        <v>0.73684210526315785</v>
      </c>
      <c r="N73">
        <f t="shared" ref="N73:N77" si="34">(1/C73)*$L73</f>
        <v>0.79545454545454553</v>
      </c>
      <c r="O73">
        <f t="shared" ref="O73:O77" si="35">(1/D73)*$L73</f>
        <v>0.81395348837209303</v>
      </c>
      <c r="P73">
        <f t="shared" ref="P73:P77" si="36">O73</f>
        <v>0.81395348837209303</v>
      </c>
      <c r="R73">
        <v>73</v>
      </c>
    </row>
    <row r="74" spans="1:18" ht="15">
      <c r="A74" s="438" t="s">
        <v>870</v>
      </c>
      <c r="B74" s="439">
        <v>0.98</v>
      </c>
      <c r="C74" s="439">
        <v>0.91</v>
      </c>
      <c r="D74" s="439">
        <v>0.89</v>
      </c>
      <c r="I74" s="1" t="str">
        <f>A74</f>
        <v xml:space="preserve">   Cooking</v>
      </c>
      <c r="K74" s="1" t="s">
        <v>256</v>
      </c>
      <c r="L74">
        <v>0.65</v>
      </c>
      <c r="M74">
        <f t="shared" si="33"/>
        <v>0.66326530612244905</v>
      </c>
      <c r="N74">
        <f t="shared" si="34"/>
        <v>0.71428571428571419</v>
      </c>
      <c r="O74">
        <f t="shared" si="35"/>
        <v>0.73033707865168551</v>
      </c>
      <c r="P74">
        <f t="shared" si="36"/>
        <v>0.73033707865168551</v>
      </c>
      <c r="R74">
        <v>74</v>
      </c>
    </row>
    <row r="75" spans="1:18" ht="15">
      <c r="A75" s="438" t="s">
        <v>871</v>
      </c>
      <c r="B75" s="439">
        <v>0.99</v>
      </c>
      <c r="C75" s="439">
        <v>0.95</v>
      </c>
      <c r="D75" s="439">
        <v>0.94</v>
      </c>
      <c r="I75" s="1" t="str">
        <f>A75</f>
        <v xml:space="preserve">   Other appliances</v>
      </c>
      <c r="K75" s="1" t="s">
        <v>260</v>
      </c>
      <c r="L75">
        <v>0.8</v>
      </c>
      <c r="M75">
        <f t="shared" si="33"/>
        <v>0.80808080808080818</v>
      </c>
      <c r="N75">
        <f t="shared" si="34"/>
        <v>0.84210526315789469</v>
      </c>
      <c r="O75">
        <f t="shared" si="35"/>
        <v>0.85106382978723405</v>
      </c>
      <c r="P75">
        <f t="shared" si="36"/>
        <v>0.85106382978723405</v>
      </c>
      <c r="R75">
        <v>75</v>
      </c>
    </row>
    <row r="76" spans="1:18" ht="15">
      <c r="A76" s="438" t="s">
        <v>872</v>
      </c>
      <c r="B76" s="439">
        <v>0.86</v>
      </c>
      <c r="C76" s="439">
        <v>0.52</v>
      </c>
      <c r="D76" s="439">
        <v>0.49</v>
      </c>
      <c r="I76" s="1" t="str">
        <f>A76</f>
        <v xml:space="preserve">   Refrigeration</v>
      </c>
      <c r="K76" s="1" t="s">
        <v>259</v>
      </c>
      <c r="L76">
        <v>0.64200000000000002</v>
      </c>
      <c r="M76">
        <f t="shared" si="33"/>
        <v>0.74651162790697678</v>
      </c>
      <c r="N76">
        <f t="shared" si="34"/>
        <v>1.2346153846153844</v>
      </c>
      <c r="O76">
        <f t="shared" si="35"/>
        <v>1.3102040816326532</v>
      </c>
      <c r="P76">
        <f t="shared" si="36"/>
        <v>1.3102040816326532</v>
      </c>
      <c r="R76">
        <v>76</v>
      </c>
    </row>
    <row r="77" spans="1:18" ht="15">
      <c r="A77" s="438" t="s">
        <v>873</v>
      </c>
      <c r="B77" s="439">
        <v>1</v>
      </c>
      <c r="C77" s="439">
        <v>1</v>
      </c>
      <c r="D77" s="439">
        <v>1</v>
      </c>
      <c r="I77" s="1" t="str">
        <f>A77</f>
        <v xml:space="preserve">   Space heating</v>
      </c>
      <c r="K77" s="1" t="s">
        <v>257</v>
      </c>
      <c r="L77">
        <v>0.94750000000000012</v>
      </c>
      <c r="M77">
        <f t="shared" si="33"/>
        <v>0.94750000000000012</v>
      </c>
      <c r="N77">
        <f t="shared" si="34"/>
        <v>0.94750000000000012</v>
      </c>
      <c r="O77">
        <f t="shared" si="35"/>
        <v>0.94750000000000012</v>
      </c>
      <c r="P77">
        <f t="shared" si="36"/>
        <v>0.94750000000000012</v>
      </c>
      <c r="R77">
        <v>77</v>
      </c>
    </row>
    <row r="78" spans="1:18" ht="16.5" thickBot="1">
      <c r="A78" s="440" t="s">
        <v>876</v>
      </c>
      <c r="B78" s="441"/>
      <c r="C78" s="441"/>
      <c r="D78" s="441"/>
      <c r="I78" s="1"/>
      <c r="R78">
        <v>78</v>
      </c>
    </row>
    <row r="79" spans="1:18" ht="15">
      <c r="A79" s="438" t="s">
        <v>875</v>
      </c>
      <c r="B79" s="439">
        <v>0.97</v>
      </c>
      <c r="C79" s="439">
        <v>0.88</v>
      </c>
      <c r="D79" s="439">
        <v>0.84</v>
      </c>
      <c r="I79" s="1" t="str">
        <f>A79</f>
        <v xml:space="preserve">    Hot water Geyser</v>
      </c>
      <c r="L79" s="3">
        <v>0.7</v>
      </c>
      <c r="M79">
        <f t="shared" ref="M79:M83" si="37">(1/B79)*$L79</f>
        <v>0.72164948453608246</v>
      </c>
      <c r="N79">
        <f t="shared" ref="N79:N83" si="38">(1/C79)*$L79</f>
        <v>0.79545454545454553</v>
      </c>
      <c r="O79">
        <f t="shared" ref="O79:O83" si="39">(1/D79)*$L79</f>
        <v>0.83333333333333326</v>
      </c>
      <c r="P79">
        <f t="shared" ref="P79:P83" si="40">O79</f>
        <v>0.83333333333333326</v>
      </c>
      <c r="R79">
        <v>79</v>
      </c>
    </row>
    <row r="80" spans="1:18" ht="15">
      <c r="A80" s="438" t="s">
        <v>870</v>
      </c>
      <c r="B80" s="439">
        <v>0.97</v>
      </c>
      <c r="C80" s="439">
        <v>0.88</v>
      </c>
      <c r="D80" s="439">
        <v>0.86</v>
      </c>
      <c r="I80" s="1" t="str">
        <f>A80</f>
        <v xml:space="preserve">   Cooking</v>
      </c>
      <c r="K80" s="1" t="s">
        <v>262</v>
      </c>
      <c r="L80">
        <v>0.65</v>
      </c>
      <c r="M80">
        <f t="shared" si="37"/>
        <v>0.67010309278350522</v>
      </c>
      <c r="N80">
        <f t="shared" si="38"/>
        <v>0.73863636363636376</v>
      </c>
      <c r="O80">
        <f t="shared" si="39"/>
        <v>0.75581395348837221</v>
      </c>
      <c r="P80">
        <f t="shared" si="40"/>
        <v>0.75581395348837221</v>
      </c>
      <c r="R80">
        <v>80</v>
      </c>
    </row>
    <row r="81" spans="1:18" ht="15">
      <c r="A81" s="438" t="s">
        <v>871</v>
      </c>
      <c r="B81" s="439">
        <v>0.97</v>
      </c>
      <c r="C81" s="439">
        <v>0.9</v>
      </c>
      <c r="D81" s="439">
        <v>0.88</v>
      </c>
      <c r="I81" s="1" t="str">
        <f>A81</f>
        <v xml:space="preserve">   Other appliances</v>
      </c>
      <c r="K81" s="1" t="s">
        <v>265</v>
      </c>
      <c r="L81">
        <v>0.8</v>
      </c>
      <c r="M81">
        <f t="shared" si="37"/>
        <v>0.82474226804123729</v>
      </c>
      <c r="N81">
        <f t="shared" si="38"/>
        <v>0.88888888888888895</v>
      </c>
      <c r="O81">
        <f t="shared" si="39"/>
        <v>0.90909090909090917</v>
      </c>
      <c r="P81">
        <f t="shared" si="40"/>
        <v>0.90909090909090917</v>
      </c>
      <c r="R81">
        <v>81</v>
      </c>
    </row>
    <row r="82" spans="1:18" ht="15">
      <c r="A82" s="438" t="s">
        <v>872</v>
      </c>
      <c r="B82" s="439">
        <v>0.88</v>
      </c>
      <c r="C82" s="439">
        <v>0.55000000000000004</v>
      </c>
      <c r="D82" s="439">
        <v>0.49</v>
      </c>
      <c r="I82" s="1" t="str">
        <f>A82</f>
        <v xml:space="preserve">   Refrigeration</v>
      </c>
      <c r="K82" s="1" t="s">
        <v>264</v>
      </c>
      <c r="L82">
        <v>0.64200000000000002</v>
      </c>
      <c r="M82">
        <f t="shared" si="37"/>
        <v>0.72954545454545461</v>
      </c>
      <c r="N82">
        <f t="shared" si="38"/>
        <v>1.1672727272727272</v>
      </c>
      <c r="O82">
        <f t="shared" si="39"/>
        <v>1.3102040816326532</v>
      </c>
      <c r="P82">
        <f t="shared" si="40"/>
        <v>1.3102040816326532</v>
      </c>
      <c r="R82">
        <v>82</v>
      </c>
    </row>
    <row r="83" spans="1:18" ht="15">
      <c r="A83" s="438" t="s">
        <v>873</v>
      </c>
      <c r="B83" s="439">
        <v>1</v>
      </c>
      <c r="C83" s="439">
        <v>1</v>
      </c>
      <c r="D83" s="439">
        <v>1</v>
      </c>
      <c r="I83" s="1" t="str">
        <f>A83</f>
        <v xml:space="preserve">   Space heating</v>
      </c>
      <c r="K83" s="1" t="s">
        <v>246</v>
      </c>
      <c r="L83">
        <v>0.97249999999999992</v>
      </c>
      <c r="M83">
        <f t="shared" si="37"/>
        <v>0.97249999999999992</v>
      </c>
      <c r="N83">
        <f t="shared" si="38"/>
        <v>0.97249999999999992</v>
      </c>
      <c r="O83">
        <f t="shared" si="39"/>
        <v>0.97249999999999992</v>
      </c>
      <c r="P83">
        <f t="shared" si="40"/>
        <v>0.97249999999999992</v>
      </c>
      <c r="R83">
        <v>83</v>
      </c>
    </row>
    <row r="84" spans="1:18">
      <c r="R84">
        <v>84</v>
      </c>
    </row>
    <row r="85" spans="1:18" ht="15">
      <c r="A85" s="438" t="s">
        <v>910</v>
      </c>
      <c r="R85">
        <v>85</v>
      </c>
    </row>
    <row r="86" spans="1:18" ht="16.5" thickBot="1">
      <c r="A86" s="434"/>
      <c r="B86" s="435">
        <v>2020</v>
      </c>
      <c r="C86" s="435">
        <v>2030</v>
      </c>
      <c r="D86" s="435">
        <v>2040</v>
      </c>
      <c r="E86" s="1" t="s">
        <v>877</v>
      </c>
      <c r="L86" s="1" t="s">
        <v>878</v>
      </c>
      <c r="R86">
        <v>86</v>
      </c>
    </row>
    <row r="87" spans="1:18" ht="16.5" thickBot="1">
      <c r="A87" s="436" t="s">
        <v>869</v>
      </c>
      <c r="B87" s="437"/>
      <c r="C87" s="437"/>
      <c r="D87" s="437"/>
      <c r="L87">
        <v>2017</v>
      </c>
      <c r="M87">
        <v>2020</v>
      </c>
      <c r="N87">
        <v>2030</v>
      </c>
      <c r="O87">
        <v>2040</v>
      </c>
      <c r="P87">
        <v>2050</v>
      </c>
      <c r="R87">
        <v>87</v>
      </c>
    </row>
    <row r="88" spans="1:18" ht="15">
      <c r="A88" s="438" t="s">
        <v>870</v>
      </c>
      <c r="B88" s="439">
        <v>0.99</v>
      </c>
      <c r="C88" s="439">
        <v>0.94</v>
      </c>
      <c r="D88" s="439">
        <v>0.93</v>
      </c>
      <c r="I88" s="1" t="str">
        <f>A88</f>
        <v xml:space="preserve">   Cooking</v>
      </c>
      <c r="K88" s="1" t="s">
        <v>250</v>
      </c>
      <c r="L88" s="3">
        <v>0.8</v>
      </c>
      <c r="M88">
        <f>(1/B88)*$L88</f>
        <v>0.80808080808080818</v>
      </c>
      <c r="N88">
        <f t="shared" ref="N88:N91" si="41">(1/C88)*$L88</f>
        <v>0.85106382978723405</v>
      </c>
      <c r="O88">
        <f t="shared" ref="O88:O91" si="42">(1/D88)*$L88</f>
        <v>0.86021505376344087</v>
      </c>
      <c r="P88">
        <f>O88</f>
        <v>0.86021505376344087</v>
      </c>
      <c r="R88">
        <v>88</v>
      </c>
    </row>
    <row r="89" spans="1:18" ht="15">
      <c r="A89" s="438" t="s">
        <v>871</v>
      </c>
      <c r="B89" s="439">
        <v>0.99</v>
      </c>
      <c r="C89" s="439">
        <v>0.94</v>
      </c>
      <c r="D89" s="439">
        <v>0.9</v>
      </c>
      <c r="I89" s="1" t="str">
        <f>A89</f>
        <v xml:space="preserve">   Other appliances</v>
      </c>
      <c r="K89" s="1" t="s">
        <v>254</v>
      </c>
      <c r="L89">
        <v>0.8</v>
      </c>
      <c r="M89">
        <f t="shared" ref="M89:M91" si="43">(1/B89)*$L89</f>
        <v>0.80808080808080818</v>
      </c>
      <c r="N89">
        <f t="shared" si="41"/>
        <v>0.85106382978723405</v>
      </c>
      <c r="O89">
        <f t="shared" si="42"/>
        <v>0.88888888888888895</v>
      </c>
      <c r="P89">
        <f t="shared" ref="P89:P91" si="44">O89</f>
        <v>0.88888888888888895</v>
      </c>
      <c r="R89">
        <v>89</v>
      </c>
    </row>
    <row r="90" spans="1:18" ht="15">
      <c r="A90" s="438" t="s">
        <v>872</v>
      </c>
      <c r="B90" s="439">
        <v>0.86</v>
      </c>
      <c r="C90" s="439">
        <v>0.53</v>
      </c>
      <c r="D90" s="439">
        <v>0.49</v>
      </c>
      <c r="I90" s="1" t="str">
        <f>A90</f>
        <v xml:space="preserve">   Refrigeration</v>
      </c>
      <c r="K90" s="1" t="s">
        <v>253</v>
      </c>
      <c r="L90">
        <v>0.4</v>
      </c>
      <c r="M90">
        <f t="shared" si="43"/>
        <v>0.46511627906976749</v>
      </c>
      <c r="N90">
        <f t="shared" si="41"/>
        <v>0.75471698113207542</v>
      </c>
      <c r="O90">
        <f t="shared" si="42"/>
        <v>0.81632653061224492</v>
      </c>
      <c r="P90">
        <f t="shared" si="44"/>
        <v>0.81632653061224492</v>
      </c>
      <c r="R90">
        <v>90</v>
      </c>
    </row>
    <row r="91" spans="1:18" ht="15">
      <c r="A91" s="438" t="s">
        <v>873</v>
      </c>
      <c r="B91" s="439">
        <v>1</v>
      </c>
      <c r="C91" s="439">
        <v>1</v>
      </c>
      <c r="D91" s="439">
        <v>1</v>
      </c>
      <c r="I91" s="1" t="str">
        <f>A91</f>
        <v xml:space="preserve">   Space heating</v>
      </c>
      <c r="K91" s="1" t="s">
        <v>251</v>
      </c>
      <c r="L91">
        <v>0.94750000000000001</v>
      </c>
      <c r="M91">
        <f t="shared" si="43"/>
        <v>0.94750000000000001</v>
      </c>
      <c r="N91">
        <f t="shared" si="41"/>
        <v>0.94750000000000001</v>
      </c>
      <c r="O91">
        <f t="shared" si="42"/>
        <v>0.94750000000000001</v>
      </c>
      <c r="P91">
        <f t="shared" si="44"/>
        <v>0.94750000000000001</v>
      </c>
      <c r="R91">
        <v>91</v>
      </c>
    </row>
    <row r="92" spans="1:18" ht="16.5" thickBot="1">
      <c r="A92" s="436" t="s">
        <v>874</v>
      </c>
      <c r="B92" s="437"/>
      <c r="C92" s="437"/>
      <c r="D92" s="437"/>
      <c r="I92" s="1"/>
      <c r="R92">
        <v>92</v>
      </c>
    </row>
    <row r="93" spans="1:18" ht="15">
      <c r="A93" s="438" t="s">
        <v>875</v>
      </c>
      <c r="B93" s="439">
        <v>0.95</v>
      </c>
      <c r="C93" s="439">
        <v>0.88</v>
      </c>
      <c r="D93" s="439">
        <v>0.86</v>
      </c>
      <c r="I93" s="1" t="str">
        <f>A93</f>
        <v xml:space="preserve">    Hot water Geyser</v>
      </c>
      <c r="K93" t="str">
        <f>RES!D137</f>
        <v>RHEW</v>
      </c>
      <c r="L93" s="3">
        <v>0.7</v>
      </c>
      <c r="M93">
        <f t="shared" ref="M93:M97" si="45">(1/B93)*$L93</f>
        <v>0.73684210526315785</v>
      </c>
      <c r="N93">
        <f t="shared" ref="N93:N97" si="46">(1/C93)*$L93</f>
        <v>0.79545454545454553</v>
      </c>
      <c r="O93">
        <f t="shared" ref="O93:O97" si="47">(1/D93)*$L93</f>
        <v>0.81395348837209303</v>
      </c>
      <c r="P93">
        <f t="shared" ref="P93:P97" si="48">O93</f>
        <v>0.81395348837209303</v>
      </c>
      <c r="R93">
        <v>93</v>
      </c>
    </row>
    <row r="94" spans="1:18" ht="15">
      <c r="A94" s="438" t="s">
        <v>870</v>
      </c>
      <c r="B94" s="439">
        <v>0.98</v>
      </c>
      <c r="C94" s="439">
        <v>0.91</v>
      </c>
      <c r="D94" s="439">
        <v>0.89</v>
      </c>
      <c r="I94" s="1" t="str">
        <f>A94</f>
        <v xml:space="preserve">   Cooking</v>
      </c>
      <c r="K94" s="1" t="s">
        <v>256</v>
      </c>
      <c r="L94">
        <v>0.65</v>
      </c>
      <c r="M94">
        <f t="shared" si="45"/>
        <v>0.66326530612244905</v>
      </c>
      <c r="N94">
        <f t="shared" si="46"/>
        <v>0.71428571428571419</v>
      </c>
      <c r="O94">
        <f t="shared" si="47"/>
        <v>0.73033707865168551</v>
      </c>
      <c r="P94">
        <f t="shared" si="48"/>
        <v>0.73033707865168551</v>
      </c>
      <c r="R94">
        <v>94</v>
      </c>
    </row>
    <row r="95" spans="1:18" ht="15">
      <c r="A95" s="438" t="s">
        <v>871</v>
      </c>
      <c r="B95" s="439">
        <v>0.99</v>
      </c>
      <c r="C95" s="439">
        <v>0.95</v>
      </c>
      <c r="D95" s="439">
        <v>0.94</v>
      </c>
      <c r="I95" s="1" t="str">
        <f>A95</f>
        <v xml:space="preserve">   Other appliances</v>
      </c>
      <c r="K95" s="1" t="s">
        <v>260</v>
      </c>
      <c r="L95">
        <v>0.8</v>
      </c>
      <c r="M95">
        <f t="shared" si="45"/>
        <v>0.80808080808080818</v>
      </c>
      <c r="N95">
        <f t="shared" si="46"/>
        <v>0.84210526315789469</v>
      </c>
      <c r="O95">
        <f t="shared" si="47"/>
        <v>0.85106382978723405</v>
      </c>
      <c r="P95">
        <f t="shared" si="48"/>
        <v>0.85106382978723405</v>
      </c>
      <c r="R95">
        <v>95</v>
      </c>
    </row>
    <row r="96" spans="1:18" ht="15">
      <c r="A96" s="438" t="s">
        <v>872</v>
      </c>
      <c r="B96" s="439">
        <v>0.86</v>
      </c>
      <c r="C96" s="439">
        <v>0.52</v>
      </c>
      <c r="D96" s="439">
        <v>0.49</v>
      </c>
      <c r="I96" s="1" t="str">
        <f>A96</f>
        <v xml:space="preserve">   Refrigeration</v>
      </c>
      <c r="K96" s="1" t="s">
        <v>259</v>
      </c>
      <c r="L96">
        <v>0.64200000000000002</v>
      </c>
      <c r="M96">
        <f t="shared" si="45"/>
        <v>0.74651162790697678</v>
      </c>
      <c r="N96">
        <f t="shared" si="46"/>
        <v>1.2346153846153844</v>
      </c>
      <c r="O96">
        <f t="shared" si="47"/>
        <v>1.3102040816326532</v>
      </c>
      <c r="P96">
        <f t="shared" si="48"/>
        <v>1.3102040816326532</v>
      </c>
      <c r="R96">
        <v>96</v>
      </c>
    </row>
    <row r="97" spans="1:18" ht="15">
      <c r="A97" s="438" t="s">
        <v>873</v>
      </c>
      <c r="B97" s="439">
        <v>1</v>
      </c>
      <c r="C97" s="439">
        <v>1</v>
      </c>
      <c r="D97" s="439">
        <v>1</v>
      </c>
      <c r="I97" s="1" t="str">
        <f>A97</f>
        <v xml:space="preserve">   Space heating</v>
      </c>
      <c r="K97" s="1" t="s">
        <v>257</v>
      </c>
      <c r="L97">
        <v>0.94750000000000012</v>
      </c>
      <c r="M97">
        <f t="shared" si="45"/>
        <v>0.94750000000000012</v>
      </c>
      <c r="N97">
        <f t="shared" si="46"/>
        <v>0.94750000000000012</v>
      </c>
      <c r="O97">
        <f t="shared" si="47"/>
        <v>0.94750000000000012</v>
      </c>
      <c r="P97">
        <f t="shared" si="48"/>
        <v>0.94750000000000012</v>
      </c>
      <c r="R97">
        <v>97</v>
      </c>
    </row>
    <row r="98" spans="1:18" ht="16.5" thickBot="1">
      <c r="A98" s="440" t="s">
        <v>876</v>
      </c>
      <c r="B98" s="441"/>
      <c r="C98" s="441"/>
      <c r="D98" s="441"/>
      <c r="I98" s="1"/>
      <c r="R98">
        <v>98</v>
      </c>
    </row>
    <row r="99" spans="1:18" ht="15">
      <c r="A99" s="438" t="s">
        <v>875</v>
      </c>
      <c r="B99" s="439">
        <v>0.97</v>
      </c>
      <c r="C99" s="439">
        <v>0.88</v>
      </c>
      <c r="D99" s="439">
        <v>0.84</v>
      </c>
      <c r="I99" s="1" t="str">
        <f>A99</f>
        <v xml:space="preserve">    Hot water Geyser</v>
      </c>
      <c r="L99" s="3">
        <v>0.7</v>
      </c>
      <c r="M99">
        <f t="shared" ref="M99:M103" si="49">(1/B99)*$L99</f>
        <v>0.72164948453608246</v>
      </c>
      <c r="N99">
        <f t="shared" ref="N99:N103" si="50">(1/C99)*$L99</f>
        <v>0.79545454545454553</v>
      </c>
      <c r="O99">
        <f t="shared" ref="O99:O103" si="51">(1/D99)*$L99</f>
        <v>0.83333333333333326</v>
      </c>
      <c r="P99">
        <f t="shared" ref="P99:P103" si="52">O99</f>
        <v>0.83333333333333326</v>
      </c>
      <c r="R99">
        <v>99</v>
      </c>
    </row>
    <row r="100" spans="1:18" ht="15">
      <c r="A100" s="438" t="s">
        <v>870</v>
      </c>
      <c r="B100" s="439">
        <v>0.97</v>
      </c>
      <c r="C100" s="439">
        <v>0.88</v>
      </c>
      <c r="D100" s="439">
        <v>0.86</v>
      </c>
      <c r="I100" s="1" t="str">
        <f>A100</f>
        <v xml:space="preserve">   Cooking</v>
      </c>
      <c r="K100" s="1" t="s">
        <v>262</v>
      </c>
      <c r="L100">
        <v>0.65</v>
      </c>
      <c r="M100">
        <f t="shared" si="49"/>
        <v>0.67010309278350522</v>
      </c>
      <c r="N100">
        <f t="shared" si="50"/>
        <v>0.73863636363636376</v>
      </c>
      <c r="O100">
        <f t="shared" si="51"/>
        <v>0.75581395348837221</v>
      </c>
      <c r="P100">
        <f t="shared" si="52"/>
        <v>0.75581395348837221</v>
      </c>
      <c r="R100">
        <v>100</v>
      </c>
    </row>
    <row r="101" spans="1:18" ht="15">
      <c r="A101" s="438" t="s">
        <v>871</v>
      </c>
      <c r="B101" s="439">
        <v>0.97</v>
      </c>
      <c r="C101" s="439">
        <v>0.9</v>
      </c>
      <c r="D101" s="439">
        <v>0.88</v>
      </c>
      <c r="I101" s="1" t="str">
        <f>A101</f>
        <v xml:space="preserve">   Other appliances</v>
      </c>
      <c r="K101" s="1" t="s">
        <v>265</v>
      </c>
      <c r="L101">
        <v>0.8</v>
      </c>
      <c r="M101">
        <f t="shared" si="49"/>
        <v>0.82474226804123729</v>
      </c>
      <c r="N101">
        <f t="shared" si="50"/>
        <v>0.88888888888888895</v>
      </c>
      <c r="O101">
        <f t="shared" si="51"/>
        <v>0.90909090909090917</v>
      </c>
      <c r="P101">
        <f t="shared" si="52"/>
        <v>0.90909090909090917</v>
      </c>
      <c r="R101">
        <v>101</v>
      </c>
    </row>
    <row r="102" spans="1:18" ht="15">
      <c r="A102" s="438" t="s">
        <v>872</v>
      </c>
      <c r="B102" s="439">
        <v>0.88</v>
      </c>
      <c r="C102" s="439">
        <v>0.55000000000000004</v>
      </c>
      <c r="D102" s="439">
        <v>0.49</v>
      </c>
      <c r="I102" s="1" t="str">
        <f>A102</f>
        <v xml:space="preserve">   Refrigeration</v>
      </c>
      <c r="K102" s="1" t="s">
        <v>264</v>
      </c>
      <c r="L102">
        <v>0.64200000000000002</v>
      </c>
      <c r="M102">
        <f t="shared" si="49"/>
        <v>0.72954545454545461</v>
      </c>
      <c r="N102">
        <f t="shared" si="50"/>
        <v>1.1672727272727272</v>
      </c>
      <c r="O102">
        <f t="shared" si="51"/>
        <v>1.3102040816326532</v>
      </c>
      <c r="P102">
        <f t="shared" si="52"/>
        <v>1.3102040816326532</v>
      </c>
      <c r="R102">
        <v>102</v>
      </c>
    </row>
    <row r="103" spans="1:18" ht="15">
      <c r="A103" s="438" t="s">
        <v>873</v>
      </c>
      <c r="B103" s="439">
        <v>1</v>
      </c>
      <c r="C103" s="439">
        <v>1</v>
      </c>
      <c r="D103" s="439">
        <v>1</v>
      </c>
      <c r="I103" s="1" t="str">
        <f>A103</f>
        <v xml:space="preserve">   Space heating</v>
      </c>
      <c r="K103" s="1" t="s">
        <v>246</v>
      </c>
      <c r="L103">
        <v>0.97249999999999992</v>
      </c>
      <c r="M103">
        <f t="shared" si="49"/>
        <v>0.97249999999999992</v>
      </c>
      <c r="N103">
        <f t="shared" si="50"/>
        <v>0.97249999999999992</v>
      </c>
      <c r="O103">
        <f t="shared" si="51"/>
        <v>0.97249999999999992</v>
      </c>
      <c r="P103">
        <f t="shared" si="52"/>
        <v>0.97249999999999992</v>
      </c>
      <c r="R103">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8"/>
  <dimension ref="A1:AQ357"/>
  <sheetViews>
    <sheetView topLeftCell="I1" zoomScale="130" zoomScaleNormal="130" workbookViewId="0">
      <selection activeCell="E28" sqref="E28"/>
    </sheetView>
  </sheetViews>
  <sheetFormatPr defaultColWidth="9.140625" defaultRowHeight="12.75"/>
  <cols>
    <col min="1" max="1" width="56.7109375" style="85" customWidth="1"/>
    <col min="2" max="2" width="21.7109375" style="85" customWidth="1"/>
    <col min="3" max="3" width="13.28515625" style="85" customWidth="1"/>
    <col min="4" max="4" width="14.7109375" style="85" customWidth="1"/>
    <col min="5" max="5" width="10.7109375" style="85" customWidth="1"/>
    <col min="6" max="16" width="29.42578125" style="85" customWidth="1"/>
    <col min="17" max="17" width="15.42578125" style="85" customWidth="1"/>
    <col min="18" max="46" width="9.140625" style="85"/>
    <col min="47" max="47" width="13.7109375" style="85" customWidth="1"/>
    <col min="48" max="78" width="9.140625" style="85"/>
    <col min="79" max="79" width="13.28515625" style="85" bestFit="1" customWidth="1"/>
    <col min="80" max="80" width="10.42578125" style="85" bestFit="1" customWidth="1"/>
    <col min="81" max="82" width="11.42578125" style="85" bestFit="1" customWidth="1"/>
    <col min="83" max="84" width="10.42578125" style="85" bestFit="1" customWidth="1"/>
    <col min="85" max="85" width="9.42578125" style="85" bestFit="1" customWidth="1"/>
    <col min="86" max="86" width="9.28515625" style="85" bestFit="1" customWidth="1"/>
    <col min="87" max="88" width="9.140625" style="85"/>
    <col min="89" max="89" width="10.42578125" style="85" bestFit="1" customWidth="1"/>
    <col min="90" max="91" width="9.140625" style="85"/>
    <col min="92" max="92" width="10.42578125" style="85" customWidth="1"/>
    <col min="93" max="16384" width="9.140625" style="85"/>
  </cols>
  <sheetData>
    <row r="1" spans="1:15" s="443" customFormat="1" ht="22.5">
      <c r="A1" s="463" t="s">
        <v>888</v>
      </c>
      <c r="O1" s="85"/>
    </row>
    <row r="2" spans="1:15" s="398" customFormat="1" ht="39" thickBot="1">
      <c r="D2" s="430" t="s">
        <v>849</v>
      </c>
      <c r="E2" s="430" t="s">
        <v>848</v>
      </c>
      <c r="F2" s="430" t="s">
        <v>882</v>
      </c>
      <c r="G2" s="430" t="s">
        <v>884</v>
      </c>
      <c r="H2" s="430" t="s">
        <v>883</v>
      </c>
      <c r="I2" s="430"/>
      <c r="J2" s="430" t="s">
        <v>928</v>
      </c>
      <c r="K2" s="85"/>
    </row>
    <row r="3" spans="1:15" ht="76.5">
      <c r="A3" s="458" t="s">
        <v>35</v>
      </c>
      <c r="B3" s="449" t="s">
        <v>847</v>
      </c>
      <c r="C3" s="450"/>
      <c r="D3" s="451">
        <f>F220/G8</f>
        <v>0.44069965049004917</v>
      </c>
      <c r="E3" s="589">
        <f t="shared" ref="E3:F5" si="0">D3</f>
        <v>0.44069965049004917</v>
      </c>
      <c r="F3" s="590">
        <f t="shared" si="0"/>
        <v>0.44069965049004917</v>
      </c>
      <c r="G3" s="467">
        <f>E3*G$8</f>
        <v>6368181.1185857709</v>
      </c>
      <c r="H3" s="507">
        <f>F3*H$9</f>
        <v>7681839.2522781566</v>
      </c>
      <c r="I3" s="508">
        <v>0.44932093804663059</v>
      </c>
      <c r="J3" s="509">
        <f>I3*$J$9</f>
        <v>8324913.0610766076</v>
      </c>
    </row>
    <row r="4" spans="1:15">
      <c r="A4" s="459" t="s">
        <v>457</v>
      </c>
      <c r="B4" s="452" t="s">
        <v>842</v>
      </c>
      <c r="C4" s="453"/>
      <c r="D4" s="454">
        <f>F229/G8</f>
        <v>0.31972350159976914</v>
      </c>
      <c r="E4" s="591">
        <f t="shared" si="0"/>
        <v>0.31972350159976914</v>
      </c>
      <c r="F4" s="592">
        <f t="shared" si="0"/>
        <v>0.31972350159976914</v>
      </c>
      <c r="G4" s="468">
        <f>E4*G$8</f>
        <v>4620056.2305681948</v>
      </c>
      <c r="H4" s="471">
        <f>F4*H$9</f>
        <v>5573103.0004989337</v>
      </c>
      <c r="I4" s="503">
        <v>0.30777027456338796</v>
      </c>
      <c r="J4" s="500">
        <f t="shared" ref="J4:J5" si="1">I4*$J$9</f>
        <v>5702295.5343736522</v>
      </c>
      <c r="M4" s="85" t="s">
        <v>926</v>
      </c>
      <c r="N4" s="85" t="s">
        <v>927</v>
      </c>
    </row>
    <row r="5" spans="1:15" ht="13.5" thickBot="1">
      <c r="A5" s="460" t="s">
        <v>37</v>
      </c>
      <c r="B5" s="455" t="s">
        <v>842</v>
      </c>
      <c r="C5" s="456"/>
      <c r="D5" s="457">
        <f>F238/G8</f>
        <v>0.23957684791018166</v>
      </c>
      <c r="E5" s="593">
        <f t="shared" si="0"/>
        <v>0.23957684791018166</v>
      </c>
      <c r="F5" s="594">
        <f t="shared" si="0"/>
        <v>0.23957684791018166</v>
      </c>
      <c r="G5" s="469">
        <f>E5*G$8</f>
        <v>3461924.1417945321</v>
      </c>
      <c r="H5" s="504">
        <f>F5*H$9</f>
        <v>4176066.0172229088</v>
      </c>
      <c r="I5" s="505">
        <v>0.24290878738998153</v>
      </c>
      <c r="J5" s="506">
        <f t="shared" si="1"/>
        <v>4500557.0975267449</v>
      </c>
      <c r="K5" s="499">
        <f>H5/(H5+H6+H7)</f>
        <v>0.27967647995352607</v>
      </c>
      <c r="L5" s="85" t="s">
        <v>610</v>
      </c>
      <c r="M5" s="85">
        <v>14.406601969588325</v>
      </c>
      <c r="N5" s="85">
        <f>M5/SUM(M$5:M$7)</f>
        <v>0.27623399180360764</v>
      </c>
    </row>
    <row r="6" spans="1:15">
      <c r="A6" s="461" t="s">
        <v>805</v>
      </c>
      <c r="B6" s="444"/>
      <c r="C6" s="444"/>
      <c r="D6" s="444"/>
      <c r="E6" s="445">
        <v>0.71</v>
      </c>
      <c r="F6" s="446">
        <v>0.76624999999999999</v>
      </c>
      <c r="G6" s="468">
        <f>G3*E6</f>
        <v>4521408.5941958968</v>
      </c>
      <c r="H6" s="470">
        <f>H3*F6</f>
        <v>5886209.3270581374</v>
      </c>
      <c r="I6" s="398">
        <v>0.8</v>
      </c>
      <c r="J6" s="470">
        <f>J3*I6</f>
        <v>6659930.448861286</v>
      </c>
      <c r="K6" s="85">
        <f>H6/(H6+H7+H5)</f>
        <v>0.39420696370024866</v>
      </c>
      <c r="L6" s="85" t="s">
        <v>58</v>
      </c>
      <c r="M6" s="85">
        <v>21.318908980093457</v>
      </c>
      <c r="N6" s="85">
        <f t="shared" ref="N6:N7" si="2">M6/SUM(M$5:M$7)</f>
        <v>0.40877143277092109</v>
      </c>
    </row>
    <row r="7" spans="1:15">
      <c r="A7" s="462" t="s">
        <v>806</v>
      </c>
      <c r="B7" s="447"/>
      <c r="C7" s="447"/>
      <c r="D7" s="447"/>
      <c r="E7" s="448">
        <v>0.83</v>
      </c>
      <c r="F7" s="448">
        <v>0.87375000000000003</v>
      </c>
      <c r="G7" s="468">
        <f>G4*E7</f>
        <v>3834646.6713716015</v>
      </c>
      <c r="H7" s="470">
        <f>H4*F7</f>
        <v>4869498.7466859436</v>
      </c>
      <c r="I7" s="398">
        <v>0.9</v>
      </c>
      <c r="J7" s="470">
        <f>J4*I7</f>
        <v>5132065.980936287</v>
      </c>
      <c r="K7" s="85">
        <f>H7/(H6+H7+H5)</f>
        <v>0.32611655634622533</v>
      </c>
      <c r="L7" s="85" t="s">
        <v>925</v>
      </c>
      <c r="M7" s="85">
        <v>16.428106624765377</v>
      </c>
      <c r="N7" s="85">
        <f t="shared" si="2"/>
        <v>0.31499457542547121</v>
      </c>
    </row>
    <row r="8" spans="1:15">
      <c r="A8" s="464" t="s">
        <v>881</v>
      </c>
      <c r="B8" s="465"/>
      <c r="C8" s="465"/>
      <c r="D8" s="465"/>
      <c r="E8" s="465"/>
      <c r="F8" s="465"/>
      <c r="G8" s="465">
        <f>F220+F229+F238</f>
        <v>14450161.490948498</v>
      </c>
      <c r="H8" s="471"/>
      <c r="I8" s="430"/>
      <c r="J8" s="500"/>
    </row>
    <row r="9" spans="1:15">
      <c r="A9" s="464" t="s">
        <v>880</v>
      </c>
      <c r="B9" s="465"/>
      <c r="C9" s="465"/>
      <c r="D9" s="465"/>
      <c r="E9" s="465"/>
      <c r="F9" s="465"/>
      <c r="G9" s="465"/>
      <c r="H9" s="472">
        <f>D47</f>
        <v>17431008.27</v>
      </c>
      <c r="I9" s="430"/>
      <c r="J9" s="501">
        <v>18527765.692977004</v>
      </c>
    </row>
    <row r="10" spans="1:15">
      <c r="A10" s="464" t="s">
        <v>885</v>
      </c>
      <c r="B10" s="465"/>
      <c r="C10" s="465"/>
      <c r="D10" s="465"/>
      <c r="E10" s="465"/>
      <c r="F10" s="465"/>
      <c r="G10" s="466">
        <f>(G5+G6+G7)/SUM(G3:G5)</f>
        <v>0.81784410608592495</v>
      </c>
      <c r="H10" s="471"/>
      <c r="I10" s="430"/>
      <c r="J10" s="500"/>
    </row>
    <row r="11" spans="1:15">
      <c r="A11" s="464" t="s">
        <v>886</v>
      </c>
      <c r="B11" s="465"/>
      <c r="C11" s="465"/>
      <c r="D11" s="465"/>
      <c r="E11" s="465"/>
      <c r="F11" s="465"/>
      <c r="G11" s="465"/>
      <c r="H11" s="473">
        <f>(H5+H6+H7)/SUM(H3:H5)</f>
        <v>0.85662136462098004</v>
      </c>
      <c r="I11" s="430"/>
      <c r="J11" s="502"/>
    </row>
    <row r="12" spans="1:15">
      <c r="A12" s="464" t="s">
        <v>887</v>
      </c>
      <c r="B12" s="465"/>
      <c r="C12" s="465"/>
      <c r="D12" s="465"/>
      <c r="E12" s="465"/>
      <c r="F12" s="465"/>
      <c r="G12" s="465"/>
      <c r="H12" s="471">
        <f>H11</f>
        <v>0.85662136462098004</v>
      </c>
      <c r="I12" s="430"/>
      <c r="J12" s="500"/>
    </row>
    <row r="15" spans="1:15" s="443" customFormat="1" ht="22.5">
      <c r="A15" s="475" t="s">
        <v>891</v>
      </c>
    </row>
    <row r="16" spans="1:15" ht="22.5">
      <c r="A16" s="476"/>
    </row>
    <row r="17" spans="1:43">
      <c r="A17" s="392" t="s">
        <v>890</v>
      </c>
      <c r="B17" s="85">
        <f>-($N111*B$20)*$N112/(100-$N111)</f>
        <v>-9.5368495030374672E-6</v>
      </c>
    </row>
    <row r="19" spans="1:43">
      <c r="A19" s="386" t="s">
        <v>844</v>
      </c>
      <c r="B19" s="422">
        <f>'Census 2011_17'!G24</f>
        <v>2020</v>
      </c>
      <c r="C19" s="443">
        <v>2025</v>
      </c>
      <c r="D19" s="422">
        <f>'Census 2011_17'!H24</f>
        <v>2030</v>
      </c>
      <c r="E19" s="443">
        <v>2035</v>
      </c>
      <c r="F19" s="422">
        <f>'Census 2011_17'!I24</f>
        <v>2040</v>
      </c>
      <c r="G19" s="443">
        <v>2045</v>
      </c>
      <c r="H19" s="443">
        <v>2050</v>
      </c>
    </row>
    <row r="20" spans="1:43">
      <c r="A20" s="85" t="str">
        <f>A3</f>
        <v>low income</v>
      </c>
      <c r="B20" s="601">
        <f>'Census 2011_17'!G29</f>
        <v>4.4045676998368755E-2</v>
      </c>
      <c r="C20" s="602">
        <f>B20/2+D20/2</f>
        <v>7.6672104404567731E-2</v>
      </c>
      <c r="D20" s="601">
        <f>'Census 2011_17'!H29</f>
        <v>0.10929853181076671</v>
      </c>
      <c r="E20" s="602">
        <f>D20/2+F20/2</f>
        <v>0.14192495921696574</v>
      </c>
      <c r="F20" s="601">
        <f>'Census 2011_17'!I29</f>
        <v>0.1745513866231648</v>
      </c>
      <c r="G20" s="602">
        <f>F20</f>
        <v>0.1745513866231648</v>
      </c>
      <c r="H20" s="602">
        <f>G20</f>
        <v>0.1745513866231648</v>
      </c>
    </row>
    <row r="21" spans="1:43">
      <c r="A21" s="85" t="str">
        <f>A4</f>
        <v>middle income</v>
      </c>
      <c r="B21" s="601">
        <f>'Census 2011_17'!G30</f>
        <v>3.0042918454935615E-2</v>
      </c>
      <c r="C21" s="602">
        <f>B21/2+D21/2</f>
        <v>5.8655221745350455E-2</v>
      </c>
      <c r="D21" s="601">
        <f>'Census 2011_17'!H30</f>
        <v>8.7267525035765292E-2</v>
      </c>
      <c r="E21" s="602">
        <f>D21/2+F21/2</f>
        <v>8.7267525035765292E-2</v>
      </c>
      <c r="F21" s="601">
        <f>'Census 2011_17'!I30</f>
        <v>8.7267525035765292E-2</v>
      </c>
      <c r="G21" s="602">
        <f>F21</f>
        <v>8.7267525035765292E-2</v>
      </c>
      <c r="H21" s="602">
        <f>G21</f>
        <v>8.7267525035765292E-2</v>
      </c>
    </row>
    <row r="23" spans="1:43" customFormat="1">
      <c r="F23" s="14" t="s">
        <v>843</v>
      </c>
    </row>
    <row r="24" spans="1:43" customFormat="1">
      <c r="A24" t="s">
        <v>110</v>
      </c>
      <c r="B24">
        <v>0</v>
      </c>
      <c r="C24" t="s">
        <v>1054</v>
      </c>
      <c r="D24">
        <v>0</v>
      </c>
      <c r="E24">
        <v>2012</v>
      </c>
      <c r="F24">
        <v>2017</v>
      </c>
      <c r="G24">
        <v>2020</v>
      </c>
      <c r="H24">
        <v>2030</v>
      </c>
      <c r="I24">
        <v>2040</v>
      </c>
      <c r="J24">
        <v>2050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row>
    <row r="25" spans="1:43" customFormat="1">
      <c r="A25" t="s">
        <v>110</v>
      </c>
      <c r="B25">
        <v>0</v>
      </c>
      <c r="C25" t="s">
        <v>22</v>
      </c>
      <c r="D25" t="s">
        <v>52</v>
      </c>
      <c r="E25" s="50">
        <v>0.71</v>
      </c>
      <c r="F25" s="50">
        <f>'Census 2011_17'!F6</f>
        <v>0.76624999999999999</v>
      </c>
      <c r="G25" s="50">
        <v>0.8</v>
      </c>
      <c r="H25" s="50">
        <v>0.85</v>
      </c>
      <c r="I25" s="50">
        <v>0.9</v>
      </c>
      <c r="J25" s="50">
        <v>0.95</v>
      </c>
      <c r="K25">
        <v>0.71</v>
      </c>
      <c r="L25">
        <v>0.72124999999999995</v>
      </c>
      <c r="M25">
        <v>0.73249999999999993</v>
      </c>
      <c r="N25">
        <v>0.74374999999999991</v>
      </c>
      <c r="O25">
        <v>0.75499999999999989</v>
      </c>
      <c r="P25">
        <v>0.76624999999999988</v>
      </c>
      <c r="Q25">
        <v>0.77749999999999986</v>
      </c>
      <c r="R25">
        <v>0.78874999999999984</v>
      </c>
      <c r="S25">
        <v>0.8</v>
      </c>
      <c r="T25">
        <v>0.80500000000000005</v>
      </c>
      <c r="U25">
        <v>0.81</v>
      </c>
      <c r="V25">
        <v>0.81500000000000006</v>
      </c>
      <c r="W25">
        <v>0.82000000000000006</v>
      </c>
      <c r="X25">
        <v>0.82500000000000007</v>
      </c>
      <c r="Y25">
        <v>0.83000000000000007</v>
      </c>
      <c r="Z25">
        <v>0.83500000000000008</v>
      </c>
      <c r="AA25">
        <v>0.84000000000000008</v>
      </c>
      <c r="AB25">
        <v>0.84500000000000008</v>
      </c>
      <c r="AC25">
        <v>0.85</v>
      </c>
      <c r="AD25">
        <v>0.85499999999999998</v>
      </c>
      <c r="AE25">
        <v>0.86</v>
      </c>
      <c r="AF25">
        <v>0.86499999999999999</v>
      </c>
      <c r="AG25">
        <v>0.87</v>
      </c>
      <c r="AH25">
        <v>0.875</v>
      </c>
      <c r="AI25">
        <v>0.88</v>
      </c>
      <c r="AJ25">
        <v>0.88500000000000001</v>
      </c>
      <c r="AK25">
        <v>0.89</v>
      </c>
      <c r="AL25">
        <v>0.89500000000000002</v>
      </c>
      <c r="AM25">
        <v>0.9</v>
      </c>
      <c r="AN25">
        <v>0.92500000000000004</v>
      </c>
      <c r="AO25">
        <v>0.95</v>
      </c>
      <c r="AP25">
        <v>0.95</v>
      </c>
      <c r="AQ25">
        <v>0.95</v>
      </c>
    </row>
    <row r="26" spans="1:43" customFormat="1">
      <c r="A26" t="s">
        <v>110</v>
      </c>
      <c r="B26">
        <v>0</v>
      </c>
      <c r="C26" t="s">
        <v>24</v>
      </c>
      <c r="D26" t="s">
        <v>52</v>
      </c>
      <c r="E26" s="50">
        <v>0.83</v>
      </c>
      <c r="F26" s="50">
        <f>'Census 2011_17'!F7</f>
        <v>0.87375000000000003</v>
      </c>
      <c r="G26" s="50">
        <v>0.9</v>
      </c>
      <c r="H26" s="50">
        <v>0.95</v>
      </c>
      <c r="I26" s="50">
        <v>0.95</v>
      </c>
      <c r="J26" s="50">
        <v>1</v>
      </c>
      <c r="K26">
        <v>0.83</v>
      </c>
      <c r="L26">
        <v>0.83875</v>
      </c>
      <c r="M26">
        <v>0.84750000000000003</v>
      </c>
      <c r="N26">
        <v>0.85625000000000007</v>
      </c>
      <c r="O26">
        <v>0.8650000000000001</v>
      </c>
      <c r="P26">
        <v>0.87375000000000014</v>
      </c>
      <c r="Q26">
        <v>0.88250000000000017</v>
      </c>
      <c r="R26">
        <v>0.89125000000000021</v>
      </c>
      <c r="S26">
        <v>0.9</v>
      </c>
      <c r="T26">
        <v>0.90500000000000003</v>
      </c>
      <c r="U26">
        <v>0.91</v>
      </c>
      <c r="V26">
        <v>0.91500000000000004</v>
      </c>
      <c r="W26">
        <v>0.92</v>
      </c>
      <c r="X26">
        <v>0.92500000000000004</v>
      </c>
      <c r="Y26">
        <v>0.93</v>
      </c>
      <c r="Z26">
        <v>0.93500000000000005</v>
      </c>
      <c r="AA26">
        <v>0.94000000000000006</v>
      </c>
      <c r="AB26">
        <v>0.94500000000000006</v>
      </c>
      <c r="AC26">
        <v>0.95</v>
      </c>
      <c r="AD26">
        <v>0.95</v>
      </c>
      <c r="AE26">
        <v>0.95</v>
      </c>
      <c r="AF26">
        <v>0.95</v>
      </c>
      <c r="AG26">
        <v>0.95</v>
      </c>
      <c r="AH26">
        <v>0.95</v>
      </c>
      <c r="AI26">
        <v>0.95</v>
      </c>
      <c r="AJ26">
        <v>0.95</v>
      </c>
      <c r="AK26">
        <v>0.95</v>
      </c>
      <c r="AL26">
        <v>0.95</v>
      </c>
      <c r="AM26">
        <v>0.95</v>
      </c>
      <c r="AN26">
        <v>0.97499999999999998</v>
      </c>
      <c r="AO26">
        <v>1</v>
      </c>
      <c r="AP26">
        <v>1</v>
      </c>
      <c r="AQ26">
        <v>1</v>
      </c>
    </row>
    <row r="27" spans="1:43" customFormat="1">
      <c r="A27" t="s">
        <v>110</v>
      </c>
      <c r="B27">
        <v>0</v>
      </c>
      <c r="C27" t="s">
        <v>1055</v>
      </c>
      <c r="D27" t="s">
        <v>52</v>
      </c>
      <c r="E27">
        <v>0.81742172774301225</v>
      </c>
      <c r="G27">
        <v>0.88679528399217844</v>
      </c>
      <c r="H27">
        <v>0.93007576012016668</v>
      </c>
      <c r="I27">
        <v>0.95179523515074738</v>
      </c>
      <c r="J27">
        <v>0.98698895240004259</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row>
    <row r="28" spans="1:43" customFormat="1"/>
    <row r="29" spans="1:43" customFormat="1">
      <c r="C29" t="str">
        <f>C25</f>
        <v>Low Income</v>
      </c>
      <c r="D29" t="s">
        <v>844</v>
      </c>
      <c r="G29" s="421">
        <f t="shared" ref="G29:J30" si="3">(G25-$F25)/$F25</f>
        <v>4.4045676998368755E-2</v>
      </c>
      <c r="H29" s="421">
        <f t="shared" si="3"/>
        <v>0.10929853181076671</v>
      </c>
      <c r="I29" s="421">
        <f t="shared" si="3"/>
        <v>0.1745513866231648</v>
      </c>
      <c r="J29" s="421">
        <f t="shared" si="3"/>
        <v>0.23980424143556278</v>
      </c>
    </row>
    <row r="30" spans="1:43" customFormat="1">
      <c r="C30" t="str">
        <f>C26</f>
        <v>Middle Income</v>
      </c>
      <c r="D30" t="s">
        <v>844</v>
      </c>
      <c r="G30" s="421">
        <f t="shared" si="3"/>
        <v>3.0042918454935615E-2</v>
      </c>
      <c r="H30" s="421">
        <f t="shared" si="3"/>
        <v>8.7267525035765292E-2</v>
      </c>
      <c r="I30" s="421">
        <f t="shared" si="3"/>
        <v>8.7267525035765292E-2</v>
      </c>
      <c r="J30" s="421">
        <f t="shared" si="3"/>
        <v>0.1444921316165951</v>
      </c>
    </row>
    <row r="31" spans="1:43" customFormat="1"/>
    <row r="32" spans="1:43" customFormat="1">
      <c r="G32" s="420">
        <f>F25*(1+G29)</f>
        <v>0.8</v>
      </c>
    </row>
    <row r="33" spans="1:16" customFormat="1"/>
    <row r="34" spans="1:16" customFormat="1"/>
    <row r="35" spans="1:16" customFormat="1"/>
    <row r="36" spans="1:16" customFormat="1">
      <c r="G36" s="14" t="s">
        <v>916</v>
      </c>
    </row>
    <row r="37" spans="1:16" customFormat="1">
      <c r="F37">
        <v>20</v>
      </c>
      <c r="G37">
        <f>F37*(1+G29)</f>
        <v>20.880913539967377</v>
      </c>
      <c r="H37">
        <f>F37/100</f>
        <v>0.2</v>
      </c>
      <c r="I37">
        <f>H37*(1+G29)</f>
        <v>0.20880913539967377</v>
      </c>
    </row>
    <row r="38" spans="1:16" customFormat="1">
      <c r="F38">
        <v>15</v>
      </c>
      <c r="G38">
        <f>F38-($F$37*G$29)*$F38/(100-F$37)</f>
        <v>14.834828711256117</v>
      </c>
      <c r="H38">
        <f>F38/100</f>
        <v>0.15</v>
      </c>
      <c r="I38">
        <f>H38-H37*G29*H38/(1-H37)</f>
        <v>0.14834828711256118</v>
      </c>
    </row>
    <row r="39" spans="1:16" customFormat="1">
      <c r="F39">
        <v>12</v>
      </c>
      <c r="G39">
        <f>F39-($F$37*G$29)*$F39/(100-F$37)</f>
        <v>11.867862969004893</v>
      </c>
      <c r="H39">
        <f>F39/100</f>
        <v>0.12</v>
      </c>
    </row>
    <row r="40" spans="1:16" customFormat="1">
      <c r="F40">
        <f>100-SUM(F37:F39)</f>
        <v>53</v>
      </c>
      <c r="G40">
        <f>F40-($F$37*G$29)*$F40/(100-F$37)</f>
        <v>52.416394779771615</v>
      </c>
      <c r="H40">
        <f>F40/100</f>
        <v>0.53</v>
      </c>
    </row>
    <row r="41" spans="1:16" customFormat="1">
      <c r="G41">
        <f>SUM(G37:G40)</f>
        <v>100</v>
      </c>
    </row>
    <row r="43" spans="1:16" s="443" customFormat="1" ht="22.5">
      <c r="A43" s="463" t="s">
        <v>892</v>
      </c>
      <c r="O43" s="85"/>
    </row>
    <row r="46" spans="1:16" s="386" customFormat="1">
      <c r="C46" s="386">
        <v>2011</v>
      </c>
      <c r="D46" s="386">
        <v>2017</v>
      </c>
      <c r="E46" s="386" t="s">
        <v>799</v>
      </c>
      <c r="F46" s="391" t="s">
        <v>42</v>
      </c>
      <c r="G46" s="391" t="s">
        <v>43</v>
      </c>
      <c r="H46" s="391" t="s">
        <v>17</v>
      </c>
      <c r="I46" s="391" t="s">
        <v>7</v>
      </c>
      <c r="J46" s="391" t="s">
        <v>9</v>
      </c>
      <c r="K46" s="391" t="s">
        <v>46</v>
      </c>
      <c r="L46" s="391" t="s">
        <v>44</v>
      </c>
      <c r="M46" s="402" t="s">
        <v>41</v>
      </c>
      <c r="N46" s="390" t="s">
        <v>2</v>
      </c>
      <c r="O46" s="229" t="s">
        <v>47</v>
      </c>
      <c r="P46" s="390" t="s">
        <v>286</v>
      </c>
    </row>
    <row r="47" spans="1:16">
      <c r="B47" s="85" t="s">
        <v>800</v>
      </c>
      <c r="C47" s="85">
        <f>F220+F229+F238</f>
        <v>14450161.490948498</v>
      </c>
      <c r="D47" s="85">
        <f>16.923309*10^6*1.03</f>
        <v>17431008.27</v>
      </c>
      <c r="E47" s="85">
        <v>984627</v>
      </c>
      <c r="H47" s="382"/>
      <c r="I47" s="382"/>
      <c r="J47" s="382"/>
      <c r="K47" s="382"/>
      <c r="L47" s="382"/>
      <c r="M47" s="382"/>
    </row>
    <row r="48" spans="1:16">
      <c r="A48" s="85">
        <v>2017</v>
      </c>
      <c r="B48" s="85" t="s">
        <v>801</v>
      </c>
      <c r="D48" s="85">
        <f>SUM(F48:P48)</f>
        <v>16918528.299999997</v>
      </c>
      <c r="F48" s="85">
        <f>SUMIFS('Census 2011_17'!$E$258:$E$299,'Census 2011_17'!$A$258:$A$299,'Census 2011_17'!$B48,'Census 2011_17'!$C$258:$C$299,'Census 2011_17'!F$46)</f>
        <v>14012036.5</v>
      </c>
      <c r="G48" s="85">
        <f>SUMIFS('Census 2011_17'!$E$258:$E$299,'Census 2011_17'!$A$258:$A$299,'Census 2011_17'!$B48,'Census 2011_17'!$C$258:$C$299,'Census 2011_17'!G$46)</f>
        <v>502216.2</v>
      </c>
      <c r="H48" s="85">
        <f>SUMIFS('Census 2011_17'!$E$258:$E$299,'Census 2011_17'!$A$258:$A$299,'Census 2011_17'!$B48,'Census 2011_17'!$C$258:$C$299,'Census 2011_17'!H$46)</f>
        <v>908943</v>
      </c>
      <c r="I48" s="85">
        <f>SUMIFS('Census 2011_17'!$E$258:$E$299,'Census 2011_17'!$A$258:$A$299,'Census 2011_17'!$B48,'Census 2011_17'!$C$258:$C$299,'Census 2011_17'!I$46)</f>
        <v>1353990.6</v>
      </c>
      <c r="J48" s="85">
        <f>SUMIFS('Census 2011_17'!$E$258:$E$299,'Census 2011_17'!$A$258:$A$299,'Census 2011_17'!$B48,'Census 2011_17'!$C$258:$C$299,'Census 2011_17'!J$46)</f>
        <v>48580.5</v>
      </c>
      <c r="K48" s="85">
        <f>SUMIFS('Census 2011_17'!$E$258:$E$299,'Census 2011_17'!$A$258:$A$299,'Census 2011_17'!$B48,'Census 2011_17'!$C$258:$C$299,'Census 2011_17'!K$46)</f>
        <v>8490.6</v>
      </c>
      <c r="L48" s="85">
        <f>SUMIFS('Census 2011_17'!$E$258:$E$299,'Census 2011_17'!$A$258:$A$299,'Census 2011_17'!$B48,'Census 2011_17'!$C$258:$C$299,'Census 2011_17'!L$46)</f>
        <v>12039.7</v>
      </c>
      <c r="M48" s="85">
        <f>SUMIFS('Census 2011_17'!$E$258:$E$299,'Census 2011_17'!$A$258:$A$299,'Census 2011_17'!$B48,'Census 2011_17'!$C$258:$C$299,'Census 2011_17'!M$46)</f>
        <v>19606.3</v>
      </c>
      <c r="N48" s="85">
        <f>SUMIFS('Census 2011_17'!$E$258:$E$299,'Census 2011_17'!$A$258:$A$299,'Census 2011_17'!$B48,'Census 2011_17'!$C$258:$C$299,'Census 2011_17'!N$46)</f>
        <v>0</v>
      </c>
      <c r="O48" s="85">
        <f>SUMIFS('Census 2011_17'!$E$258:$E$299,'Census 2011_17'!$A$258:$A$299,'Census 2011_17'!$B48,'Census 2011_17'!$C$258:$C$299,'Census 2011_17'!O$46)</f>
        <v>52624.9</v>
      </c>
      <c r="P48" s="85">
        <f>SUMIFS('Census 2011_17'!$E$258:$E$299,'Census 2011_17'!$A$258:$A$299,'Census 2011_17'!$B48,'Census 2011_17'!$C$258:$C$299,'Census 2011_17'!P$46)</f>
        <v>0</v>
      </c>
    </row>
    <row r="49" spans="1:17">
      <c r="A49" s="85">
        <v>2017</v>
      </c>
      <c r="B49" s="85" t="s">
        <v>802</v>
      </c>
      <c r="D49" s="85">
        <f>SUM(F49:P49)</f>
        <v>15895350.699999999</v>
      </c>
      <c r="F49" s="85">
        <f>SUMIFS('Census 2011_17'!$E$258:$E$299,'Census 2011_17'!$A$258:$A$299,'Census 2011_17'!$B49,'Census 2011_17'!$C$258:$C$299,'Census 2011_17'!F$46)</f>
        <v>15262235.299999999</v>
      </c>
      <c r="G49" s="85">
        <f>SUMIFS('Census 2011_17'!$E$258:$E$299,'Census 2011_17'!$A$258:$A$299,'Census 2011_17'!$B49,'Census 2011_17'!$C$258:$C$299,'Census 2011_17'!G$46)</f>
        <v>25699.9</v>
      </c>
      <c r="H49" s="85">
        <f>SUMIFS('Census 2011_17'!$E$258:$E$299,'Census 2011_17'!$A$258:$A$299,'Census 2011_17'!$B49,'Census 2011_17'!$C$258:$C$299,'Census 2011_17'!H$46)</f>
        <v>451601.8</v>
      </c>
      <c r="I49" s="85">
        <f>SUMIFS('Census 2011_17'!$E$258:$E$299,'Census 2011_17'!$A$258:$A$299,'Census 2011_17'!$B49,'Census 2011_17'!$C$258:$C$299,'Census 2011_17'!I$46)</f>
        <v>0</v>
      </c>
      <c r="J49" s="85">
        <f>SUMIFS('Census 2011_17'!$E$258:$E$299,'Census 2011_17'!$A$258:$A$299,'Census 2011_17'!$B49,'Census 2011_17'!$C$258:$C$299,'Census 2011_17'!J$46)</f>
        <v>0</v>
      </c>
      <c r="K49" s="85">
        <f>SUMIFS('Census 2011_17'!$E$258:$E$299,'Census 2011_17'!$A$258:$A$299,'Census 2011_17'!$B49,'Census 2011_17'!$C$258:$C$299,'Census 2011_17'!K$46)</f>
        <v>0</v>
      </c>
      <c r="L49" s="85">
        <f>SUMIFS('Census 2011_17'!$E$258:$E$299,'Census 2011_17'!$A$258:$A$299,'Census 2011_17'!$B49,'Census 2011_17'!$C$258:$C$299,'Census 2011_17'!L$46)</f>
        <v>96531.7</v>
      </c>
      <c r="M49" s="85">
        <f>SUMIFS('Census 2011_17'!$E$258:$E$299,'Census 2011_17'!$A$258:$A$299,'Census 2011_17'!$B49,'Census 2011_17'!$C$258:$C$299,'Census 2011_17'!M$46)</f>
        <v>23783.7</v>
      </c>
      <c r="N49" s="85">
        <f>SUMIFS('Census 2011_17'!$E$258:$E$299,'Census 2011_17'!$A$258:$A$299,'Census 2011_17'!$B49,'Census 2011_17'!$C$258:$C$299,'Census 2011_17'!N$46)</f>
        <v>0</v>
      </c>
      <c r="O49" s="85">
        <f>SUMIFS('Census 2011_17'!$E$258:$E$299,'Census 2011_17'!$A$258:$A$299,'Census 2011_17'!$B49,'Census 2011_17'!$C$258:$C$299,'Census 2011_17'!O$46)</f>
        <v>35498.300000000003</v>
      </c>
      <c r="P49" s="85">
        <f>SUMIFS('Census 2011_17'!$E$258:$E$299,'Census 2011_17'!$A$258:$A$299,'Census 2011_17'!$B49,'Census 2011_17'!$C$258:$C$299,'Census 2011_17'!P$46)</f>
        <v>0</v>
      </c>
    </row>
    <row r="50" spans="1:17">
      <c r="A50" s="85">
        <v>2017</v>
      </c>
      <c r="B50" s="85" t="s">
        <v>803</v>
      </c>
      <c r="D50" s="85">
        <f>SUM(F50:P50)</f>
        <v>16902401.399999999</v>
      </c>
      <c r="F50" s="85">
        <f>SUMIFS('Census 2011_17'!$E$258:$E$299,'Census 2011_17'!$A$258:$A$299,'Census 2011_17'!$B50,'Census 2011_17'!$C$258:$C$299,'Census 2011_17'!F$46)</f>
        <v>11152384.1</v>
      </c>
      <c r="G50" s="85">
        <f>SUMIFS('Census 2011_17'!$E$258:$E$299,'Census 2011_17'!$A$258:$A$299,'Census 2011_17'!$B50,'Census 2011_17'!$C$258:$C$299,'Census 2011_17'!G$46)</f>
        <v>227606.3</v>
      </c>
      <c r="H50" s="85">
        <f>SUMIFS('Census 2011_17'!$E$258:$E$299,'Census 2011_17'!$A$258:$A$299,'Census 2011_17'!$B50,'Census 2011_17'!$C$258:$C$299,'Census 2011_17'!H$46)</f>
        <v>920344.2</v>
      </c>
      <c r="I50" s="85">
        <f>SUMIFS('Census 2011_17'!$E$258:$E$299,'Census 2011_17'!$A$258:$A$299,'Census 2011_17'!$B50,'Census 2011_17'!$C$258:$C$299,'Census 2011_17'!I$46)</f>
        <v>1560959.7</v>
      </c>
      <c r="J50" s="85">
        <f>SUMIFS('Census 2011_17'!$E$258:$E$299,'Census 2011_17'!$A$258:$A$299,'Census 2011_17'!$B50,'Census 2011_17'!$C$258:$C$299,'Census 2011_17'!J$46)</f>
        <v>162993.60000000001</v>
      </c>
      <c r="K50" s="85">
        <f>SUMIFS('Census 2011_17'!$E$258:$E$299,'Census 2011_17'!$A$258:$A$299,'Census 2011_17'!$B50,'Census 2011_17'!$C$258:$C$299,'Census 2011_17'!K$46)</f>
        <v>14210.5</v>
      </c>
      <c r="L50" s="85">
        <f>SUMIFS('Census 2011_17'!$E$258:$E$299,'Census 2011_17'!$A$258:$A$299,'Census 2011_17'!$B50,'Census 2011_17'!$C$258:$C$299,'Census 2011_17'!L$46)</f>
        <v>19747</v>
      </c>
      <c r="M50" s="85">
        <f>SUMIFS('Census 2011_17'!$E$258:$E$299,'Census 2011_17'!$A$258:$A$299,'Census 2011_17'!$B50,'Census 2011_17'!$C$258:$C$299,'Census 2011_17'!M$46)</f>
        <v>250052.7</v>
      </c>
      <c r="N50" s="85">
        <f>SUMIFS('Census 2011_17'!$E$258:$E$299,'Census 2011_17'!$A$258:$A$299,'Census 2011_17'!$B50,'Census 2011_17'!$C$258:$C$299,'Census 2011_17'!N$46)</f>
        <v>0</v>
      </c>
      <c r="O50" s="85">
        <f>SUMIFS('Census 2011_17'!$E$258:$E$299,'Census 2011_17'!$A$258:$A$299,'Census 2011_17'!$B50,'Census 2011_17'!$C$258:$C$299,'Census 2011_17'!O$46)</f>
        <v>2594103.2999999998</v>
      </c>
      <c r="P50" s="85">
        <f>SUMIFS('Census 2011_17'!$E$258:$E$299,'Census 2011_17'!$A$258:$A$299,'Census 2011_17'!$B50,'Census 2011_17'!$C$258:$C$299,'Census 2011_17'!P$46)</f>
        <v>0</v>
      </c>
    </row>
    <row r="51" spans="1:17">
      <c r="A51" s="85">
        <v>2017</v>
      </c>
      <c r="B51" s="85" t="s">
        <v>804</v>
      </c>
      <c r="D51" s="85">
        <f>SUM(F51:P51)</f>
        <v>16900196.899999999</v>
      </c>
      <c r="F51" s="85">
        <f>SUMIFS('Census 2011_17'!$E$258:$E$299,'Census 2011_17'!$A$258:$A$299,'Census 2011_17'!$B51,'Census 2011_17'!$C$258:$C$299,'Census 2011_17'!F$46)</f>
        <v>13940128.5</v>
      </c>
      <c r="G51" s="85">
        <f>SUMIFS('Census 2011_17'!$E$258:$E$299,'Census 2011_17'!$A$258:$A$299,'Census 2011_17'!$B51,'Census 2011_17'!$C$258:$C$299,'Census 2011_17'!G$46)</f>
        <v>189485.9</v>
      </c>
      <c r="H51" s="85">
        <f>SUMIFS('Census 2011_17'!$E$258:$E$299,'Census 2011_17'!$A$258:$A$299,'Census 2011_17'!$B51,'Census 2011_17'!$C$258:$C$299,'Census 2011_17'!H$46)</f>
        <v>869199.9</v>
      </c>
      <c r="I51" s="85">
        <f>SUMIFS('Census 2011_17'!$E$258:$E$299,'Census 2011_17'!$A$258:$A$299,'Census 2011_17'!$B51,'Census 2011_17'!$C$258:$C$299,'Census 2011_17'!I$46)</f>
        <v>1425605.2</v>
      </c>
      <c r="J51" s="85">
        <f>SUMIFS('Census 2011_17'!$E$258:$E$299,'Census 2011_17'!$A$258:$A$299,'Census 2011_17'!$B51,'Census 2011_17'!$C$258:$C$299,'Census 2011_17'!J$46)</f>
        <v>55809.2</v>
      </c>
      <c r="K51" s="85">
        <f>SUMIFS('Census 2011_17'!$E$258:$E$299,'Census 2011_17'!$A$258:$A$299,'Census 2011_17'!$B51,'Census 2011_17'!$C$258:$C$299,'Census 2011_17'!K$46)</f>
        <v>11802.1</v>
      </c>
      <c r="L51" s="85">
        <f>SUMIFS('Census 2011_17'!$E$258:$E$299,'Census 2011_17'!$A$258:$A$299,'Census 2011_17'!$B51,'Census 2011_17'!$C$258:$C$299,'Census 2011_17'!L$46)</f>
        <v>107689</v>
      </c>
      <c r="M51" s="85">
        <f>SUMIFS('Census 2011_17'!$E$258:$E$299,'Census 2011_17'!$A$258:$A$299,'Census 2011_17'!$B51,'Census 2011_17'!$C$258:$C$299,'Census 2011_17'!M$46)</f>
        <v>48638.8</v>
      </c>
      <c r="N51" s="85">
        <f>SUMIFS('Census 2011_17'!$E$258:$E$299,'Census 2011_17'!$A$258:$A$299,'Census 2011_17'!$B51,'Census 2011_17'!$C$258:$C$299,'Census 2011_17'!N$46)</f>
        <v>0</v>
      </c>
      <c r="O51" s="85">
        <f>SUMIFS('Census 2011_17'!$E$258:$E$299,'Census 2011_17'!$A$258:$A$299,'Census 2011_17'!$B51,'Census 2011_17'!$C$258:$C$299,'Census 2011_17'!O$46)</f>
        <v>251838.3</v>
      </c>
      <c r="P51" s="85">
        <f>SUMIFS('Census 2011_17'!$E$258:$E$299,'Census 2011_17'!$A$258:$A$299,'Census 2011_17'!$B51,'Census 2011_17'!$C$258:$C$299,'Census 2011_17'!P$46)</f>
        <v>0</v>
      </c>
    </row>
    <row r="52" spans="1:17">
      <c r="A52" s="85">
        <v>2011</v>
      </c>
      <c r="B52" s="85" t="str">
        <f>B48</f>
        <v>hhhlds main fuel cooking</v>
      </c>
      <c r="F52" s="85">
        <f t="shared" ref="F52:P52" si="4">SUMIFS($F$111:$F$238,$A$111:$A$238,"cooking",$C$111:$C$238,F$46)</f>
        <v>10611450.174568698</v>
      </c>
      <c r="G52" s="85">
        <f t="shared" si="4"/>
        <v>507615.68809000007</v>
      </c>
      <c r="H52" s="85">
        <f t="shared" si="4"/>
        <v>1227337.0415500002</v>
      </c>
      <c r="I52" s="85">
        <f t="shared" si="4"/>
        <v>1807605.5807998001</v>
      </c>
      <c r="J52" s="85">
        <f t="shared" si="4"/>
        <v>104171.32102999998</v>
      </c>
      <c r="K52" s="85">
        <f t="shared" si="4"/>
        <v>45349.345269999998</v>
      </c>
      <c r="L52" s="85">
        <f t="shared" si="4"/>
        <v>22255.225549999999</v>
      </c>
      <c r="M52" s="85">
        <f t="shared" si="4"/>
        <v>29343.566650000001</v>
      </c>
      <c r="N52" s="85">
        <f t="shared" si="4"/>
        <v>0</v>
      </c>
      <c r="O52" s="85">
        <f t="shared" si="4"/>
        <v>0</v>
      </c>
      <c r="P52" s="85">
        <f t="shared" si="4"/>
        <v>0</v>
      </c>
    </row>
    <row r="53" spans="1:17">
      <c r="A53" s="85">
        <v>2011</v>
      </c>
      <c r="B53" s="85" t="str">
        <f t="shared" ref="B53:B55" si="5">B49</f>
        <v>hhlds main fuel lighting</v>
      </c>
      <c r="F53" s="85">
        <f t="shared" ref="F53:P53" si="6">SUMIFS($F$111:$F$238,$A$111:$A$238,"lighting",$C$111:$C$238,F$46)</f>
        <v>12242401.477158496</v>
      </c>
      <c r="G53" s="85">
        <f t="shared" si="6"/>
        <v>34346.930179999996</v>
      </c>
      <c r="H53" s="85">
        <f t="shared" si="6"/>
        <v>426205.08948000002</v>
      </c>
      <c r="I53" s="85">
        <f t="shared" si="6"/>
        <v>0</v>
      </c>
      <c r="J53" s="85">
        <f t="shared" si="6"/>
        <v>0</v>
      </c>
      <c r="K53" s="85">
        <f t="shared" si="6"/>
        <v>0</v>
      </c>
      <c r="L53" s="85">
        <f t="shared" si="6"/>
        <v>51504.945399999997</v>
      </c>
      <c r="M53" s="85">
        <f t="shared" si="6"/>
        <v>0</v>
      </c>
      <c r="N53" s="85">
        <f t="shared" si="6"/>
        <v>1088744.5315500766</v>
      </c>
      <c r="O53" s="85">
        <f t="shared" si="6"/>
        <v>46620.920270000002</v>
      </c>
      <c r="P53" s="85">
        <f t="shared" si="6"/>
        <v>0</v>
      </c>
    </row>
    <row r="54" spans="1:17">
      <c r="A54" s="85">
        <v>2011</v>
      </c>
      <c r="B54" s="85" t="str">
        <f t="shared" si="5"/>
        <v>hhlds main fuel space heating</v>
      </c>
      <c r="F54" s="85">
        <f t="shared" ref="F54:P55" si="7">SUMIFS($F$111:$F$238,$A$111:$A$238,"space heating",$C$111:$C$238,F$46)</f>
        <v>8455182.7676991988</v>
      </c>
      <c r="G54" s="85">
        <f t="shared" si="7"/>
        <v>357062.20090999978</v>
      </c>
      <c r="H54" s="85">
        <f t="shared" si="7"/>
        <v>1230222.94405</v>
      </c>
      <c r="I54" s="85">
        <f t="shared" si="7"/>
        <v>2203382.3228998007</v>
      </c>
      <c r="J54" s="85">
        <f t="shared" si="7"/>
        <v>293948.68953000003</v>
      </c>
      <c r="K54" s="85">
        <f t="shared" si="7"/>
        <v>48250.529839999988</v>
      </c>
      <c r="L54" s="85">
        <f t="shared" si="7"/>
        <v>38370.28815</v>
      </c>
      <c r="M54" s="85">
        <f t="shared" si="7"/>
        <v>2442.4671099999996</v>
      </c>
      <c r="N54" s="85">
        <f t="shared" si="7"/>
        <v>0</v>
      </c>
      <c r="O54" s="85">
        <f t="shared" si="7"/>
        <v>0</v>
      </c>
      <c r="P54" s="85">
        <f t="shared" si="7"/>
        <v>0</v>
      </c>
    </row>
    <row r="55" spans="1:17">
      <c r="A55" s="85">
        <v>2011</v>
      </c>
      <c r="B55" s="85" t="str">
        <f t="shared" si="5"/>
        <v>hhlds main fuel water heating</v>
      </c>
      <c r="F55" s="85">
        <f t="shared" si="7"/>
        <v>8455182.7676991988</v>
      </c>
      <c r="G55" s="85">
        <f t="shared" si="7"/>
        <v>357062.20090999978</v>
      </c>
      <c r="H55" s="85">
        <f t="shared" si="7"/>
        <v>1230222.94405</v>
      </c>
      <c r="I55" s="85">
        <f t="shared" si="7"/>
        <v>2203382.3228998007</v>
      </c>
      <c r="J55" s="85">
        <f t="shared" si="7"/>
        <v>293948.68953000003</v>
      </c>
      <c r="K55" s="85">
        <f t="shared" si="7"/>
        <v>48250.529839999988</v>
      </c>
      <c r="L55" s="85">
        <f t="shared" si="7"/>
        <v>38370.28815</v>
      </c>
      <c r="M55" s="85">
        <f t="shared" si="7"/>
        <v>2442.4671099999996</v>
      </c>
      <c r="N55" s="85">
        <f t="shared" si="7"/>
        <v>0</v>
      </c>
      <c r="O55" s="85">
        <f t="shared" si="7"/>
        <v>0</v>
      </c>
      <c r="P55" s="85">
        <f t="shared" si="7"/>
        <v>0</v>
      </c>
    </row>
    <row r="57" spans="1:17" s="463" customFormat="1" ht="22.5">
      <c r="A57" s="463" t="s">
        <v>889</v>
      </c>
      <c r="O57" s="474"/>
    </row>
    <row r="58" spans="1:17">
      <c r="F58" s="391" t="s">
        <v>42</v>
      </c>
      <c r="G58" s="391" t="s">
        <v>43</v>
      </c>
      <c r="H58" s="391" t="s">
        <v>17</v>
      </c>
      <c r="I58" s="391" t="s">
        <v>7</v>
      </c>
      <c r="J58" s="391" t="s">
        <v>9</v>
      </c>
      <c r="K58" s="391" t="s">
        <v>46</v>
      </c>
      <c r="L58" s="391" t="s">
        <v>44</v>
      </c>
      <c r="M58" s="402" t="s">
        <v>41</v>
      </c>
      <c r="N58" s="390" t="s">
        <v>2</v>
      </c>
      <c r="O58" s="229" t="s">
        <v>47</v>
      </c>
      <c r="P58" s="390" t="s">
        <v>286</v>
      </c>
    </row>
    <row r="59" spans="1:17">
      <c r="A59" s="85">
        <v>2017</v>
      </c>
      <c r="B59" s="85" t="s">
        <v>801</v>
      </c>
      <c r="F59" s="383">
        <f t="shared" ref="F59:P59" si="8">F48/SUM($F48:$P48)</f>
        <v>0.82820658224746435</v>
      </c>
      <c r="G59" s="383">
        <f t="shared" si="8"/>
        <v>2.9684390456113142E-2</v>
      </c>
      <c r="H59" s="383">
        <f t="shared" si="8"/>
        <v>5.3724708431051899E-2</v>
      </c>
      <c r="I59" s="383">
        <f t="shared" si="8"/>
        <v>8.0030046112225986E-2</v>
      </c>
      <c r="J59" s="383">
        <f t="shared" si="8"/>
        <v>2.8714377006420831E-3</v>
      </c>
      <c r="K59" s="383">
        <f t="shared" si="8"/>
        <v>5.0185216169186552E-4</v>
      </c>
      <c r="L59" s="383">
        <f t="shared" si="8"/>
        <v>7.1162809119750697E-4</v>
      </c>
      <c r="M59" s="403">
        <f t="shared" si="8"/>
        <v>1.1588655734317034E-3</v>
      </c>
      <c r="N59" s="383">
        <f t="shared" si="8"/>
        <v>0</v>
      </c>
      <c r="O59" s="403">
        <f t="shared" si="8"/>
        <v>3.1104892261816894E-3</v>
      </c>
      <c r="P59" s="383">
        <f t="shared" si="8"/>
        <v>0</v>
      </c>
      <c r="Q59" s="384">
        <f>SUM(F59:P59)</f>
        <v>1.0000000000000002</v>
      </c>
    </row>
    <row r="60" spans="1:17">
      <c r="A60" s="85">
        <v>2017</v>
      </c>
      <c r="B60" s="85" t="s">
        <v>802</v>
      </c>
      <c r="F60" s="383">
        <f t="shared" ref="F60:P60" si="9">F49/SUM($F49:$P49)</f>
        <v>0.96016977467505638</v>
      </c>
      <c r="G60" s="383">
        <f t="shared" si="9"/>
        <v>1.6168186839690176E-3</v>
      </c>
      <c r="H60" s="383">
        <f t="shared" si="9"/>
        <v>2.8410936538820753E-2</v>
      </c>
      <c r="I60" s="383">
        <f t="shared" si="9"/>
        <v>0</v>
      </c>
      <c r="J60" s="383">
        <f t="shared" si="9"/>
        <v>0</v>
      </c>
      <c r="K60" s="383">
        <f t="shared" si="9"/>
        <v>0</v>
      </c>
      <c r="L60" s="383">
        <f t="shared" si="9"/>
        <v>6.0729518852327049E-3</v>
      </c>
      <c r="M60" s="403">
        <f t="shared" si="9"/>
        <v>1.4962677105324893E-3</v>
      </c>
      <c r="N60" s="383">
        <f t="shared" si="9"/>
        <v>0</v>
      </c>
      <c r="O60" s="403">
        <f t="shared" si="9"/>
        <v>2.2332505063886389E-3</v>
      </c>
      <c r="P60" s="383">
        <f t="shared" si="9"/>
        <v>0</v>
      </c>
      <c r="Q60" s="384">
        <f t="shared" ref="Q60:Q66" si="10">SUM(F60:P60)</f>
        <v>1</v>
      </c>
    </row>
    <row r="61" spans="1:17">
      <c r="A61" s="85">
        <v>2017</v>
      </c>
      <c r="B61" s="85" t="s">
        <v>803</v>
      </c>
      <c r="F61" s="383">
        <f t="shared" ref="F61:P61" si="11">F50/SUM($F50:$P50)</f>
        <v>0.65981062903878263</v>
      </c>
      <c r="G61" s="383">
        <f t="shared" si="11"/>
        <v>1.3465914967561946E-2</v>
      </c>
      <c r="H61" s="383">
        <f t="shared" si="11"/>
        <v>5.4450499560376078E-2</v>
      </c>
      <c r="I61" s="383">
        <f t="shared" si="11"/>
        <v>9.2351356653972261E-2</v>
      </c>
      <c r="J61" s="383">
        <f t="shared" si="11"/>
        <v>9.6432214655605107E-3</v>
      </c>
      <c r="K61" s="383">
        <f t="shared" si="11"/>
        <v>8.4073852369876865E-4</v>
      </c>
      <c r="L61" s="383">
        <f t="shared" si="11"/>
        <v>1.1682955298884337E-3</v>
      </c>
      <c r="M61" s="403">
        <f t="shared" si="11"/>
        <v>1.4793915614854587E-2</v>
      </c>
      <c r="N61" s="383">
        <f t="shared" si="11"/>
        <v>0</v>
      </c>
      <c r="O61" s="403">
        <f t="shared" si="11"/>
        <v>0.15347542864530481</v>
      </c>
      <c r="P61" s="383">
        <f t="shared" si="11"/>
        <v>0</v>
      </c>
      <c r="Q61" s="384">
        <f t="shared" si="10"/>
        <v>1</v>
      </c>
    </row>
    <row r="62" spans="1:17">
      <c r="A62" s="85">
        <v>2017</v>
      </c>
      <c r="B62" s="85" t="s">
        <v>804</v>
      </c>
      <c r="F62" s="383">
        <f t="shared" ref="F62:P62" si="12">F51/SUM($F51:$P51)</f>
        <v>0.82485006432084829</v>
      </c>
      <c r="G62" s="383">
        <f t="shared" si="12"/>
        <v>1.1212052801585999E-2</v>
      </c>
      <c r="H62" s="383">
        <f t="shared" si="12"/>
        <v>5.1431347524714351E-2</v>
      </c>
      <c r="I62" s="383">
        <f t="shared" si="12"/>
        <v>8.4354354475006152E-2</v>
      </c>
      <c r="J62" s="383">
        <f t="shared" si="12"/>
        <v>3.3022810521219433E-3</v>
      </c>
      <c r="K62" s="383">
        <f t="shared" si="12"/>
        <v>6.9834097613383434E-4</v>
      </c>
      <c r="L62" s="383">
        <f t="shared" si="12"/>
        <v>6.3720559374074517E-3</v>
      </c>
      <c r="M62" s="403">
        <f t="shared" si="12"/>
        <v>2.8780019716811707E-3</v>
      </c>
      <c r="N62" s="383">
        <f t="shared" si="12"/>
        <v>0</v>
      </c>
      <c r="O62" s="403">
        <f t="shared" si="12"/>
        <v>1.4901500940500877E-2</v>
      </c>
      <c r="P62" s="383">
        <f t="shared" si="12"/>
        <v>0</v>
      </c>
      <c r="Q62" s="384">
        <f t="shared" si="10"/>
        <v>1</v>
      </c>
    </row>
    <row r="63" spans="1:17">
      <c r="A63" s="85">
        <v>2011</v>
      </c>
      <c r="B63" s="85" t="str">
        <f>B59</f>
        <v>hhhlds main fuel cooking</v>
      </c>
      <c r="F63" s="383">
        <f t="shared" ref="F63:P63" si="13">F52/SUM($F52:$P52)</f>
        <v>0.73920972465921353</v>
      </c>
      <c r="G63" s="383">
        <f t="shared" si="13"/>
        <v>3.5361279264637134E-2</v>
      </c>
      <c r="H63" s="383">
        <f t="shared" si="13"/>
        <v>8.5498161101727546E-2</v>
      </c>
      <c r="I63" s="383">
        <f t="shared" si="13"/>
        <v>0.12592054824681753</v>
      </c>
      <c r="J63" s="383">
        <f t="shared" si="13"/>
        <v>7.256732328680294E-3</v>
      </c>
      <c r="K63" s="383">
        <f t="shared" si="13"/>
        <v>3.1591042203498671E-3</v>
      </c>
      <c r="L63" s="383">
        <f t="shared" si="13"/>
        <v>1.550332789619196E-3</v>
      </c>
      <c r="M63" s="403">
        <f t="shared" si="13"/>
        <v>2.0441173889550316E-3</v>
      </c>
      <c r="N63" s="383">
        <f t="shared" si="13"/>
        <v>0</v>
      </c>
      <c r="O63" s="403">
        <f t="shared" si="13"/>
        <v>0</v>
      </c>
      <c r="P63" s="383">
        <f t="shared" si="13"/>
        <v>0</v>
      </c>
      <c r="Q63" s="384">
        <f t="shared" si="10"/>
        <v>1.0000000000000002</v>
      </c>
    </row>
    <row r="64" spans="1:17">
      <c r="A64" s="85">
        <v>2011</v>
      </c>
      <c r="B64" s="85" t="str">
        <f t="shared" ref="B64:B66" si="14">B60</f>
        <v>hhlds main fuel lighting</v>
      </c>
      <c r="F64" s="383">
        <f t="shared" ref="F64:P64" si="15">F53/SUM($F53:$P53)</f>
        <v>0.88139357061343748</v>
      </c>
      <c r="G64" s="383">
        <f t="shared" si="15"/>
        <v>2.4728125023054824E-3</v>
      </c>
      <c r="H64" s="383">
        <f t="shared" si="15"/>
        <v>3.0684700737129193E-2</v>
      </c>
      <c r="I64" s="383">
        <f t="shared" si="15"/>
        <v>0</v>
      </c>
      <c r="J64" s="383">
        <f t="shared" si="15"/>
        <v>0</v>
      </c>
      <c r="K64" s="383">
        <f t="shared" si="15"/>
        <v>0</v>
      </c>
      <c r="L64" s="383">
        <f t="shared" si="15"/>
        <v>3.7081064376997329E-3</v>
      </c>
      <c r="M64" s="403">
        <f t="shared" si="15"/>
        <v>0</v>
      </c>
      <c r="N64" s="383">
        <f t="shared" si="15"/>
        <v>7.8384329409486544E-2</v>
      </c>
      <c r="O64" s="403">
        <f t="shared" si="15"/>
        <v>3.3564802999417019E-3</v>
      </c>
      <c r="P64" s="383">
        <f t="shared" si="15"/>
        <v>0</v>
      </c>
      <c r="Q64" s="384">
        <f t="shared" si="10"/>
        <v>1</v>
      </c>
    </row>
    <row r="65" spans="1:17">
      <c r="A65" s="85">
        <v>2011</v>
      </c>
      <c r="B65" s="85" t="str">
        <f t="shared" si="14"/>
        <v>hhlds main fuel space heating</v>
      </c>
      <c r="F65" s="383">
        <f t="shared" ref="F65:P65" si="16">F54/SUM($F54:$P54)</f>
        <v>0.6695126312232258</v>
      </c>
      <c r="G65" s="383">
        <f t="shared" si="16"/>
        <v>2.8273505163586399E-2</v>
      </c>
      <c r="H65" s="383">
        <f t="shared" si="16"/>
        <v>9.741360097012168E-2</v>
      </c>
      <c r="I65" s="383">
        <f t="shared" si="16"/>
        <v>0.17447195845735861</v>
      </c>
      <c r="J65" s="383">
        <f t="shared" si="16"/>
        <v>2.3275943995401383E-2</v>
      </c>
      <c r="K65" s="383">
        <f t="shared" si="16"/>
        <v>3.8206553398825857E-3</v>
      </c>
      <c r="L65" s="383">
        <f t="shared" si="16"/>
        <v>3.0383012746027708E-3</v>
      </c>
      <c r="M65" s="403">
        <f t="shared" si="16"/>
        <v>1.9340357582090103E-4</v>
      </c>
      <c r="N65" s="383">
        <f t="shared" si="16"/>
        <v>0</v>
      </c>
      <c r="O65" s="403">
        <f t="shared" si="16"/>
        <v>0</v>
      </c>
      <c r="P65" s="383">
        <f t="shared" si="16"/>
        <v>0</v>
      </c>
      <c r="Q65" s="384">
        <f t="shared" si="10"/>
        <v>1.0000000000000002</v>
      </c>
    </row>
    <row r="66" spans="1:17">
      <c r="A66" s="85">
        <v>2011</v>
      </c>
      <c r="B66" s="85" t="str">
        <f t="shared" si="14"/>
        <v>hhlds main fuel water heating</v>
      </c>
      <c r="F66" s="383">
        <f t="shared" ref="F66:P66" si="17">F55/SUM($F55:$P55)</f>
        <v>0.6695126312232258</v>
      </c>
      <c r="G66" s="383">
        <f t="shared" si="17"/>
        <v>2.8273505163586399E-2</v>
      </c>
      <c r="H66" s="383">
        <f t="shared" si="17"/>
        <v>9.741360097012168E-2</v>
      </c>
      <c r="I66" s="383">
        <f t="shared" si="17"/>
        <v>0.17447195845735861</v>
      </c>
      <c r="J66" s="383">
        <f t="shared" si="17"/>
        <v>2.3275943995401383E-2</v>
      </c>
      <c r="K66" s="383">
        <f t="shared" si="17"/>
        <v>3.8206553398825857E-3</v>
      </c>
      <c r="L66" s="383">
        <f t="shared" si="17"/>
        <v>3.0383012746027708E-3</v>
      </c>
      <c r="M66" s="403">
        <f t="shared" si="17"/>
        <v>1.9340357582090103E-4</v>
      </c>
      <c r="N66" s="383">
        <f t="shared" si="17"/>
        <v>0</v>
      </c>
      <c r="O66" s="403">
        <f t="shared" si="17"/>
        <v>0</v>
      </c>
      <c r="P66" s="383">
        <f t="shared" si="17"/>
        <v>0</v>
      </c>
      <c r="Q66" s="384">
        <f t="shared" si="10"/>
        <v>1.0000000000000002</v>
      </c>
    </row>
    <row r="68" spans="1:17" s="443" customFormat="1" ht="22.5">
      <c r="A68" s="463" t="s">
        <v>893</v>
      </c>
    </row>
    <row r="69" spans="1:17" ht="13.5" thickBot="1">
      <c r="F69" s="391" t="s">
        <v>42</v>
      </c>
      <c r="G69" s="391" t="s">
        <v>43</v>
      </c>
      <c r="H69" s="391" t="s">
        <v>17</v>
      </c>
      <c r="I69" s="391" t="s">
        <v>7</v>
      </c>
      <c r="J69" s="391" t="s">
        <v>9</v>
      </c>
      <c r="K69" s="391" t="s">
        <v>46</v>
      </c>
      <c r="L69" s="391" t="s">
        <v>44</v>
      </c>
      <c r="M69" s="402" t="s">
        <v>41</v>
      </c>
      <c r="N69" s="390" t="s">
        <v>2</v>
      </c>
      <c r="O69" s="229" t="s">
        <v>47</v>
      </c>
      <c r="P69" s="390" t="s">
        <v>286</v>
      </c>
    </row>
    <row r="70" spans="1:17" ht="13.5" thickBot="1">
      <c r="A70" s="85">
        <v>2011</v>
      </c>
      <c r="B70" s="85" t="str">
        <f>B48</f>
        <v>hhhlds main fuel cooking</v>
      </c>
      <c r="C70" s="212" t="s">
        <v>22</v>
      </c>
      <c r="F70" s="382">
        <f t="shared" ref="F70:P72" si="18">SUMIFS($J$111:$J$238,$A$111:$A$238,"cooking",$C$111:$C$238,F$46,$B$111:$B$238,$C70)</f>
        <v>0.64725737253963511</v>
      </c>
      <c r="G70" s="382">
        <f t="shared" si="18"/>
        <v>2.5377349089885579E-2</v>
      </c>
      <c r="H70" s="382">
        <f t="shared" si="18"/>
        <v>0.12864666774407588</v>
      </c>
      <c r="I70" s="382">
        <f t="shared" si="18"/>
        <v>0.18270151694231798</v>
      </c>
      <c r="J70" s="382">
        <f t="shared" si="18"/>
        <v>8.5919069318078408E-3</v>
      </c>
      <c r="K70" s="382">
        <f t="shared" si="18"/>
        <v>4.4431459426914725E-3</v>
      </c>
      <c r="L70" s="382">
        <f t="shared" si="18"/>
        <v>1.4370955683405354E-3</v>
      </c>
      <c r="M70" s="404">
        <f t="shared" si="18"/>
        <v>1.5449452412456457E-3</v>
      </c>
      <c r="N70" s="382">
        <f t="shared" si="18"/>
        <v>0</v>
      </c>
      <c r="O70" s="382">
        <f t="shared" si="18"/>
        <v>0</v>
      </c>
      <c r="P70" s="382">
        <f t="shared" si="18"/>
        <v>0</v>
      </c>
      <c r="Q70" s="382">
        <f t="shared" ref="Q70:Q79" si="19">SUM(F70:P70)</f>
        <v>0.99999999999999989</v>
      </c>
    </row>
    <row r="71" spans="1:17" ht="13.5" thickBot="1">
      <c r="A71" s="85">
        <v>2011</v>
      </c>
      <c r="B71" s="85" t="str">
        <f>B70</f>
        <v>hhhlds main fuel cooking</v>
      </c>
      <c r="C71" s="95" t="s">
        <v>24</v>
      </c>
      <c r="F71" s="382">
        <f t="shared" si="18"/>
        <v>0.74792799749283057</v>
      </c>
      <c r="G71" s="382">
        <f t="shared" si="18"/>
        <v>2.8672170607556342E-2</v>
      </c>
      <c r="H71" s="382">
        <f t="shared" si="18"/>
        <v>8.0150980492202636E-2</v>
      </c>
      <c r="I71" s="382">
        <f t="shared" si="18"/>
        <v>0.12800224438750102</v>
      </c>
      <c r="J71" s="382">
        <f t="shared" si="18"/>
        <v>8.9970757469713461E-3</v>
      </c>
      <c r="K71" s="382">
        <f t="shared" si="18"/>
        <v>3.3039586966706696E-3</v>
      </c>
      <c r="L71" s="382">
        <f t="shared" si="18"/>
        <v>1.4741845065370323E-3</v>
      </c>
      <c r="M71" s="382">
        <f t="shared" si="18"/>
        <v>1.4713880697304761E-3</v>
      </c>
      <c r="N71" s="382">
        <f t="shared" si="18"/>
        <v>0</v>
      </c>
      <c r="O71" s="382">
        <f t="shared" si="18"/>
        <v>0</v>
      </c>
      <c r="P71" s="382">
        <f t="shared" si="18"/>
        <v>0</v>
      </c>
      <c r="Q71" s="382">
        <f t="shared" si="19"/>
        <v>1</v>
      </c>
    </row>
    <row r="72" spans="1:17" ht="13.5" thickBot="1">
      <c r="A72" s="85">
        <v>2011</v>
      </c>
      <c r="B72" s="85" t="str">
        <f>B71</f>
        <v>hhhlds main fuel cooking</v>
      </c>
      <c r="C72" s="98" t="s">
        <v>25</v>
      </c>
      <c r="F72" s="382">
        <f t="shared" si="18"/>
        <v>0.89612430369186447</v>
      </c>
      <c r="G72" s="382">
        <f t="shared" si="18"/>
        <v>6.2578465768623623E-2</v>
      </c>
      <c r="H72" s="382">
        <f t="shared" si="18"/>
        <v>1.354089978786447E-2</v>
      </c>
      <c r="I72" s="382">
        <f t="shared" si="18"/>
        <v>1.9072528030232076E-2</v>
      </c>
      <c r="J72" s="382">
        <f t="shared" si="18"/>
        <v>2.4893128386965545E-3</v>
      </c>
      <c r="K72" s="382">
        <f t="shared" si="18"/>
        <v>6.1249104332965361E-4</v>
      </c>
      <c r="L72" s="382">
        <f t="shared" si="18"/>
        <v>1.85940301813505E-3</v>
      </c>
      <c r="M72" s="382">
        <f t="shared" si="18"/>
        <v>3.7225958212540084E-3</v>
      </c>
      <c r="N72" s="382">
        <f t="shared" si="18"/>
        <v>0</v>
      </c>
      <c r="O72" s="382">
        <f t="shared" si="18"/>
        <v>0</v>
      </c>
      <c r="P72" s="382">
        <f t="shared" si="18"/>
        <v>0</v>
      </c>
      <c r="Q72" s="382">
        <f t="shared" si="19"/>
        <v>0.99999999999999978</v>
      </c>
    </row>
    <row r="73" spans="1:17" ht="13.5" thickBot="1">
      <c r="A73" s="85">
        <v>2011</v>
      </c>
      <c r="B73" s="85" t="str">
        <f>B53</f>
        <v>hhlds main fuel lighting</v>
      </c>
      <c r="C73" s="212" t="s">
        <v>22</v>
      </c>
      <c r="F73" s="382">
        <f t="shared" ref="F73:P75" si="20">SUMIFS($J$111:$J$238,$A$111:$A$238,"lighting",$C$111:$C$238,F$46,$B$111:$B$238,$C73)</f>
        <v>0.77484957211901018</v>
      </c>
      <c r="G73" s="382">
        <f t="shared" si="20"/>
        <v>2.8061115783667404E-3</v>
      </c>
      <c r="H73" s="382">
        <f t="shared" si="20"/>
        <v>4.3076876593414117E-2</v>
      </c>
      <c r="I73" s="382">
        <f t="shared" si="20"/>
        <v>0</v>
      </c>
      <c r="J73" s="382">
        <f t="shared" si="20"/>
        <v>0</v>
      </c>
      <c r="K73" s="382">
        <f t="shared" si="20"/>
        <v>0</v>
      </c>
      <c r="L73" s="382">
        <f t="shared" si="20"/>
        <v>3.7860879118140718E-3</v>
      </c>
      <c r="M73" s="382">
        <f t="shared" si="20"/>
        <v>0</v>
      </c>
      <c r="N73" s="382">
        <f t="shared" si="20"/>
        <v>0.17096632637732861</v>
      </c>
      <c r="O73" s="382">
        <f t="shared" si="20"/>
        <v>4.5150254200661431E-3</v>
      </c>
      <c r="P73" s="382">
        <f t="shared" si="20"/>
        <v>0</v>
      </c>
      <c r="Q73" s="382">
        <f t="shared" si="19"/>
        <v>0.99999999999999978</v>
      </c>
    </row>
    <row r="74" spans="1:17" ht="13.5" thickBot="1">
      <c r="A74" s="85">
        <v>2011</v>
      </c>
      <c r="B74" s="85" t="str">
        <f>B73</f>
        <v>hhlds main fuel lighting</v>
      </c>
      <c r="C74" s="95" t="s">
        <v>24</v>
      </c>
      <c r="F74" s="382">
        <f t="shared" si="20"/>
        <v>0.85487365806023408</v>
      </c>
      <c r="G74" s="382">
        <f t="shared" si="20"/>
        <v>2.2420792481839696E-3</v>
      </c>
      <c r="H74" s="382">
        <f t="shared" si="20"/>
        <v>2.8786049118303493E-2</v>
      </c>
      <c r="I74" s="382">
        <f t="shared" si="20"/>
        <v>0</v>
      </c>
      <c r="J74" s="382">
        <f t="shared" si="20"/>
        <v>0</v>
      </c>
      <c r="K74" s="382">
        <f t="shared" si="20"/>
        <v>0</v>
      </c>
      <c r="L74" s="382">
        <f t="shared" si="20"/>
        <v>3.5526237933260966E-3</v>
      </c>
      <c r="M74" s="382">
        <f t="shared" si="20"/>
        <v>0</v>
      </c>
      <c r="N74" s="382">
        <f t="shared" si="20"/>
        <v>0</v>
      </c>
      <c r="O74" s="382">
        <f t="shared" si="20"/>
        <v>2.8129586332765683E-3</v>
      </c>
      <c r="P74" s="382">
        <f t="shared" si="20"/>
        <v>0</v>
      </c>
      <c r="Q74" s="382">
        <f t="shared" si="19"/>
        <v>0.89226736885332425</v>
      </c>
    </row>
    <row r="75" spans="1:17" ht="13.5" thickBot="1">
      <c r="A75" s="85">
        <v>2011</v>
      </c>
      <c r="B75" s="85" t="str">
        <f>B74</f>
        <v>hhlds main fuel lighting</v>
      </c>
      <c r="C75" s="98" t="s">
        <v>25</v>
      </c>
      <c r="F75" s="382">
        <f t="shared" si="20"/>
        <v>0.97011215567399645</v>
      </c>
      <c r="G75" s="382">
        <f t="shared" si="20"/>
        <v>1.7673903180409844E-3</v>
      </c>
      <c r="H75" s="382">
        <f t="shared" si="20"/>
        <v>5.4566683017839152E-3</v>
      </c>
      <c r="I75" s="382">
        <f t="shared" si="20"/>
        <v>0</v>
      </c>
      <c r="J75" s="382">
        <f t="shared" si="20"/>
        <v>0</v>
      </c>
      <c r="K75" s="382">
        <f t="shared" si="20"/>
        <v>0</v>
      </c>
      <c r="L75" s="382">
        <f t="shared" si="20"/>
        <v>3.1719730721097039E-3</v>
      </c>
      <c r="M75" s="382">
        <f t="shared" si="20"/>
        <v>0</v>
      </c>
      <c r="N75" s="382">
        <f t="shared" si="20"/>
        <v>0</v>
      </c>
      <c r="O75" s="382">
        <f t="shared" si="20"/>
        <v>1.4074235541955964E-3</v>
      </c>
      <c r="P75" s="382">
        <f t="shared" si="20"/>
        <v>0</v>
      </c>
      <c r="Q75" s="382">
        <f t="shared" si="19"/>
        <v>0.98191561092012658</v>
      </c>
    </row>
    <row r="76" spans="1:17" ht="13.5" thickBot="1">
      <c r="A76" s="85">
        <v>2011</v>
      </c>
      <c r="B76" s="85" t="str">
        <f>B54</f>
        <v>hhlds main fuel space heating</v>
      </c>
      <c r="C76" s="212" t="s">
        <v>22</v>
      </c>
      <c r="F76" s="382">
        <f t="shared" ref="F76:P78" si="21">SUMIFS($J$111:$J$238,$A$111:$A$238,"space heating",$C$111:$C$238,F$46,$B$111:$B$238,$C76)</f>
        <v>0.56955674095683095</v>
      </c>
      <c r="G76" s="382">
        <f t="shared" si="21"/>
        <v>1.7396870682566554E-2</v>
      </c>
      <c r="H76" s="382">
        <f t="shared" si="21"/>
        <v>0.1267372500402611</v>
      </c>
      <c r="I76" s="382">
        <f t="shared" si="21"/>
        <v>0.25045675230582054</v>
      </c>
      <c r="J76" s="382">
        <f t="shared" si="21"/>
        <v>2.8034500257046523E-2</v>
      </c>
      <c r="K76" s="382">
        <f t="shared" si="21"/>
        <v>5.2878959919994452E-3</v>
      </c>
      <c r="L76" s="382">
        <f t="shared" si="21"/>
        <v>2.326566517021083E-3</v>
      </c>
      <c r="M76" s="382">
        <f t="shared" si="21"/>
        <v>2.0342324845412202E-4</v>
      </c>
      <c r="N76" s="382">
        <f t="shared" si="21"/>
        <v>0</v>
      </c>
      <c r="O76" s="382">
        <f t="shared" si="21"/>
        <v>0</v>
      </c>
      <c r="P76" s="382">
        <f t="shared" si="21"/>
        <v>0</v>
      </c>
      <c r="Q76" s="382">
        <f t="shared" si="19"/>
        <v>1.0000000000000004</v>
      </c>
    </row>
    <row r="77" spans="1:17" ht="13.5" thickBot="1">
      <c r="A77" s="85">
        <v>2011</v>
      </c>
      <c r="B77" s="85" t="str">
        <f>B76</f>
        <v>hhlds main fuel space heating</v>
      </c>
      <c r="C77" s="95" t="s">
        <v>24</v>
      </c>
      <c r="F77" s="382">
        <f t="shared" si="21"/>
        <v>0.66338957685980504</v>
      </c>
      <c r="G77" s="382">
        <f t="shared" si="21"/>
        <v>1.8205028374723757E-2</v>
      </c>
      <c r="H77" s="382">
        <f t="shared" si="21"/>
        <v>0.10360703735898198</v>
      </c>
      <c r="I77" s="382">
        <f t="shared" si="21"/>
        <v>0.18030049520658889</v>
      </c>
      <c r="J77" s="382">
        <f t="shared" si="21"/>
        <v>2.7899318127422169E-2</v>
      </c>
      <c r="K77" s="382">
        <f t="shared" si="21"/>
        <v>3.9354572116177726E-3</v>
      </c>
      <c r="L77" s="382">
        <f t="shared" si="21"/>
        <v>2.5003506636205358E-3</v>
      </c>
      <c r="M77" s="382">
        <f t="shared" si="21"/>
        <v>1.6273619723997722E-4</v>
      </c>
      <c r="N77" s="382">
        <f t="shared" si="21"/>
        <v>0</v>
      </c>
      <c r="O77" s="382">
        <f t="shared" si="21"/>
        <v>0</v>
      </c>
      <c r="P77" s="382">
        <f t="shared" si="21"/>
        <v>0</v>
      </c>
      <c r="Q77" s="382">
        <f t="shared" si="19"/>
        <v>1.0000000000000002</v>
      </c>
    </row>
    <row r="78" spans="1:17" ht="13.5" thickBot="1">
      <c r="A78" s="85">
        <v>2011</v>
      </c>
      <c r="B78" s="85" t="str">
        <f>B77</f>
        <v>hhlds main fuel space heating</v>
      </c>
      <c r="C78" s="98" t="s">
        <v>25</v>
      </c>
      <c r="F78" s="382">
        <f t="shared" si="21"/>
        <v>0.84544349791843898</v>
      </c>
      <c r="G78" s="382">
        <f t="shared" si="21"/>
        <v>5.9136516779077337E-2</v>
      </c>
      <c r="H78" s="382">
        <f t="shared" si="21"/>
        <v>4.0320744776784496E-2</v>
      </c>
      <c r="I78" s="382">
        <f t="shared" si="21"/>
        <v>3.9269080824373567E-2</v>
      </c>
      <c r="J78" s="382">
        <f t="shared" si="21"/>
        <v>9.5010878706932589E-3</v>
      </c>
      <c r="K78" s="382">
        <f t="shared" si="21"/>
        <v>1.2071230761812823E-3</v>
      </c>
      <c r="L78" s="382">
        <f t="shared" si="21"/>
        <v>4.9071907956934726E-3</v>
      </c>
      <c r="M78" s="382">
        <f t="shared" si="21"/>
        <v>2.1475795875767421E-4</v>
      </c>
      <c r="N78" s="382">
        <f t="shared" si="21"/>
        <v>0</v>
      </c>
      <c r="O78" s="382">
        <f t="shared" si="21"/>
        <v>0</v>
      </c>
      <c r="P78" s="382">
        <f t="shared" si="21"/>
        <v>0</v>
      </c>
      <c r="Q78" s="382">
        <f t="shared" si="19"/>
        <v>1</v>
      </c>
    </row>
    <row r="79" spans="1:17">
      <c r="Q79" s="382">
        <f t="shared" si="19"/>
        <v>0</v>
      </c>
    </row>
    <row r="80" spans="1:17" s="463" customFormat="1" ht="22.5">
      <c r="A80" s="463" t="s">
        <v>918</v>
      </c>
    </row>
    <row r="81" spans="1:17">
      <c r="A81" s="392"/>
      <c r="C81" s="395">
        <v>2017</v>
      </c>
      <c r="F81" s="394">
        <f>F84*SUM('2017 end use splits'!$S$31:$S$33)</f>
        <v>2.2166687747893281</v>
      </c>
      <c r="G81" s="394">
        <f>G84*SUM('2017 end use splits'!$S$31:$S$33)</f>
        <v>0.13535274080823076</v>
      </c>
      <c r="H81" s="394">
        <f>H84*SUM('2017 end use splits'!$S$31:$S$33)</f>
        <v>0.24497004733908562</v>
      </c>
      <c r="I81" s="394">
        <f>I84*SUM('2017 end use splits'!$S$31:$S$33)</f>
        <v>0.36491522722401404</v>
      </c>
      <c r="J81" s="394">
        <f>J84*SUM('2017 end use splits'!$S$31:$S$33)</f>
        <v>1.3092974350158867E-2</v>
      </c>
      <c r="K81" s="394">
        <f>K84*SUM('2017 end use splits'!$S$31:$S$33)</f>
        <v>2.2883092602476074E-3</v>
      </c>
      <c r="L81" s="394">
        <f>L84*SUM('2017 end use splits'!$S$31:$S$33)</f>
        <v>3.2448304007494304E-3</v>
      </c>
      <c r="M81" s="394">
        <f>M84*SUM('2017 end use splits'!$S$31:$S$33)</f>
        <v>5.2841115880141159E-3</v>
      </c>
      <c r="N81" s="394">
        <f>N84*SUM('2017 end use splits'!$S$31:$S$33)</f>
        <v>0</v>
      </c>
      <c r="O81" s="394">
        <f>O84*SUM('2017 end use splits'!$S$31:$S$33)</f>
        <v>1.4182984240171989E-2</v>
      </c>
      <c r="P81" s="394"/>
      <c r="Q81" s="382"/>
    </row>
    <row r="82" spans="1:17">
      <c r="A82" s="392"/>
      <c r="C82" s="395">
        <v>2011</v>
      </c>
      <c r="F82" s="394">
        <f t="shared" ref="F82:O82" si="22">F70*$G$3+F71*$G$4+F72*$G$5</f>
        <v>10679635.944505166</v>
      </c>
      <c r="G82" s="394">
        <f t="shared" si="22"/>
        <v>510716.49717418489</v>
      </c>
      <c r="H82" s="394">
        <f t="shared" si="22"/>
        <v>1236424.8851831802</v>
      </c>
      <c r="I82" s="394">
        <f t="shared" si="22"/>
        <v>1820881.5624711479</v>
      </c>
      <c r="J82" s="394">
        <f t="shared" si="22"/>
        <v>104899.62757023654</v>
      </c>
      <c r="K82" s="394">
        <f t="shared" si="22"/>
        <v>45679.630590997956</v>
      </c>
      <c r="L82" s="394">
        <f t="shared" si="22"/>
        <v>22399.612376150348</v>
      </c>
      <c r="M82" s="394">
        <f t="shared" si="22"/>
        <v>29523.731077434149</v>
      </c>
      <c r="N82" s="394">
        <f t="shared" si="22"/>
        <v>0</v>
      </c>
      <c r="O82" s="394">
        <f t="shared" si="22"/>
        <v>0</v>
      </c>
      <c r="P82" s="394"/>
      <c r="Q82" s="382"/>
    </row>
    <row r="83" spans="1:17">
      <c r="A83" s="392"/>
      <c r="F83" s="391" t="s">
        <v>42</v>
      </c>
      <c r="G83" s="391" t="s">
        <v>43</v>
      </c>
      <c r="H83" s="391" t="s">
        <v>17</v>
      </c>
      <c r="I83" s="391" t="s">
        <v>7</v>
      </c>
      <c r="J83" s="391" t="s">
        <v>9</v>
      </c>
      <c r="K83" s="391" t="s">
        <v>46</v>
      </c>
      <c r="L83" s="391" t="s">
        <v>44</v>
      </c>
      <c r="M83" s="402" t="s">
        <v>41</v>
      </c>
      <c r="N83" s="390" t="s">
        <v>2</v>
      </c>
      <c r="O83" s="229" t="s">
        <v>47</v>
      </c>
      <c r="P83" s="390" t="s">
        <v>917</v>
      </c>
      <c r="Q83" s="382"/>
    </row>
    <row r="84" spans="1:17">
      <c r="A84" s="85">
        <v>2017</v>
      </c>
      <c r="B84" s="85" t="str">
        <f>B48</f>
        <v>hhhlds main fuel cooking</v>
      </c>
      <c r="F84" s="383">
        <f>F59*$H$12/$F$60</f>
        <v>0.73888959159644274</v>
      </c>
      <c r="G84" s="383">
        <f t="shared" ref="G84:O84" si="23">G59+($F$59-$F$84)*G59/SUM($G59:$O59)</f>
        <v>4.5117580269410255E-2</v>
      </c>
      <c r="H84" s="383">
        <f t="shared" si="23"/>
        <v>8.1656682446361872E-2</v>
      </c>
      <c r="I84" s="383">
        <f t="shared" si="23"/>
        <v>0.12163840907467136</v>
      </c>
      <c r="J84" s="383">
        <f t="shared" si="23"/>
        <v>4.3643247833862892E-3</v>
      </c>
      <c r="K84" s="383">
        <f t="shared" si="23"/>
        <v>7.6276975341586914E-4</v>
      </c>
      <c r="L84" s="383">
        <f t="shared" si="23"/>
        <v>1.0816101335831435E-3</v>
      </c>
      <c r="M84" s="403">
        <f t="shared" si="23"/>
        <v>1.7613705293380386E-3</v>
      </c>
      <c r="N84" s="383">
        <f t="shared" si="23"/>
        <v>0</v>
      </c>
      <c r="O84" s="403">
        <f t="shared" si="23"/>
        <v>4.727661413390663E-3</v>
      </c>
      <c r="P84" s="384">
        <f>SUM(F84:O84)</f>
        <v>1.0000000000000002</v>
      </c>
      <c r="Q84" s="382"/>
    </row>
    <row r="85" spans="1:17">
      <c r="A85" s="85">
        <v>2017</v>
      </c>
      <c r="B85" s="85" t="str">
        <f>B49</f>
        <v>hhlds main fuel lighting</v>
      </c>
      <c r="F85" s="383">
        <f>F60*$H$12/$F$60</f>
        <v>0.85662136462098004</v>
      </c>
      <c r="G85" s="383">
        <f t="shared" ref="G85:O85" si="24">G60+($F$59-$F$84)*G60/SUM($G60:$O60)</f>
        <v>5.2424416399612277E-3</v>
      </c>
      <c r="H85" s="383">
        <f t="shared" si="24"/>
        <v>9.2120828524680717E-2</v>
      </c>
      <c r="I85" s="383">
        <f t="shared" si="24"/>
        <v>0</v>
      </c>
      <c r="J85" s="383">
        <f t="shared" si="24"/>
        <v>0</v>
      </c>
      <c r="K85" s="383">
        <f t="shared" si="24"/>
        <v>0</v>
      </c>
      <c r="L85" s="383">
        <f t="shared" si="24"/>
        <v>1.9691197384279515E-2</v>
      </c>
      <c r="M85" s="403">
        <f t="shared" si="24"/>
        <v>4.8515620384649684E-3</v>
      </c>
      <c r="N85" s="383">
        <f t="shared" si="24"/>
        <v>0</v>
      </c>
      <c r="O85" s="403">
        <f t="shared" si="24"/>
        <v>7.2411863885787752E-3</v>
      </c>
      <c r="P85" s="384">
        <f>SUM(F85:O85)</f>
        <v>0.98576858059694517</v>
      </c>
      <c r="Q85" s="382"/>
    </row>
    <row r="86" spans="1:17">
      <c r="A86" s="85">
        <v>2017</v>
      </c>
      <c r="B86" s="85" t="str">
        <f>B50</f>
        <v>hhlds main fuel space heating</v>
      </c>
      <c r="F86" s="383">
        <f>F61*$H$12/$F$60</f>
        <v>0.58865410716548394</v>
      </c>
      <c r="G86" s="383">
        <f t="shared" ref="G86:O86" si="25">G61+($F$59-$F$84)*G61/SUM($G61:$O61)</f>
        <v>1.7001401681526029E-2</v>
      </c>
      <c r="H86" s="383">
        <f t="shared" si="25"/>
        <v>6.8746521644887371E-2</v>
      </c>
      <c r="I86" s="383">
        <f t="shared" si="25"/>
        <v>0.11659827899480096</v>
      </c>
      <c r="J86" s="383">
        <f t="shared" si="25"/>
        <v>1.2175056951929632E-2</v>
      </c>
      <c r="K86" s="383">
        <f t="shared" si="25"/>
        <v>1.0614750935950615E-3</v>
      </c>
      <c r="L86" s="383">
        <f t="shared" si="25"/>
        <v>1.4750324529905128E-3</v>
      </c>
      <c r="M86" s="403">
        <f t="shared" si="25"/>
        <v>1.8678069957861993E-2</v>
      </c>
      <c r="N86" s="383">
        <f t="shared" si="25"/>
        <v>0</v>
      </c>
      <c r="O86" s="403">
        <f t="shared" si="25"/>
        <v>0.19377052483464746</v>
      </c>
      <c r="P86" s="384">
        <f>SUM(F86:O86)</f>
        <v>1.018160468777723</v>
      </c>
      <c r="Q86" s="382"/>
    </row>
    <row r="87" spans="1:17">
      <c r="A87" s="85">
        <v>2017</v>
      </c>
      <c r="B87" s="85" t="str">
        <f>B51</f>
        <v>hhlds main fuel water heating</v>
      </c>
      <c r="F87" s="383">
        <f>F62*$H$12/$F$60</f>
        <v>0.73589505350275441</v>
      </c>
      <c r="G87" s="383">
        <f t="shared" ref="G87:O87" si="26">G62+($F$59-$F$84)*G62/SUM($G62:$O62)</f>
        <v>1.6929593098560358E-2</v>
      </c>
      <c r="H87" s="383">
        <f t="shared" si="26"/>
        <v>7.7658552052207341E-2</v>
      </c>
      <c r="I87" s="383">
        <f t="shared" si="26"/>
        <v>0.12737051123694038</v>
      </c>
      <c r="J87" s="383">
        <f t="shared" si="26"/>
        <v>4.9862657176928454E-3</v>
      </c>
      <c r="K87" s="383">
        <f t="shared" si="26"/>
        <v>1.0544570899920216E-3</v>
      </c>
      <c r="L87" s="383">
        <f t="shared" si="26"/>
        <v>9.6214597032859249E-3</v>
      </c>
      <c r="M87" s="403">
        <f t="shared" si="26"/>
        <v>4.3456272619876073E-3</v>
      </c>
      <c r="N87" s="383">
        <f t="shared" si="26"/>
        <v>0</v>
      </c>
      <c r="O87" s="403">
        <f t="shared" si="26"/>
        <v>2.2500460169506929E-2</v>
      </c>
      <c r="P87" s="384">
        <f>SUM(F87:O87)</f>
        <v>1.0003619798329277</v>
      </c>
      <c r="Q87" s="382"/>
    </row>
    <row r="88" spans="1:17" ht="38.25">
      <c r="D88" s="401" t="s">
        <v>818</v>
      </c>
      <c r="E88" s="401" t="s">
        <v>817</v>
      </c>
      <c r="F88" s="383"/>
      <c r="G88" s="383"/>
      <c r="H88" s="383"/>
      <c r="I88" s="383"/>
      <c r="J88" s="383"/>
      <c r="K88" s="383"/>
      <c r="L88" s="383"/>
      <c r="M88" s="403"/>
      <c r="N88" s="383"/>
      <c r="O88" s="403"/>
      <c r="P88" s="384"/>
      <c r="Q88" s="382"/>
    </row>
    <row r="89" spans="1:17">
      <c r="A89" s="85">
        <v>2017</v>
      </c>
      <c r="B89" s="395" t="s">
        <v>22</v>
      </c>
      <c r="C89" s="85" t="s">
        <v>824</v>
      </c>
      <c r="D89" s="85">
        <f>F6*0.95</f>
        <v>0.7279374999999999</v>
      </c>
      <c r="E89" s="85">
        <f>D89*H3</f>
        <v>5591898.8607052295</v>
      </c>
      <c r="F89" s="383"/>
      <c r="G89" s="383"/>
      <c r="H89" s="383"/>
      <c r="I89" s="383"/>
      <c r="J89" s="383"/>
      <c r="K89" s="383"/>
      <c r="L89" s="383"/>
      <c r="M89" s="403"/>
      <c r="N89" s="383"/>
      <c r="O89" s="403"/>
      <c r="P89" s="384"/>
      <c r="Q89" s="382"/>
    </row>
    <row r="90" spans="1:17">
      <c r="A90" s="85">
        <v>2017</v>
      </c>
      <c r="B90" s="395" t="s">
        <v>24</v>
      </c>
      <c r="C90" s="85" t="s">
        <v>824</v>
      </c>
      <c r="D90" s="384">
        <f>F7</f>
        <v>0.87375000000000003</v>
      </c>
      <c r="E90" s="85">
        <f>D90*H4</f>
        <v>4869498.7466859436</v>
      </c>
      <c r="F90" s="383"/>
      <c r="G90" s="383"/>
      <c r="H90" s="383"/>
      <c r="I90" s="383"/>
      <c r="J90" s="383"/>
      <c r="K90" s="383"/>
      <c r="L90" s="383"/>
      <c r="M90" s="403"/>
      <c r="N90" s="383"/>
      <c r="O90" s="403"/>
      <c r="P90" s="384"/>
      <c r="Q90" s="382"/>
    </row>
    <row r="91" spans="1:17">
      <c r="A91" s="85">
        <v>2017</v>
      </c>
      <c r="B91" s="395" t="s">
        <v>25</v>
      </c>
      <c r="C91" s="85" t="s">
        <v>824</v>
      </c>
      <c r="D91" s="85">
        <f>100</f>
        <v>100</v>
      </c>
      <c r="E91" s="85">
        <f>D91*H5</f>
        <v>417606601.72229087</v>
      </c>
      <c r="F91" s="383"/>
      <c r="G91" s="383"/>
      <c r="H91" s="383"/>
      <c r="I91" s="383"/>
      <c r="J91" s="383"/>
      <c r="K91" s="383"/>
      <c r="L91" s="383"/>
      <c r="M91" s="403"/>
      <c r="N91" s="383"/>
      <c r="O91" s="403"/>
      <c r="P91" s="384"/>
      <c r="Q91" s="382"/>
    </row>
    <row r="92" spans="1:17">
      <c r="A92" s="85">
        <v>2017</v>
      </c>
      <c r="B92" s="395" t="s">
        <v>22</v>
      </c>
      <c r="C92" s="85" t="s">
        <v>825</v>
      </c>
      <c r="F92" s="383"/>
      <c r="G92" s="383"/>
      <c r="H92" s="383"/>
      <c r="I92" s="383"/>
      <c r="J92" s="383"/>
      <c r="K92" s="383"/>
      <c r="L92" s="383"/>
      <c r="M92" s="403"/>
      <c r="N92" s="383"/>
      <c r="O92" s="403"/>
      <c r="P92" s="384"/>
      <c r="Q92" s="382"/>
    </row>
    <row r="93" spans="1:17">
      <c r="A93" s="85">
        <v>2017</v>
      </c>
      <c r="B93" s="395" t="s">
        <v>24</v>
      </c>
      <c r="C93" s="85" t="s">
        <v>825</v>
      </c>
      <c r="F93" s="383"/>
      <c r="G93" s="383"/>
      <c r="H93" s="383"/>
      <c r="I93" s="383"/>
      <c r="J93" s="383"/>
      <c r="K93" s="383"/>
      <c r="L93" s="383"/>
      <c r="M93" s="403"/>
      <c r="N93" s="383"/>
      <c r="O93" s="403"/>
      <c r="P93" s="384"/>
      <c r="Q93" s="382"/>
    </row>
    <row r="94" spans="1:17">
      <c r="A94" s="85">
        <v>2017</v>
      </c>
      <c r="B94" s="395" t="s">
        <v>25</v>
      </c>
      <c r="C94" s="85" t="s">
        <v>825</v>
      </c>
      <c r="D94" s="393"/>
      <c r="F94" s="385"/>
      <c r="G94" s="385"/>
      <c r="H94" s="385"/>
      <c r="I94" s="385"/>
      <c r="J94" s="385"/>
      <c r="K94" s="385"/>
      <c r="L94" s="385"/>
      <c r="M94" s="385"/>
      <c r="N94" s="385"/>
      <c r="O94" s="385"/>
      <c r="P94" s="385"/>
      <c r="Q94" s="385"/>
    </row>
    <row r="95" spans="1:17">
      <c r="A95" s="85">
        <v>2017</v>
      </c>
      <c r="B95" s="395" t="s">
        <v>22</v>
      </c>
      <c r="C95" t="str">
        <f>'2017 end use splits'!D20</f>
        <v>cooking</v>
      </c>
      <c r="D95">
        <v>100</v>
      </c>
      <c r="E95">
        <f>D95*SUMIF('Census 2011_17'!A$3:$A$5,B95,'Census 2011_17'!H$3:$H$5)/100</f>
        <v>7681839.2522781566</v>
      </c>
      <c r="F95"/>
      <c r="G95" s="385"/>
      <c r="H95" s="385"/>
      <c r="I95" s="385"/>
      <c r="J95" s="385"/>
      <c r="K95" s="385"/>
      <c r="L95" s="385"/>
      <c r="M95" s="385"/>
      <c r="N95" s="385"/>
      <c r="O95" s="385"/>
      <c r="P95" s="385"/>
      <c r="Q95" s="385"/>
    </row>
    <row r="96" spans="1:17">
      <c r="A96" s="85">
        <v>2017</v>
      </c>
      <c r="B96" s="395" t="s">
        <v>24</v>
      </c>
      <c r="C96" t="str">
        <f>'2017 end use splits'!D21</f>
        <v>cooking</v>
      </c>
      <c r="D96">
        <v>100</v>
      </c>
      <c r="E96">
        <f>D96*SUMIF('Census 2011_17'!A$3:$A$5,B96,'Census 2011_17'!H$3:$H$5)/100</f>
        <v>5573103.0004989337</v>
      </c>
      <c r="F96"/>
      <c r="G96" s="385"/>
      <c r="H96" s="385"/>
      <c r="I96" s="385"/>
      <c r="J96" s="385"/>
      <c r="K96" s="385"/>
      <c r="L96" s="385"/>
      <c r="M96" s="385"/>
      <c r="N96" s="385"/>
      <c r="O96" s="385"/>
      <c r="P96" s="385"/>
      <c r="Q96" s="385"/>
    </row>
    <row r="97" spans="1:19">
      <c r="A97" s="85">
        <v>2017</v>
      </c>
      <c r="B97" s="395" t="s">
        <v>25</v>
      </c>
      <c r="C97" t="str">
        <f>'2017 end use splits'!D22</f>
        <v>cooking</v>
      </c>
      <c r="D97">
        <v>100</v>
      </c>
      <c r="E97">
        <f>D97*SUMIF('Census 2011_17'!A$3:$A$5,B97,'Census 2011_17'!H$3:$H$5)/100</f>
        <v>4176066.0172229088</v>
      </c>
      <c r="F97"/>
      <c r="G97" s="385"/>
      <c r="H97" s="385"/>
      <c r="I97" s="385"/>
      <c r="J97" s="385"/>
      <c r="K97" s="385"/>
      <c r="L97" s="385"/>
      <c r="M97" s="385"/>
      <c r="N97" s="385"/>
      <c r="O97" s="385"/>
      <c r="P97" s="385"/>
      <c r="Q97" s="385"/>
    </row>
    <row r="98" spans="1:19">
      <c r="A98" s="85">
        <v>2017</v>
      </c>
      <c r="B98" s="395" t="str">
        <f t="shared" ref="B98:B106" si="27">B95</f>
        <v>Low Income</v>
      </c>
      <c r="C98" t="str">
        <f>'2017 end use splits'!D37</f>
        <v>lighting</v>
      </c>
      <c r="D98">
        <v>100</v>
      </c>
      <c r="E98">
        <f>D98*SUMIF('Census 2011_17'!A$3:$A$5,B98,'Census 2011_17'!H$3:$H$5)/100</f>
        <v>7681839.2522781566</v>
      </c>
      <c r="F98"/>
      <c r="G98" s="385"/>
      <c r="H98" s="385"/>
      <c r="I98" s="385"/>
      <c r="J98" s="385"/>
      <c r="K98" s="385"/>
      <c r="L98" s="385"/>
      <c r="M98" s="385"/>
      <c r="N98" s="385"/>
      <c r="O98" s="385"/>
      <c r="P98" s="385"/>
      <c r="Q98" s="385"/>
    </row>
    <row r="99" spans="1:19">
      <c r="A99" s="85">
        <v>2017</v>
      </c>
      <c r="B99" s="395" t="str">
        <f t="shared" si="27"/>
        <v>Middle Income</v>
      </c>
      <c r="C99" t="str">
        <f>'2017 end use splits'!D38</f>
        <v>lighting</v>
      </c>
      <c r="D99">
        <v>100</v>
      </c>
      <c r="E99">
        <f>D99*SUMIF('Census 2011_17'!A$3:$A$5,B99,'Census 2011_17'!H$3:$H$5)/100</f>
        <v>5573103.0004989337</v>
      </c>
      <c r="F99"/>
      <c r="G99" s="385"/>
      <c r="H99" s="385"/>
      <c r="I99" s="385"/>
      <c r="J99" s="385"/>
      <c r="K99" s="385"/>
      <c r="L99" s="385"/>
      <c r="M99" s="385"/>
      <c r="N99" s="385"/>
      <c r="O99" s="385"/>
      <c r="P99" s="385"/>
      <c r="Q99" s="385"/>
    </row>
    <row r="100" spans="1:19">
      <c r="A100" s="85">
        <v>2017</v>
      </c>
      <c r="B100" s="395" t="str">
        <f t="shared" si="27"/>
        <v>High Income</v>
      </c>
      <c r="C100" t="str">
        <f>'2017 end use splits'!D39</f>
        <v>lighting</v>
      </c>
      <c r="D100">
        <v>100</v>
      </c>
      <c r="E100">
        <f>D100*SUMIF('Census 2011_17'!A$3:$A$5,B100,'Census 2011_17'!H$3:$H$5)/100</f>
        <v>4176066.0172229088</v>
      </c>
      <c r="F100"/>
      <c r="G100" s="385"/>
      <c r="H100" s="385"/>
      <c r="I100" s="385"/>
      <c r="J100" s="385"/>
      <c r="K100" s="385"/>
      <c r="L100" s="385"/>
      <c r="M100" s="385"/>
      <c r="N100" s="385"/>
      <c r="O100" s="385"/>
      <c r="P100" s="385"/>
      <c r="Q100" s="385"/>
    </row>
    <row r="101" spans="1:19">
      <c r="A101" s="85">
        <v>2017</v>
      </c>
      <c r="B101" s="395" t="str">
        <f t="shared" si="27"/>
        <v>Low Income</v>
      </c>
      <c r="C101" t="str">
        <f>'2017 end use splits'!D52</f>
        <v>water heating</v>
      </c>
      <c r="D101">
        <f>100-'Census 2011_17'!G287</f>
        <v>98.5</v>
      </c>
      <c r="E101">
        <f>D101*SUMIF('Census 2011_17'!A$3:$A$5,B101,'Census 2011_17'!H$3:$H$5)/100</f>
        <v>7566611.6634939834</v>
      </c>
      <c r="F101"/>
      <c r="G101" s="385"/>
      <c r="H101" s="385"/>
      <c r="I101" s="385"/>
      <c r="J101" s="385"/>
      <c r="K101" s="385"/>
      <c r="L101" s="385"/>
      <c r="M101" s="385"/>
      <c r="N101" s="385"/>
      <c r="O101" s="385"/>
      <c r="P101" s="385"/>
      <c r="Q101" s="385"/>
    </row>
    <row r="102" spans="1:19">
      <c r="A102" s="85">
        <v>2017</v>
      </c>
      <c r="B102" s="395" t="str">
        <f t="shared" si="27"/>
        <v>Middle Income</v>
      </c>
      <c r="C102" t="str">
        <f>'2017 end use splits'!D53</f>
        <v>water heating</v>
      </c>
      <c r="D102">
        <f>D101</f>
        <v>98.5</v>
      </c>
      <c r="E102">
        <f>D102*SUMIF('Census 2011_17'!A$3:$A$5,B102,'Census 2011_17'!H$3:$H$5)/100</f>
        <v>5489506.4554914497</v>
      </c>
      <c r="F102"/>
      <c r="G102" s="385"/>
      <c r="H102" s="385"/>
      <c r="I102" s="385"/>
      <c r="J102" s="385"/>
      <c r="K102" s="385"/>
      <c r="L102" s="385"/>
      <c r="M102" s="385"/>
      <c r="N102" s="385"/>
      <c r="O102" s="385"/>
      <c r="P102" s="385"/>
      <c r="Q102" s="385"/>
    </row>
    <row r="103" spans="1:19">
      <c r="A103" s="85">
        <v>2017</v>
      </c>
      <c r="B103" s="395" t="str">
        <f t="shared" si="27"/>
        <v>High Income</v>
      </c>
      <c r="C103" t="str">
        <f>'2017 end use splits'!D54</f>
        <v>water heating</v>
      </c>
      <c r="D103">
        <f>D102</f>
        <v>98.5</v>
      </c>
      <c r="E103">
        <f>D103*SUMIF('Census 2011_17'!A$3:$A$5,B103,'Census 2011_17'!H$3:$H$5)/100</f>
        <v>4113425.0269645648</v>
      </c>
      <c r="F103"/>
      <c r="G103" s="385"/>
      <c r="H103" s="385"/>
      <c r="I103" s="385"/>
      <c r="J103" s="385"/>
      <c r="K103" s="385"/>
      <c r="L103" s="385"/>
      <c r="M103" s="385"/>
      <c r="N103" s="385"/>
      <c r="O103" s="385"/>
      <c r="P103" s="385"/>
      <c r="Q103" s="385"/>
    </row>
    <row r="104" spans="1:19">
      <c r="A104" s="85">
        <v>2017</v>
      </c>
      <c r="B104" s="395" t="str">
        <f t="shared" si="27"/>
        <v>Low Income</v>
      </c>
      <c r="C104" t="str">
        <f>'2017 end use splits'!D67</f>
        <v>space heating</v>
      </c>
      <c r="D104">
        <f>100-'Census 2011_17'!G298</f>
        <v>84.7</v>
      </c>
      <c r="E104">
        <f>D104*SUMIF('Census 2011_17'!A$3:$A$5,B104,'Census 2011_17'!H$3:$H$5)/100</f>
        <v>6506517.846679599</v>
      </c>
      <c r="F104" s="14" t="s">
        <v>819</v>
      </c>
      <c r="G104" s="385"/>
      <c r="H104" s="385"/>
      <c r="I104" s="385"/>
      <c r="J104" s="385"/>
      <c r="K104" s="385"/>
      <c r="L104" s="385"/>
      <c r="M104" s="385"/>
      <c r="N104" s="385"/>
      <c r="O104" s="385"/>
      <c r="P104" s="385"/>
      <c r="Q104" s="385"/>
    </row>
    <row r="105" spans="1:19">
      <c r="A105" s="85">
        <v>2017</v>
      </c>
      <c r="B105" s="395" t="str">
        <f t="shared" si="27"/>
        <v>Middle Income</v>
      </c>
      <c r="C105" t="str">
        <f>'2017 end use splits'!D68</f>
        <v>space heating</v>
      </c>
      <c r="D105">
        <f>D104</f>
        <v>84.7</v>
      </c>
      <c r="E105">
        <f>D105*SUMIF('Census 2011_17'!A$3:$A$5,B105,'Census 2011_17'!H$3:$H$5)/100</f>
        <v>4720418.2414225973</v>
      </c>
      <c r="F105"/>
      <c r="G105" s="385"/>
      <c r="H105" s="385"/>
      <c r="I105" s="385"/>
      <c r="J105" s="385"/>
      <c r="K105" s="385"/>
      <c r="L105" s="385"/>
      <c r="M105" s="385"/>
      <c r="N105" s="385"/>
      <c r="O105" s="385"/>
      <c r="P105" s="385"/>
      <c r="Q105" s="385"/>
    </row>
    <row r="106" spans="1:19">
      <c r="A106" s="85">
        <v>2017</v>
      </c>
      <c r="B106" s="395" t="str">
        <f t="shared" si="27"/>
        <v>High Income</v>
      </c>
      <c r="C106" t="str">
        <f>'2017 end use splits'!D69</f>
        <v>space heating</v>
      </c>
      <c r="D106">
        <f>D105</f>
        <v>84.7</v>
      </c>
      <c r="E106">
        <f>D106*SUMIF('Census 2011_17'!A$3:$A$5,B106,'Census 2011_17'!H$3:$H$5)/100</f>
        <v>3537127.916587804</v>
      </c>
      <c r="F106"/>
    </row>
    <row r="107" spans="1:19">
      <c r="A107" s="395"/>
      <c r="B107"/>
      <c r="C107"/>
      <c r="D107"/>
      <c r="E107"/>
      <c r="F107"/>
    </row>
    <row r="108" spans="1:19">
      <c r="A108" s="238" t="s">
        <v>426</v>
      </c>
      <c r="C108" s="87"/>
      <c r="D108" s="88"/>
      <c r="E108" s="87"/>
      <c r="F108" s="87"/>
      <c r="G108" s="87"/>
    </row>
    <row r="109" spans="1:19" ht="13.5" thickBot="1">
      <c r="B109" s="213" t="s">
        <v>38</v>
      </c>
      <c r="C109" s="214"/>
      <c r="D109" s="214"/>
      <c r="E109" s="214"/>
      <c r="F109" s="214"/>
      <c r="G109" s="214"/>
      <c r="H109" s="215" t="s">
        <v>288</v>
      </c>
      <c r="I109" s="216"/>
      <c r="J109" s="216"/>
    </row>
    <row r="110" spans="1:19" s="398" customFormat="1" ht="26.25" thickBot="1">
      <c r="B110" s="405" t="s">
        <v>289</v>
      </c>
      <c r="C110" s="406" t="s">
        <v>45</v>
      </c>
      <c r="D110" s="407" t="s">
        <v>34</v>
      </c>
      <c r="E110" s="407" t="s">
        <v>33</v>
      </c>
      <c r="F110" s="407" t="s">
        <v>27</v>
      </c>
      <c r="G110" s="387"/>
      <c r="H110" s="407" t="s">
        <v>34</v>
      </c>
      <c r="I110" s="408" t="s">
        <v>33</v>
      </c>
      <c r="J110" s="407" t="s">
        <v>27</v>
      </c>
      <c r="M110" s="398" t="s">
        <v>821</v>
      </c>
      <c r="N110" s="398" t="s">
        <v>823</v>
      </c>
      <c r="O110" s="398" t="s">
        <v>822</v>
      </c>
      <c r="P110" s="423">
        <f>B19</f>
        <v>2020</v>
      </c>
      <c r="Q110" s="423">
        <f>D19</f>
        <v>2030</v>
      </c>
      <c r="R110" s="423">
        <f>F19</f>
        <v>2040</v>
      </c>
      <c r="S110" s="423" t="e">
        <f>#REF!</f>
        <v>#REF!</v>
      </c>
    </row>
    <row r="111" spans="1:19" ht="13.5" thickBot="1">
      <c r="A111" s="85" t="s">
        <v>12</v>
      </c>
      <c r="B111" s="212" t="s">
        <v>22</v>
      </c>
      <c r="C111" s="91" t="s">
        <v>42</v>
      </c>
      <c r="D111" s="243">
        <v>4087821.0046737627</v>
      </c>
      <c r="E111" s="244"/>
      <c r="F111" s="93">
        <v>4087821.0046737627</v>
      </c>
      <c r="G111" s="388"/>
      <c r="H111" s="92">
        <f>D111/D$119</f>
        <v>0.8299427713132439</v>
      </c>
      <c r="I111" s="92">
        <f t="shared" ref="I111:I119" si="28">E111/E$119</f>
        <v>0</v>
      </c>
      <c r="J111" s="92">
        <f t="shared" ref="J111:J119" si="29">F111/F$119</f>
        <v>0.64725737253963511</v>
      </c>
      <c r="L111" s="85">
        <f>SUMIFS('Census 2011_17'!$E$258:$E$299,'Census 2011_17'!$A$258:$A$299,'Census 2011_17'!$B$48,'Census 2011_17'!$C$258:$C$299,'Census 2011_17'!$C111)</f>
        <v>14012036.5</v>
      </c>
      <c r="M111" s="394">
        <f t="shared" ref="M111:M118" si="30">SUMIFS($E$95:$E$106,$C$95:$C$106,A111,$B$95:$B$106,B111)</f>
        <v>7681839.2522781566</v>
      </c>
      <c r="N111" s="410">
        <f>SUMPRODUCT('2017 end use splits'!$F$31:$M$33*('2017 end use splits'!$C$31:$C$33='Census 2011_17'!B111)*('2017 end use splits'!$F$19:$M$19='Census 2011_17'!C111))</f>
        <v>0.65549098541178596</v>
      </c>
      <c r="O111" s="85">
        <f>N111*M111</f>
        <v>5035376.3812507456</v>
      </c>
      <c r="P111" s="410">
        <f>$N111*(1+B$20)</f>
        <v>0.68436252963057598</v>
      </c>
      <c r="Q111" s="410">
        <f>$N111*(1+D$20)</f>
        <v>0.72713518773248687</v>
      </c>
      <c r="R111" s="410">
        <f>$N111*(1+F$20)</f>
        <v>0.76990784583439786</v>
      </c>
      <c r="S111" s="410" t="e">
        <f>$N111*(1+#REF!)</f>
        <v>#REF!</v>
      </c>
    </row>
    <row r="112" spans="1:19" ht="13.5" thickBot="1">
      <c r="A112" s="85" t="s">
        <v>12</v>
      </c>
      <c r="B112" s="212" t="s">
        <v>22</v>
      </c>
      <c r="C112" s="217" t="s">
        <v>43</v>
      </c>
      <c r="D112" s="243">
        <v>77439.929723772482</v>
      </c>
      <c r="E112" s="243">
        <v>82833.348038267111</v>
      </c>
      <c r="F112" s="93">
        <v>160273.27776203959</v>
      </c>
      <c r="G112" s="388"/>
      <c r="H112" s="92">
        <f t="shared" ref="H112:H118" si="31">D112/D$119</f>
        <v>1.5722486334838883E-2</v>
      </c>
      <c r="I112" s="92">
        <f t="shared" si="28"/>
        <v>5.9584686627608255E-2</v>
      </c>
      <c r="J112" s="92">
        <f t="shared" si="29"/>
        <v>2.5377349089885579E-2</v>
      </c>
      <c r="L112" s="85">
        <f>SUMIFS('Census 2011_17'!$E$258:$E$299,'Census 2011_17'!$A$258:$A$299,'Census 2011_17'!$B$48,'Census 2011_17'!$C$258:$C$299,'Census 2011_17'!$C112)</f>
        <v>502216.2</v>
      </c>
      <c r="M112" s="394">
        <f t="shared" si="30"/>
        <v>7681839.2522781566</v>
      </c>
      <c r="N112" s="425">
        <f>SUMPRODUCT('2017 end use splits'!$F$31:$M$33*('2017 end use splits'!$C$31:$C$33='Census 2011_17'!B112)*('2017 end use splits'!$F$19:$M$19='Census 2011_17'!C112))</f>
        <v>3.2815481716030791E-2</v>
      </c>
      <c r="O112" s="85">
        <f t="shared" ref="O112:O118" si="32">N112*M112</f>
        <v>252083.25552862149</v>
      </c>
      <c r="P112" s="425">
        <f>$N112-($N111*B$20)*$N112/(1-$N111)</f>
        <v>3.006538348548745E-2</v>
      </c>
      <c r="Q112" s="425">
        <f>$N112-($N111*D$20)*$N112/(1-$N111)</f>
        <v>2.5991163884682519E-2</v>
      </c>
      <c r="R112" s="425">
        <f>$N112-($N111*F$20)*$N112/(1-$N111)</f>
        <v>2.1916944283877575E-2</v>
      </c>
      <c r="S112" s="425" t="e">
        <f>$N112-($N111*#REF!)*$N112/(1-$N111)</f>
        <v>#REF!</v>
      </c>
    </row>
    <row r="113" spans="1:19" ht="13.5" thickBot="1">
      <c r="A113" s="85" t="s">
        <v>12</v>
      </c>
      <c r="B113" s="212" t="s">
        <v>22</v>
      </c>
      <c r="C113" s="91" t="s">
        <v>17</v>
      </c>
      <c r="D113" s="243">
        <v>109920.38909999996</v>
      </c>
      <c r="E113" s="243">
        <v>702560.97132408281</v>
      </c>
      <c r="F113" s="93">
        <v>812481.36042408273</v>
      </c>
      <c r="G113" s="388"/>
      <c r="H113" s="92">
        <f t="shared" si="31"/>
        <v>2.2316934192857268E-2</v>
      </c>
      <c r="I113" s="92">
        <f t="shared" si="28"/>
        <v>0.5053746625549207</v>
      </c>
      <c r="J113" s="92">
        <f t="shared" si="29"/>
        <v>0.12864666774407588</v>
      </c>
      <c r="L113" s="85">
        <f>SUMIFS('Census 2011_17'!$E$258:$E$299,'Census 2011_17'!$A$258:$A$299,'Census 2011_17'!$B$48,'Census 2011_17'!$C$258:$C$299,'Census 2011_17'!$C113)</f>
        <v>908943</v>
      </c>
      <c r="M113" s="394">
        <f t="shared" si="30"/>
        <v>7681839.2522781566</v>
      </c>
      <c r="N113" s="425">
        <f>SUMPRODUCT('2017 end use splits'!$F$31:$M$33*('2017 end use splits'!$C$31:$C$33='Census 2011_17'!B113)*('2017 end use splits'!$F$19:$M$19='Census 2011_17'!C113))</f>
        <v>0.12436241654820422</v>
      </c>
      <c r="O113" s="85">
        <f t="shared" si="32"/>
        <v>955332.09294816176</v>
      </c>
      <c r="P113" s="425">
        <f>$N113-($N111*B$20)*$N113/(1-$N111)</f>
        <v>0.11394023641216695</v>
      </c>
      <c r="Q113" s="425">
        <f>$N113-($N111*D$20)*$N113/(1-$N111)</f>
        <v>9.8499969543963659E-2</v>
      </c>
      <c r="R113" s="425">
        <f>$N113-($N111*F$20)*$N113/(1-$N111)</f>
        <v>8.3059702675760322E-2</v>
      </c>
      <c r="S113" s="425" t="e">
        <f>$N113-($N111*#REF!)*$N113/(1-$N111)</f>
        <v>#REF!</v>
      </c>
    </row>
    <row r="114" spans="1:19" ht="13.5" thickBot="1">
      <c r="A114" s="85" t="s">
        <v>12</v>
      </c>
      <c r="B114" s="212" t="s">
        <v>22</v>
      </c>
      <c r="C114" s="91" t="s">
        <v>7</v>
      </c>
      <c r="D114" s="243">
        <v>591195.92535502801</v>
      </c>
      <c r="E114" s="243">
        <v>562674.43630984903</v>
      </c>
      <c r="F114" s="93">
        <v>1153870.361664877</v>
      </c>
      <c r="G114" s="388"/>
      <c r="H114" s="92">
        <f t="shared" si="31"/>
        <v>0.12002942010358589</v>
      </c>
      <c r="I114" s="92">
        <f t="shared" si="28"/>
        <v>0.40474978682981483</v>
      </c>
      <c r="J114" s="92">
        <f t="shared" si="29"/>
        <v>0.18270151694231798</v>
      </c>
      <c r="L114" s="85">
        <f>SUMIFS('Census 2011_17'!$E$258:$E$299,'Census 2011_17'!$A$258:$A$299,'Census 2011_17'!$B$48,'Census 2011_17'!$C$258:$C$299,'Census 2011_17'!$C114)</f>
        <v>1353990.6</v>
      </c>
      <c r="M114" s="394">
        <f t="shared" si="30"/>
        <v>7681839.2522781566</v>
      </c>
      <c r="N114" s="425">
        <f>SUMPRODUCT('2017 end use splits'!$F$31:$M$33*('2017 end use splits'!$C$31:$C$33='Census 2011_17'!B114)*('2017 end use splits'!$F$19:$M$19='Census 2011_17'!C114))</f>
        <v>0.17864785380353895</v>
      </c>
      <c r="O114" s="85">
        <f t="shared" si="32"/>
        <v>1372344.095683275</v>
      </c>
      <c r="P114" s="425">
        <f>$N114-($N111*B$20)*$N114/(1-$N111)</f>
        <v>0.16367628791622574</v>
      </c>
      <c r="Q114" s="425">
        <f>$N114-($N111*D$20)*$N114/(1-$N111)</f>
        <v>0.14149619030539137</v>
      </c>
      <c r="R114" s="425">
        <f>$N114-($N111*F$20)*$N114/(1-$N111)</f>
        <v>0.11931609269455699</v>
      </c>
      <c r="S114" s="425" t="e">
        <f>$N114-($N111*#REF!)*$N114/(1-$N111)</f>
        <v>#REF!</v>
      </c>
    </row>
    <row r="115" spans="1:19" ht="13.5" thickBot="1">
      <c r="A115" s="85" t="s">
        <v>12</v>
      </c>
      <c r="B115" s="212" t="s">
        <v>22</v>
      </c>
      <c r="C115" s="91" t="s">
        <v>9</v>
      </c>
      <c r="D115" s="243">
        <v>33255.340029135783</v>
      </c>
      <c r="E115" s="243">
        <v>21007.738486660455</v>
      </c>
      <c r="F115" s="93">
        <v>54263.078515796238</v>
      </c>
      <c r="G115" s="388"/>
      <c r="H115" s="92">
        <f t="shared" si="31"/>
        <v>6.7517704501222119E-3</v>
      </c>
      <c r="I115" s="92">
        <f t="shared" si="28"/>
        <v>1.5111540751728802E-2</v>
      </c>
      <c r="J115" s="92">
        <f t="shared" si="29"/>
        <v>8.5919069318078408E-3</v>
      </c>
      <c r="L115" s="85">
        <f>SUMIFS('Census 2011_17'!$E$258:$E$299,'Census 2011_17'!$A$258:$A$299,'Census 2011_17'!$B$48,'Census 2011_17'!$C$258:$C$299,'Census 2011_17'!$C115)</f>
        <v>48580.5</v>
      </c>
      <c r="M115" s="394">
        <f t="shared" si="30"/>
        <v>7681839.2522781566</v>
      </c>
      <c r="N115" s="425">
        <f>SUMPRODUCT('2017 end use splits'!$F$31:$M$33*('2017 end use splits'!$C$31:$C$33='Census 2011_17'!B115)*('2017 end use splits'!$F$19:$M$19='Census 2011_17'!C115))</f>
        <v>5.2323802431367764E-3</v>
      </c>
      <c r="O115" s="85">
        <f t="shared" si="32"/>
        <v>40194.30393457281</v>
      </c>
      <c r="P115" s="425">
        <f>$N115-($N111*B$20)*$N115/(1-$N111)</f>
        <v>4.7938811294348776E-3</v>
      </c>
      <c r="Q115" s="425">
        <f>$N115-($N111*D$20)*$N115/(1-$N111)</f>
        <v>4.1442528128394739E-3</v>
      </c>
      <c r="R115" s="425">
        <f>$N115-($N111*F$20)*$N115/(1-$N111)</f>
        <v>3.494624496244068E-3</v>
      </c>
      <c r="S115" s="425" t="e">
        <f>$N115-($N111*#REF!)*$N115/(1-$N111)</f>
        <v>#REF!</v>
      </c>
    </row>
    <row r="116" spans="1:19" ht="13.5" thickBot="1">
      <c r="A116" s="85" t="s">
        <v>12</v>
      </c>
      <c r="B116" s="212" t="s">
        <v>22</v>
      </c>
      <c r="C116" s="91" t="s">
        <v>46</v>
      </c>
      <c r="D116" s="243">
        <v>10995.987289999995</v>
      </c>
      <c r="E116" s="243">
        <v>17065.161307041286</v>
      </c>
      <c r="F116" s="93">
        <v>28061.148597041283</v>
      </c>
      <c r="G116" s="388"/>
      <c r="H116" s="92">
        <f t="shared" si="31"/>
        <v>2.2324950516066262E-3</v>
      </c>
      <c r="I116" s="92">
        <f t="shared" si="28"/>
        <v>1.2275518409081957E-2</v>
      </c>
      <c r="J116" s="92">
        <f t="shared" si="29"/>
        <v>4.4431459426914725E-3</v>
      </c>
      <c r="L116" s="85">
        <f>SUMIFS('Census 2011_17'!$E$258:$E$299,'Census 2011_17'!$A$258:$A$299,'Census 2011_17'!$B$48,'Census 2011_17'!$C$258:$C$299,'Census 2011_17'!$C116)</f>
        <v>8490.6</v>
      </c>
      <c r="M116" s="394">
        <f t="shared" si="30"/>
        <v>7681839.2522781566</v>
      </c>
      <c r="N116" s="425">
        <f>SUMPRODUCT('2017 end use splits'!$F$31:$M$33*('2017 end use splits'!$C$31:$C$33='Census 2011_17'!B116)*('2017 end use splits'!$F$19:$M$19='Census 2011_17'!C116))</f>
        <v>1.0859956255007718E-3</v>
      </c>
      <c r="O116" s="85">
        <f t="shared" si="32"/>
        <v>8342.4438237741979</v>
      </c>
      <c r="P116" s="425">
        <f>$N116-($N111*B$20)*$N116/(1-$N111)</f>
        <v>9.9498386849193013E-4</v>
      </c>
      <c r="Q116" s="425">
        <f>$N116-($N111*D$20)*$N116/(1-$N111)</f>
        <v>8.6015163588623936E-4</v>
      </c>
      <c r="R116" s="425">
        <f>$N116-($N111*F$20)*$N116/(1-$N111)</f>
        <v>7.2531940328054816E-4</v>
      </c>
      <c r="S116" s="425" t="e">
        <f>$N116-($N111*#REF!)*$N116/(1-$N111)</f>
        <v>#REF!</v>
      </c>
    </row>
    <row r="117" spans="1:19" ht="13.5" thickBot="1">
      <c r="A117" s="85" t="s">
        <v>12</v>
      </c>
      <c r="B117" s="212" t="s">
        <v>22</v>
      </c>
      <c r="C117" s="91" t="s">
        <v>44</v>
      </c>
      <c r="D117" s="243">
        <v>6544.7041300000001</v>
      </c>
      <c r="E117" s="243">
        <v>2531.4218427888027</v>
      </c>
      <c r="F117" s="93">
        <v>9076.1259727888028</v>
      </c>
      <c r="G117" s="388"/>
      <c r="H117" s="92">
        <f t="shared" si="31"/>
        <v>1.3287592281724487E-3</v>
      </c>
      <c r="I117" s="92">
        <f t="shared" si="28"/>
        <v>1.8209330033982396E-3</v>
      </c>
      <c r="J117" s="92">
        <f t="shared" si="29"/>
        <v>1.4370955683405354E-3</v>
      </c>
      <c r="L117" s="85">
        <f>SUMIFS('Census 2011_17'!$E$258:$E$299,'Census 2011_17'!$A$258:$A$299,'Census 2011_17'!$B$48,'Census 2011_17'!$C$258:$C$299,'Census 2011_17'!$C117)</f>
        <v>12039.7</v>
      </c>
      <c r="M117" s="394">
        <f t="shared" si="30"/>
        <v>7681839.2522781566</v>
      </c>
      <c r="N117" s="425">
        <f>SUMPRODUCT('2017 end use splits'!$F$31:$M$33*('2017 end use splits'!$C$31:$C$33='Census 2011_17'!B117)*('2017 end use splits'!$F$19:$M$19='Census 2011_17'!C117))</f>
        <v>1.0157398978634406E-3</v>
      </c>
      <c r="O117" s="85">
        <f t="shared" si="32"/>
        <v>7802.7506175123835</v>
      </c>
      <c r="P117" s="425">
        <f>$N117-($N111*B$20)*$N117/(1-$N111)</f>
        <v>9.3061591522685739E-4</v>
      </c>
      <c r="Q117" s="425">
        <f>$N117-($N111*D$20)*$N117/(1-$N111)</f>
        <v>8.0450631132080851E-4</v>
      </c>
      <c r="R117" s="425">
        <f>$N117-($N111*F$20)*$N117/(1-$N111)</f>
        <v>6.7839670741475942E-4</v>
      </c>
      <c r="S117" s="425" t="e">
        <f>$N117-($N111*#REF!)*$N117/(1-$N111)</f>
        <v>#REF!</v>
      </c>
    </row>
    <row r="118" spans="1:19" ht="13.5" thickBot="1">
      <c r="A118" s="85" t="s">
        <v>12</v>
      </c>
      <c r="B118" s="212" t="s">
        <v>22</v>
      </c>
      <c r="C118" s="91" t="s">
        <v>41</v>
      </c>
      <c r="D118" s="243">
        <v>8251.8766708449293</v>
      </c>
      <c r="E118" s="243">
        <v>1505.3850864910128</v>
      </c>
      <c r="F118" s="93">
        <v>9757.2617573359421</v>
      </c>
      <c r="G118" s="388"/>
      <c r="H118" s="92">
        <f t="shared" si="31"/>
        <v>1.6753633255726938E-3</v>
      </c>
      <c r="I118" s="92">
        <f t="shared" si="28"/>
        <v>1.0828718234472856E-3</v>
      </c>
      <c r="J118" s="92">
        <f t="shared" si="29"/>
        <v>1.5449452412456457E-3</v>
      </c>
      <c r="L118" s="85">
        <f>SUMIFS('Census 2011_17'!$E$258:$E$299,'Census 2011_17'!$A$258:$A$299,'Census 2011_17'!$B$48,'Census 2011_17'!$C$258:$C$299,'Census 2011_17'!$C118)</f>
        <v>19606.3</v>
      </c>
      <c r="M118" s="394">
        <f t="shared" si="30"/>
        <v>7681839.2522781566</v>
      </c>
      <c r="N118" s="425">
        <f>SUMPRODUCT('2017 end use splits'!$F$31:$M$33*('2017 end use splits'!$C$31:$C$33='Census 2011_17'!B118)*('2017 end use splits'!$F$19:$M$19='Census 2011_17'!C118))</f>
        <v>1.3491467539390753E-3</v>
      </c>
      <c r="O118" s="85">
        <f t="shared" si="32"/>
        <v>10363.928491492848</v>
      </c>
      <c r="P118" s="425">
        <f>$N118-($N111*B$20)*$N118/(1-$N111)</f>
        <v>1.2360816423902597E-3</v>
      </c>
      <c r="Q118" s="425">
        <f>$N118-($N111*D$20)*$N118/(1-$N111)</f>
        <v>1.0685777734290519E-3</v>
      </c>
      <c r="R118" s="425">
        <f>$N118-($N111*F$20)*$N118/(1-$N111)</f>
        <v>9.0107390446784378E-4</v>
      </c>
      <c r="S118" s="425" t="e">
        <f>$N118-($N111*#REF!)*$N118/(1-$N111)</f>
        <v>#REF!</v>
      </c>
    </row>
    <row r="119" spans="1:19" ht="13.5" thickBot="1">
      <c r="A119" s="85" t="s">
        <v>12</v>
      </c>
      <c r="B119" s="212" t="s">
        <v>22</v>
      </c>
      <c r="C119" s="212" t="s">
        <v>419</v>
      </c>
      <c r="D119" s="93">
        <v>4925425.1569725443</v>
      </c>
      <c r="E119" s="93">
        <v>1390178.4623951805</v>
      </c>
      <c r="F119" s="93">
        <v>6315603.6193677243</v>
      </c>
      <c r="G119" s="388"/>
      <c r="H119" s="94">
        <f t="shared" ref="H119" si="33">D119/D$119</f>
        <v>1</v>
      </c>
      <c r="I119" s="94">
        <f t="shared" si="28"/>
        <v>1</v>
      </c>
      <c r="J119" s="94">
        <f t="shared" si="29"/>
        <v>1</v>
      </c>
      <c r="L119">
        <f>SUM(L111:L118)</f>
        <v>16865903.399999999</v>
      </c>
      <c r="N119" s="410"/>
      <c r="O119" s="85">
        <f>SUM(O111:O118)</f>
        <v>7681839.2522781566</v>
      </c>
      <c r="P119" s="424">
        <f>SUM(P111:P118)</f>
        <v>1</v>
      </c>
      <c r="Q119" s="424">
        <f t="shared" ref="Q119:S119" si="34">SUM(Q111:Q118)</f>
        <v>1</v>
      </c>
      <c r="R119" s="424">
        <f t="shared" si="34"/>
        <v>1</v>
      </c>
      <c r="S119" s="424" t="e">
        <f t="shared" si="34"/>
        <v>#REF!</v>
      </c>
    </row>
    <row r="120" spans="1:19" ht="13.5" thickBot="1">
      <c r="A120" s="85" t="s">
        <v>12</v>
      </c>
      <c r="B120" s="251" t="s">
        <v>290</v>
      </c>
      <c r="C120" s="96"/>
      <c r="D120" s="89" t="s">
        <v>34</v>
      </c>
      <c r="E120" s="89" t="s">
        <v>33</v>
      </c>
      <c r="F120" s="89" t="s">
        <v>27</v>
      </c>
      <c r="G120" s="388"/>
      <c r="H120" s="89" t="s">
        <v>34</v>
      </c>
      <c r="I120" s="90" t="s">
        <v>33</v>
      </c>
      <c r="J120" s="89" t="s">
        <v>27</v>
      </c>
      <c r="L120"/>
      <c r="N120" s="410"/>
    </row>
    <row r="121" spans="1:19" ht="13.5" thickBot="1">
      <c r="A121" s="85" t="s">
        <v>12</v>
      </c>
      <c r="B121" s="95" t="s">
        <v>24</v>
      </c>
      <c r="C121" s="97" t="s">
        <v>42</v>
      </c>
      <c r="D121" s="243">
        <v>3435830.5027295714</v>
      </c>
      <c r="E121" s="244"/>
      <c r="F121" s="93">
        <v>3435830.5027295714</v>
      </c>
      <c r="G121" s="388"/>
      <c r="H121" s="92">
        <f>D121/D$129</f>
        <v>0.87067669894356248</v>
      </c>
      <c r="I121" s="92">
        <f>E121/E$129</f>
        <v>0</v>
      </c>
      <c r="J121" s="92">
        <f t="shared" ref="J121:J129" si="35">F121/F$129</f>
        <v>0.74792799749283057</v>
      </c>
      <c r="L121" s="85">
        <f>SUMIFS('Census 2011_17'!$E$258:$E$299,'Census 2011_17'!$A$258:$A$299,'Census 2011_17'!$B$48,'Census 2011_17'!$C$258:$C$299,'Census 2011_17'!$C121)</f>
        <v>14012036.5</v>
      </c>
      <c r="M121" s="394">
        <f t="shared" ref="M121:M128" si="36">SUMIFS($E$95:$E$106,$C$95:$C$106,A121,$B$95:$B$106,B121)</f>
        <v>5573103.0004989337</v>
      </c>
      <c r="N121" s="410">
        <f>SUMPRODUCT('2017 end use splits'!$F$31:$M$33*('2017 end use splits'!$C$31:$C$33='Census 2011_17'!B121)*('2017 end use splits'!$F$19:$M$19='Census 2011_17'!C121))</f>
        <v>0.75309254301418516</v>
      </c>
      <c r="O121" s="85">
        <f>N121*M121</f>
        <v>4197062.3111257274</v>
      </c>
      <c r="P121" s="410">
        <f>$N121*(1+B$21)</f>
        <v>0.77571764087298034</v>
      </c>
      <c r="Q121" s="410">
        <f>$N121*(1+D$21)</f>
        <v>0.81881306536592369</v>
      </c>
      <c r="R121" s="410">
        <f>$N121*(1+F$21)</f>
        <v>0.81881306536592369</v>
      </c>
      <c r="S121" s="410" t="e">
        <f>$N121*(1+#REF!)</f>
        <v>#REF!</v>
      </c>
    </row>
    <row r="122" spans="1:19" ht="13.5" thickBot="1">
      <c r="A122" s="85" t="s">
        <v>12</v>
      </c>
      <c r="B122" s="95" t="s">
        <v>24</v>
      </c>
      <c r="C122" s="217" t="s">
        <v>43</v>
      </c>
      <c r="D122" s="243">
        <v>73962.121062686681</v>
      </c>
      <c r="E122" s="243">
        <v>57752.052872689572</v>
      </c>
      <c r="F122" s="93">
        <v>131714.17393537625</v>
      </c>
      <c r="G122" s="388"/>
      <c r="H122" s="92">
        <f t="shared" ref="H122:H128" si="37">D122/D$129</f>
        <v>1.87428033375233E-2</v>
      </c>
      <c r="I122" s="92">
        <f t="shared" ref="I122:I128" si="38">E122/E$129</f>
        <v>8.9173436127073388E-2</v>
      </c>
      <c r="J122" s="92">
        <f t="shared" si="35"/>
        <v>2.8672170607556342E-2</v>
      </c>
      <c r="L122" s="85">
        <f>SUMIFS('Census 2011_17'!$E$258:$E$299,'Census 2011_17'!$A$258:$A$299,'Census 2011_17'!$B$48,'Census 2011_17'!$C$258:$C$299,'Census 2011_17'!$C122)</f>
        <v>502216.2</v>
      </c>
      <c r="M122" s="394">
        <f t="shared" si="36"/>
        <v>5573103.0004989337</v>
      </c>
      <c r="N122" s="410">
        <f>SUMPRODUCT('2017 end use splits'!$F$31:$M$33*('2017 end use splits'!$C$31:$C$33='Census 2011_17'!B122)*('2017 end use splits'!$F$19:$M$19='Census 2011_17'!C122))</f>
        <v>3.6863107379415352E-2</v>
      </c>
      <c r="O122" s="85">
        <f t="shared" ref="O122:O128" si="39">N122*M122</f>
        <v>205441.89434393408</v>
      </c>
      <c r="P122" s="425">
        <f>$N122-($N121*B$21)*$N122/(1-$N121)</f>
        <v>3.3485196391953902E-2</v>
      </c>
      <c r="Q122" s="425">
        <f>$N122-($N121*D$21)*$N122/(1-$N121)</f>
        <v>2.7051080225360666E-2</v>
      </c>
      <c r="R122" s="425">
        <f>$N122-($N121*F$21)*$N122/(1-$N121)</f>
        <v>2.7051080225360666E-2</v>
      </c>
      <c r="S122" s="425" t="e">
        <f>$N122-($N121*#REF!)*$N122/(1-$N121)</f>
        <v>#REF!</v>
      </c>
    </row>
    <row r="123" spans="1:19" ht="13.5" thickBot="1">
      <c r="A123" s="85" t="s">
        <v>12</v>
      </c>
      <c r="B123" s="95" t="s">
        <v>24</v>
      </c>
      <c r="C123" s="97" t="s">
        <v>17</v>
      </c>
      <c r="D123" s="243">
        <v>50478.666830000009</v>
      </c>
      <c r="E123" s="243">
        <v>317718.78602899984</v>
      </c>
      <c r="F123" s="93">
        <v>368197.45285899984</v>
      </c>
      <c r="G123" s="388"/>
      <c r="H123" s="92">
        <f t="shared" si="37"/>
        <v>1.2791841439122233E-2</v>
      </c>
      <c r="I123" s="92">
        <f t="shared" si="38"/>
        <v>0.49058127742721852</v>
      </c>
      <c r="J123" s="92">
        <f t="shared" si="35"/>
        <v>8.0150980492202636E-2</v>
      </c>
      <c r="L123" s="85">
        <f>SUMIFS('Census 2011_17'!$E$258:$E$299,'Census 2011_17'!$A$258:$A$299,'Census 2011_17'!$B$48,'Census 2011_17'!$C$258:$C$299,'Census 2011_17'!$C123)</f>
        <v>908943</v>
      </c>
      <c r="M123" s="394">
        <f t="shared" si="36"/>
        <v>5573103.0004989337</v>
      </c>
      <c r="N123" s="410">
        <f>SUMPRODUCT('2017 end use splits'!$F$31:$M$33*('2017 end use splits'!$C$31:$C$33='Census 2011_17'!B123)*('2017 end use splits'!$F$19:$M$19='Census 2011_17'!C123))</f>
        <v>7.7036809777387472E-2</v>
      </c>
      <c r="O123" s="85">
        <f t="shared" si="39"/>
        <v>429334.07571922371</v>
      </c>
      <c r="P123" s="425">
        <f>$N123-($N121*B$21)*$N123/(1-$N121)</f>
        <v>6.9977625007431654E-2</v>
      </c>
      <c r="Q123" s="425">
        <f>$N123-($N121*D$21)*$N123/(1-$N121)</f>
        <v>5.6531558778944377E-2</v>
      </c>
      <c r="R123" s="425">
        <f>$N123-($N121*F$21)*$N123/(1-$N121)</f>
        <v>5.6531558778944377E-2</v>
      </c>
      <c r="S123" s="425" t="e">
        <f>$N123-($N121*#REF!)*$N123/(1-$N121)</f>
        <v>#REF!</v>
      </c>
    </row>
    <row r="124" spans="1:19" ht="13.5" thickBot="1">
      <c r="A124" s="85" t="s">
        <v>12</v>
      </c>
      <c r="B124" s="95" t="s">
        <v>24</v>
      </c>
      <c r="C124" s="97" t="s">
        <v>7</v>
      </c>
      <c r="D124" s="243">
        <v>338359.32668999332</v>
      </c>
      <c r="E124" s="243">
        <v>249657.18981784984</v>
      </c>
      <c r="F124" s="93">
        <v>588016.51650784316</v>
      </c>
      <c r="G124" s="388"/>
      <c r="H124" s="92">
        <f t="shared" si="37"/>
        <v>8.5743921705440845E-2</v>
      </c>
      <c r="I124" s="92">
        <f t="shared" si="38"/>
        <v>0.38548914475756313</v>
      </c>
      <c r="J124" s="92">
        <f t="shared" si="35"/>
        <v>0.12800224438750102</v>
      </c>
      <c r="L124" s="85">
        <f>SUMIFS('Census 2011_17'!$E$258:$E$299,'Census 2011_17'!$A$258:$A$299,'Census 2011_17'!$B$48,'Census 2011_17'!$C$258:$C$299,'Census 2011_17'!$C124)</f>
        <v>1353990.6</v>
      </c>
      <c r="M124" s="394">
        <f t="shared" si="36"/>
        <v>5573103.0004989337</v>
      </c>
      <c r="N124" s="410">
        <f>SUMPRODUCT('2017 end use splits'!$F$31:$M$33*('2017 end use splits'!$C$31:$C$33='Census 2011_17'!B124)*('2017 end use splits'!$F$19:$M$19='Census 2011_17'!C124))</f>
        <v>0.12444345885982941</v>
      </c>
      <c r="O124" s="85">
        <f t="shared" si="39"/>
        <v>693536.2139641809</v>
      </c>
      <c r="P124" s="425">
        <f>$N124-($N121*B$21)*$N124/(1-$N121)</f>
        <v>0.11304021705837844</v>
      </c>
      <c r="Q124" s="425">
        <f>$N124-($N121*D$21)*$N124/(1-$N121)</f>
        <v>9.1319756484186138E-2</v>
      </c>
      <c r="R124" s="425">
        <f>$N124-($N121*F$21)*$N124/(1-$N121)</f>
        <v>9.1319756484186138E-2</v>
      </c>
      <c r="S124" s="425" t="e">
        <f>$N124-($N121*#REF!)*$N124/(1-$N121)</f>
        <v>#REF!</v>
      </c>
    </row>
    <row r="125" spans="1:19" ht="13.5" thickBot="1">
      <c r="A125" s="85" t="s">
        <v>12</v>
      </c>
      <c r="B125" s="95" t="s">
        <v>24</v>
      </c>
      <c r="C125" s="97" t="s">
        <v>9</v>
      </c>
      <c r="D125" s="243">
        <v>29014.308878413671</v>
      </c>
      <c r="E125" s="243">
        <v>12316.444068976714</v>
      </c>
      <c r="F125" s="93">
        <v>41330.752947390385</v>
      </c>
      <c r="G125" s="388"/>
      <c r="H125" s="92">
        <f t="shared" si="37"/>
        <v>7.3525404283816759E-3</v>
      </c>
      <c r="I125" s="92">
        <f t="shared" si="38"/>
        <v>1.9017499532331655E-2</v>
      </c>
      <c r="J125" s="92">
        <f t="shared" si="35"/>
        <v>8.9970757469713461E-3</v>
      </c>
      <c r="L125" s="85">
        <f>SUMIFS('Census 2011_17'!$E$258:$E$299,'Census 2011_17'!$A$258:$A$299,'Census 2011_17'!$B$48,'Census 2011_17'!$C$258:$C$299,'Census 2011_17'!$C125)</f>
        <v>48580.5</v>
      </c>
      <c r="M125" s="394">
        <f t="shared" si="36"/>
        <v>5573103.0004989337</v>
      </c>
      <c r="N125" s="410">
        <f>SUMPRODUCT('2017 end use splits'!$F$31:$M$33*('2017 end use splits'!$C$31:$C$33='Census 2011_17'!B125)*('2017 end use splits'!$F$19:$M$19='Census 2011_17'!C125))</f>
        <v>5.447659429888378E-3</v>
      </c>
      <c r="O125" s="85">
        <f t="shared" si="39"/>
        <v>30360.367114407229</v>
      </c>
      <c r="P125" s="425">
        <f>$N125-($N121*B$21)*$N125/(1-$N121)</f>
        <v>4.9484690481669605E-3</v>
      </c>
      <c r="Q125" s="425">
        <f>$N125-($N121*D$21)*$N125/(1-$N121)</f>
        <v>3.9976302258404525E-3</v>
      </c>
      <c r="R125" s="425">
        <f>$N125-($N121*F$21)*$N125/(1-$N121)</f>
        <v>3.9976302258404525E-3</v>
      </c>
      <c r="S125" s="425" t="e">
        <f>$N125-($N121*#REF!)*$N125/(1-$N121)</f>
        <v>#REF!</v>
      </c>
    </row>
    <row r="126" spans="1:19" ht="13.5" thickBot="1">
      <c r="A126" s="85" t="s">
        <v>12</v>
      </c>
      <c r="B126" s="95" t="s">
        <v>24</v>
      </c>
      <c r="C126" s="97" t="s">
        <v>46</v>
      </c>
      <c r="D126" s="243">
        <v>7237.2359700000006</v>
      </c>
      <c r="E126" s="243">
        <v>7940.4844894999014</v>
      </c>
      <c r="F126" s="93">
        <v>15177.720459499902</v>
      </c>
      <c r="G126" s="388"/>
      <c r="H126" s="92">
        <f t="shared" si="37"/>
        <v>1.8339940572822768E-3</v>
      </c>
      <c r="I126" s="92">
        <f t="shared" si="38"/>
        <v>1.2260694663155105E-2</v>
      </c>
      <c r="J126" s="92">
        <f t="shared" si="35"/>
        <v>3.3039586966706696E-3</v>
      </c>
      <c r="L126" s="85">
        <f>SUMIFS('Census 2011_17'!$E$258:$E$299,'Census 2011_17'!$A$258:$A$299,'Census 2011_17'!$B$48,'Census 2011_17'!$C$258:$C$299,'Census 2011_17'!$C126)</f>
        <v>8490.6</v>
      </c>
      <c r="M126" s="394">
        <f t="shared" si="36"/>
        <v>5573103.0004989337</v>
      </c>
      <c r="N126" s="410">
        <f>SUMPRODUCT('2017 end use splits'!$F$31:$M$33*('2017 end use splits'!$C$31:$C$33='Census 2011_17'!B126)*('2017 end use splits'!$F$19:$M$19='Census 2011_17'!C126))</f>
        <v>8.0291754104411055E-4</v>
      </c>
      <c r="O126" s="85">
        <f t="shared" si="39"/>
        <v>4474.7421571461582</v>
      </c>
      <c r="P126" s="425">
        <f>$N126-($N121*B$21)*$N126/(1-$N121)</f>
        <v>7.293430603037013E-4</v>
      </c>
      <c r="Q126" s="425">
        <f>$N126-($N121*D$21)*$N126/(1-$N121)</f>
        <v>5.8920119222673141E-4</v>
      </c>
      <c r="R126" s="425">
        <f>$N126-($N121*F$21)*$N126/(1-$N121)</f>
        <v>5.8920119222673141E-4</v>
      </c>
      <c r="S126" s="425" t="e">
        <f>$N126-($N121*#REF!)*$N126/(1-$N121)</f>
        <v>#REF!</v>
      </c>
    </row>
    <row r="127" spans="1:19" ht="13.5" thickBot="1">
      <c r="A127" s="85" t="s">
        <v>12</v>
      </c>
      <c r="B127" s="95" t="s">
        <v>24</v>
      </c>
      <c r="C127" s="97" t="s">
        <v>44</v>
      </c>
      <c r="D127" s="243">
        <v>5182.070999999999</v>
      </c>
      <c r="E127" s="243">
        <v>1590.0355546283809</v>
      </c>
      <c r="F127" s="93">
        <v>6772.1065546283799</v>
      </c>
      <c r="G127" s="388"/>
      <c r="H127" s="92">
        <f t="shared" si="37"/>
        <v>1.3131929728159497E-3</v>
      </c>
      <c r="I127" s="92">
        <f t="shared" si="38"/>
        <v>2.4551323618399088E-3</v>
      </c>
      <c r="J127" s="92">
        <f t="shared" si="35"/>
        <v>1.4741845065370323E-3</v>
      </c>
      <c r="L127" s="85">
        <f>SUMIFS('Census 2011_17'!$E$258:$E$299,'Census 2011_17'!$A$258:$A$299,'Census 2011_17'!$B$48,'Census 2011_17'!$C$258:$C$299,'Census 2011_17'!$C127)</f>
        <v>12039.7</v>
      </c>
      <c r="M127" s="394">
        <f t="shared" si="36"/>
        <v>5573103.0004989337</v>
      </c>
      <c r="N127" s="410">
        <f>SUMPRODUCT('2017 end use splits'!$F$31:$M$33*('2017 end use splits'!$C$31:$C$33='Census 2011_17'!B127)*('2017 end use splits'!$F$19:$M$19='Census 2011_17'!C127))</f>
        <v>1.0359708685239435E-3</v>
      </c>
      <c r="O127" s="85">
        <f t="shared" si="39"/>
        <v>5773.5723558002755</v>
      </c>
      <c r="P127" s="425">
        <f>$N127-($N121*B$21)*$N127/(1-$N121)</f>
        <v>9.4104079810261175E-4</v>
      </c>
      <c r="Q127" s="425">
        <f>$N127-($N121*D$21)*$N127/(1-$N121)</f>
        <v>7.602216163476944E-4</v>
      </c>
      <c r="R127" s="425">
        <f>$N127-($N121*F$21)*$N127/(1-$N121)</f>
        <v>7.602216163476944E-4</v>
      </c>
      <c r="S127" s="425" t="e">
        <f>$N127-($N121*#REF!)*$N127/(1-$N121)</f>
        <v>#REF!</v>
      </c>
    </row>
    <row r="128" spans="1:19" ht="13.5" thickBot="1">
      <c r="A128" s="85" t="s">
        <v>12</v>
      </c>
      <c r="B128" s="95" t="s">
        <v>24</v>
      </c>
      <c r="C128" s="97" t="s">
        <v>41</v>
      </c>
      <c r="D128" s="243">
        <v>6096.8469491438664</v>
      </c>
      <c r="E128" s="243">
        <v>662.41333831557586</v>
      </c>
      <c r="F128" s="93">
        <v>6759.2602874594422</v>
      </c>
      <c r="G128" s="388"/>
      <c r="H128" s="92">
        <f t="shared" si="37"/>
        <v>1.5450071158712585E-3</v>
      </c>
      <c r="I128" s="92">
        <f t="shared" si="38"/>
        <v>1.0228151308183018E-3</v>
      </c>
      <c r="J128" s="92">
        <f t="shared" si="35"/>
        <v>1.4713880697304761E-3</v>
      </c>
      <c r="L128" s="85">
        <f>SUMIFS('Census 2011_17'!$E$258:$E$299,'Census 2011_17'!$A$258:$A$299,'Census 2011_17'!$B$48,'Census 2011_17'!$C$258:$C$299,'Census 2011_17'!$C128)</f>
        <v>19606.3</v>
      </c>
      <c r="M128" s="394">
        <f t="shared" si="36"/>
        <v>5573103.0004989337</v>
      </c>
      <c r="N128" s="410">
        <f>SUMPRODUCT('2017 end use splits'!$F$31:$M$33*('2017 end use splits'!$C$31:$C$33='Census 2011_17'!B128)*('2017 end use splits'!$F$19:$M$19='Census 2011_17'!C128))</f>
        <v>1.2775331297260909E-3</v>
      </c>
      <c r="O128" s="85">
        <f t="shared" si="39"/>
        <v>7119.8237185132712</v>
      </c>
      <c r="P128" s="425">
        <f>$N128-($N121*B$21)*$N128/(1-$N121)</f>
        <v>1.1604677626822499E-3</v>
      </c>
      <c r="Q128" s="425">
        <f>$N128-($N121*D$21)*$N128/(1-$N121)</f>
        <v>9.374861111701722E-4</v>
      </c>
      <c r="R128" s="425">
        <f>$N128-($N121*F$21)*$N128/(1-$N121)</f>
        <v>9.374861111701722E-4</v>
      </c>
      <c r="S128" s="425" t="e">
        <f>$N128-($N121*#REF!)*$N128/(1-$N121)</f>
        <v>#REF!</v>
      </c>
    </row>
    <row r="129" spans="1:19" ht="13.5" thickBot="1">
      <c r="A129" s="85" t="s">
        <v>12</v>
      </c>
      <c r="B129" s="95" t="s">
        <v>24</v>
      </c>
      <c r="C129" s="252" t="s">
        <v>419</v>
      </c>
      <c r="D129" s="93">
        <v>3946161.0801098091</v>
      </c>
      <c r="E129" s="93">
        <v>647637.40617095982</v>
      </c>
      <c r="F129" s="93">
        <v>4593798.4862807682</v>
      </c>
      <c r="G129" s="388"/>
      <c r="H129" s="94">
        <f t="shared" ref="H129" si="40">D129/D$129</f>
        <v>1</v>
      </c>
      <c r="I129" s="94">
        <f t="shared" ref="I129" si="41">E129/E$129</f>
        <v>1</v>
      </c>
      <c r="J129" s="94">
        <f t="shared" si="35"/>
        <v>1</v>
      </c>
      <c r="L129">
        <f>SUM(L121:L128)</f>
        <v>16865903.399999999</v>
      </c>
      <c r="N129" s="410"/>
      <c r="P129" s="424">
        <f>SUM(P121:P128)</f>
        <v>0.99999999999999989</v>
      </c>
      <c r="Q129" s="424">
        <f t="shared" ref="Q129" si="42">SUM(Q121:Q128)</f>
        <v>0.99999999999999978</v>
      </c>
      <c r="R129" s="424">
        <f t="shared" ref="R129" si="43">SUM(R121:R128)</f>
        <v>0.99999999999999978</v>
      </c>
      <c r="S129" s="424" t="e">
        <f t="shared" ref="S129" si="44">SUM(S121:S128)</f>
        <v>#REF!</v>
      </c>
    </row>
    <row r="130" spans="1:19" ht="13.5" thickBot="1">
      <c r="A130" s="85" t="s">
        <v>12</v>
      </c>
      <c r="B130" s="253" t="s">
        <v>291</v>
      </c>
      <c r="C130" s="96"/>
      <c r="D130" s="89" t="s">
        <v>34</v>
      </c>
      <c r="E130" s="89" t="s">
        <v>33</v>
      </c>
      <c r="F130" s="89" t="s">
        <v>27</v>
      </c>
      <c r="G130" s="388"/>
      <c r="H130" s="89" t="s">
        <v>34</v>
      </c>
      <c r="I130" s="90" t="s">
        <v>33</v>
      </c>
      <c r="J130" s="89" t="s">
        <v>27</v>
      </c>
      <c r="L130"/>
      <c r="N130" s="410"/>
    </row>
    <row r="131" spans="1:19" ht="13.5" thickBot="1">
      <c r="A131" s="85" t="s">
        <v>12</v>
      </c>
      <c r="B131" s="98" t="s">
        <v>25</v>
      </c>
      <c r="C131" s="254" t="s">
        <v>42</v>
      </c>
      <c r="D131" s="243">
        <v>3087798.6671653627</v>
      </c>
      <c r="E131" s="244"/>
      <c r="F131" s="93">
        <v>3087798.6671653627</v>
      </c>
      <c r="G131" s="388"/>
      <c r="H131" s="92">
        <f t="shared" ref="H131:H139" si="45">D131/D$139</f>
        <v>0.91979349224126783</v>
      </c>
      <c r="I131" s="92">
        <f t="shared" ref="I131:I139" si="46">E131/E$139</f>
        <v>0</v>
      </c>
      <c r="J131" s="92">
        <f t="shared" ref="J131:J139" si="47">F131/F$139</f>
        <v>0.89612430369186447</v>
      </c>
      <c r="L131" s="85">
        <f>SUMIFS('Census 2011_17'!$E$258:$E$299,'Census 2011_17'!$A$258:$A$299,'Census 2011_17'!$B$48,'Census 2011_17'!$C$258:$C$299,'Census 2011_17'!$C131)</f>
        <v>14012036.5</v>
      </c>
      <c r="M131" s="394">
        <f t="shared" ref="M131:M138" si="48">SUMIFS($E$95:$E$106,$C$95:$C$106,A131,$B$95:$B$106,B131)</f>
        <v>4176066.0172229088</v>
      </c>
      <c r="N131" s="410">
        <f>SUMPRODUCT('2017 end use splits'!$F$31:$M$33*('2017 end use splits'!$C$31:$C$33='Census 2011_17'!B131)*('2017 end use splits'!$F$19:$M$19='Census 2011_17'!C131))</f>
        <v>0.88416923904443656</v>
      </c>
      <c r="O131" s="85">
        <f>N131*M131</f>
        <v>3692349.1126473104</v>
      </c>
    </row>
    <row r="132" spans="1:19" ht="13.5" thickBot="1">
      <c r="A132" s="85" t="s">
        <v>12</v>
      </c>
      <c r="B132" s="98" t="s">
        <v>25</v>
      </c>
      <c r="C132" s="217" t="s">
        <v>43</v>
      </c>
      <c r="D132" s="243">
        <v>194467.00273354075</v>
      </c>
      <c r="E132" s="243">
        <v>21161.233659043472</v>
      </c>
      <c r="F132" s="93">
        <v>215628.23639258422</v>
      </c>
      <c r="G132" s="388"/>
      <c r="H132" s="92">
        <f t="shared" si="45"/>
        <v>5.7927832365501995E-2</v>
      </c>
      <c r="I132" s="92">
        <f t="shared" si="46"/>
        <v>0.23865318042983244</v>
      </c>
      <c r="J132" s="92">
        <f t="shared" si="47"/>
        <v>6.2578465768623623E-2</v>
      </c>
      <c r="L132" s="85">
        <f>SUMIFS('Census 2011_17'!$E$258:$E$299,'Census 2011_17'!$A$258:$A$299,'Census 2011_17'!$B$48,'Census 2011_17'!$C$258:$C$299,'Census 2011_17'!$C132)</f>
        <v>502216.2</v>
      </c>
      <c r="M132" s="394">
        <f t="shared" si="48"/>
        <v>4176066.0172229088</v>
      </c>
      <c r="N132" s="410">
        <f>SUMPRODUCT('2017 end use splits'!$F$31:$M$33*('2017 end use splits'!$C$31:$C$33='Census 2011_17'!B132)*('2017 end use splits'!$F$19:$M$19='Census 2011_17'!C132))</f>
        <v>7.8837867655196972E-2</v>
      </c>
      <c r="O132" s="85">
        <f t="shared" ref="O132:O138" si="49">N132*M132</f>
        <v>329232.13998518517</v>
      </c>
    </row>
    <row r="133" spans="1:19" ht="13.5" thickBot="1">
      <c r="A133" s="85" t="s">
        <v>12</v>
      </c>
      <c r="B133" s="98" t="s">
        <v>25</v>
      </c>
      <c r="C133" s="255" t="s">
        <v>17</v>
      </c>
      <c r="D133" s="243">
        <v>7763.0314699999999</v>
      </c>
      <c r="E133" s="243">
        <v>38895.196796917655</v>
      </c>
      <c r="F133" s="93">
        <v>46658.228266917657</v>
      </c>
      <c r="G133" s="388"/>
      <c r="H133" s="92">
        <f t="shared" si="45"/>
        <v>2.312451877804949E-3</v>
      </c>
      <c r="I133" s="92">
        <f t="shared" si="46"/>
        <v>0.4386541242628203</v>
      </c>
      <c r="J133" s="92">
        <f t="shared" si="47"/>
        <v>1.354089978786447E-2</v>
      </c>
      <c r="L133" s="85">
        <f>SUMIFS('Census 2011_17'!$E$258:$E$299,'Census 2011_17'!$A$258:$A$299,'Census 2011_17'!$B$48,'Census 2011_17'!$C$258:$C$299,'Census 2011_17'!$C133)</f>
        <v>908943</v>
      </c>
      <c r="M133" s="394">
        <f t="shared" si="48"/>
        <v>4176066.0172229088</v>
      </c>
      <c r="N133" s="410">
        <f>SUMPRODUCT('2017 end use splits'!$F$31:$M$33*('2017 end use splits'!$C$31:$C$33='Census 2011_17'!B133)*('2017 end use splits'!$F$19:$M$19='Census 2011_17'!C133))</f>
        <v>1.2753094063689891E-2</v>
      </c>
      <c r="O133" s="85">
        <f t="shared" si="49"/>
        <v>53257.762733822565</v>
      </c>
    </row>
    <row r="134" spans="1:19" ht="13.5" thickBot="1">
      <c r="A134" s="85" t="s">
        <v>12</v>
      </c>
      <c r="B134" s="98" t="s">
        <v>25</v>
      </c>
      <c r="C134" s="255" t="s">
        <v>7</v>
      </c>
      <c r="D134" s="243">
        <v>41227.469364778561</v>
      </c>
      <c r="E134" s="243">
        <v>24491.233262301277</v>
      </c>
      <c r="F134" s="93">
        <v>65718.702627079838</v>
      </c>
      <c r="G134" s="388"/>
      <c r="H134" s="92">
        <f t="shared" si="45"/>
        <v>1.2280838911725834E-2</v>
      </c>
      <c r="I134" s="92">
        <f t="shared" si="46"/>
        <v>0.27620841038250232</v>
      </c>
      <c r="J134" s="92">
        <f t="shared" si="47"/>
        <v>1.9072528030232076E-2</v>
      </c>
      <c r="L134" s="85">
        <f>SUMIFS('Census 2011_17'!$E$258:$E$299,'Census 2011_17'!$A$258:$A$299,'Census 2011_17'!$B$48,'Census 2011_17'!$C$258:$C$299,'Census 2011_17'!$C134)</f>
        <v>1353990.6</v>
      </c>
      <c r="M134" s="394">
        <f t="shared" si="48"/>
        <v>4176066.0172229088</v>
      </c>
      <c r="N134" s="410">
        <f>SUMPRODUCT('2017 end use splits'!$F$31:$M$33*('2017 end use splits'!$C$31:$C$33='Census 2011_17'!B134)*('2017 end use splits'!$F$19:$M$19='Census 2011_17'!C134))</f>
        <v>1.8169431528736794E-2</v>
      </c>
      <c r="O134" s="85">
        <f t="shared" si="49"/>
        <v>75876.745559416202</v>
      </c>
    </row>
    <row r="135" spans="1:19" ht="13.5" thickBot="1">
      <c r="A135" s="85" t="s">
        <v>12</v>
      </c>
      <c r="B135" s="98" t="s">
        <v>25</v>
      </c>
      <c r="C135" s="255" t="s">
        <v>9</v>
      </c>
      <c r="D135" s="243">
        <v>6714.5568024505455</v>
      </c>
      <c r="E135" s="243">
        <v>1862.9327643628067</v>
      </c>
      <c r="F135" s="93">
        <v>8577.4895668133522</v>
      </c>
      <c r="G135" s="388"/>
      <c r="H135" s="92">
        <f t="shared" si="45"/>
        <v>2.0001322352561275E-3</v>
      </c>
      <c r="I135" s="92">
        <f t="shared" si="46"/>
        <v>2.1009872879132509E-2</v>
      </c>
      <c r="J135" s="92">
        <f t="shared" si="47"/>
        <v>2.4893128386965545E-3</v>
      </c>
      <c r="L135" s="85">
        <f>SUMIFS('Census 2011_17'!$E$258:$E$299,'Census 2011_17'!$A$258:$A$299,'Census 2011_17'!$B$48,'Census 2011_17'!$C$258:$C$299,'Census 2011_17'!$C135)</f>
        <v>48580.5</v>
      </c>
      <c r="M135" s="394">
        <f t="shared" si="48"/>
        <v>4176066.0172229088</v>
      </c>
      <c r="N135" s="410">
        <f>SUMPRODUCT('2017 end use splits'!$F$31:$M$33*('2017 end use splits'!$C$31:$C$33='Census 2011_17'!B135)*('2017 end use splits'!$F$19:$M$19='Census 2011_17'!C135))</f>
        <v>1.4769528799417583E-3</v>
      </c>
      <c r="O135" s="85">
        <f t="shared" si="49"/>
        <v>6167.8527309642832</v>
      </c>
    </row>
    <row r="136" spans="1:19" ht="13.5" thickBot="1">
      <c r="A136" s="85" t="s">
        <v>12</v>
      </c>
      <c r="B136" s="98" t="s">
        <v>25</v>
      </c>
      <c r="C136" s="255" t="s">
        <v>46</v>
      </c>
      <c r="D136" s="243">
        <v>1386.1529300000007</v>
      </c>
      <c r="E136" s="243">
        <v>724.32328345881842</v>
      </c>
      <c r="F136" s="93">
        <v>2110.4762134588191</v>
      </c>
      <c r="G136" s="388"/>
      <c r="H136" s="92">
        <f t="shared" si="45"/>
        <v>4.1290724613065802E-4</v>
      </c>
      <c r="I136" s="92">
        <f t="shared" si="46"/>
        <v>8.1688080214052973E-3</v>
      </c>
      <c r="J136" s="92">
        <f t="shared" si="47"/>
        <v>6.1249104332965361E-4</v>
      </c>
      <c r="L136" s="85">
        <f>SUMIFS('Census 2011_17'!$E$258:$E$299,'Census 2011_17'!$A$258:$A$299,'Census 2011_17'!$B$48,'Census 2011_17'!$C$258:$C$299,'Census 2011_17'!$C136)</f>
        <v>8490.6</v>
      </c>
      <c r="M136" s="394">
        <f t="shared" si="48"/>
        <v>4176066.0172229088</v>
      </c>
      <c r="N136" s="410">
        <f>SUMPRODUCT('2017 end use splits'!$F$31:$M$33*('2017 end use splits'!$C$31:$C$33='Census 2011_17'!B136)*('2017 end use splits'!$F$19:$M$19='Census 2011_17'!C136))</f>
        <v>1.4585276525205519E-4</v>
      </c>
      <c r="O136" s="85">
        <f t="shared" si="49"/>
        <v>609.09077648709797</v>
      </c>
    </row>
    <row r="137" spans="1:19" ht="13.5" thickBot="1">
      <c r="A137" s="85" t="s">
        <v>12</v>
      </c>
      <c r="B137" s="98" t="s">
        <v>25</v>
      </c>
      <c r="C137" s="255" t="s">
        <v>44</v>
      </c>
      <c r="D137" s="243">
        <v>5205.0879999999961</v>
      </c>
      <c r="E137" s="243">
        <v>1201.9050225828205</v>
      </c>
      <c r="F137" s="93">
        <v>6406.9930225828166</v>
      </c>
      <c r="G137" s="388"/>
      <c r="H137" s="92">
        <f t="shared" si="45"/>
        <v>1.5504916560308622E-3</v>
      </c>
      <c r="I137" s="92">
        <f t="shared" si="46"/>
        <v>1.3554902367017545E-2</v>
      </c>
      <c r="J137" s="92">
        <f t="shared" si="47"/>
        <v>1.85940301813505E-3</v>
      </c>
      <c r="L137" s="85">
        <f>SUMIFS('Census 2011_17'!$E$258:$E$299,'Census 2011_17'!$A$258:$A$299,'Census 2011_17'!$B$48,'Census 2011_17'!$C$258:$C$299,'Census 2011_17'!$C137)</f>
        <v>12039.7</v>
      </c>
      <c r="M137" s="394">
        <f t="shared" si="48"/>
        <v>4176066.0172229088</v>
      </c>
      <c r="N137" s="410">
        <f>SUMPRODUCT('2017 end use splits'!$F$31:$M$33*('2017 end use splits'!$C$31:$C$33='Census 2011_17'!B137)*('2017 end use splits'!$F$19:$M$19='Census 2011_17'!C137))</f>
        <v>1.2804063551477341E-3</v>
      </c>
      <c r="O137" s="85">
        <f t="shared" si="49"/>
        <v>5347.0614679686996</v>
      </c>
    </row>
    <row r="138" spans="1:19" ht="13.5" thickBot="1">
      <c r="A138" s="85" t="s">
        <v>12</v>
      </c>
      <c r="B138" s="98" t="s">
        <v>25</v>
      </c>
      <c r="C138" s="255" t="s">
        <v>41</v>
      </c>
      <c r="D138" s="243">
        <v>12494.472150011201</v>
      </c>
      <c r="E138" s="243">
        <v>332.57245519341814</v>
      </c>
      <c r="F138" s="93">
        <v>12827.044605204619</v>
      </c>
      <c r="G138" s="388"/>
      <c r="H138" s="92">
        <f t="shared" si="45"/>
        <v>3.7218534662819091E-3</v>
      </c>
      <c r="I138" s="92">
        <f t="shared" si="46"/>
        <v>3.7507016572896176E-3</v>
      </c>
      <c r="J138" s="92">
        <f t="shared" si="47"/>
        <v>3.7225958212540084E-3</v>
      </c>
      <c r="L138" s="85">
        <f>SUMIFS('Census 2011_17'!$E$258:$E$299,'Census 2011_17'!$A$258:$A$299,'Census 2011_17'!$B$48,'Census 2011_17'!$C$258:$C$299,'Census 2011_17'!$C138)</f>
        <v>19606.3</v>
      </c>
      <c r="M138" s="394">
        <f t="shared" si="48"/>
        <v>4176066.0172229088</v>
      </c>
      <c r="N138" s="410">
        <f>SUMPRODUCT('2017 end use splits'!$F$31:$M$33*('2017 end use splits'!$C$31:$C$33='Census 2011_17'!B138)*('2017 end use splits'!$F$19:$M$19='Census 2011_17'!C138))</f>
        <v>3.1671557075982526E-3</v>
      </c>
      <c r="O138" s="85">
        <f t="shared" si="49"/>
        <v>13226.251321754638</v>
      </c>
    </row>
    <row r="139" spans="1:19" ht="13.5" thickBot="1">
      <c r="A139" s="85" t="s">
        <v>12</v>
      </c>
      <c r="B139" s="98" t="s">
        <v>25</v>
      </c>
      <c r="C139" s="252" t="s">
        <v>419</v>
      </c>
      <c r="D139" s="93">
        <v>3357056.4406161434</v>
      </c>
      <c r="E139" s="93">
        <v>88669.397243860265</v>
      </c>
      <c r="F139" s="93">
        <v>3445725.8378600045</v>
      </c>
      <c r="G139" s="388"/>
      <c r="H139" s="94">
        <f t="shared" si="45"/>
        <v>1</v>
      </c>
      <c r="I139" s="94">
        <f t="shared" si="46"/>
        <v>1</v>
      </c>
      <c r="J139" s="94">
        <f t="shared" si="47"/>
        <v>1</v>
      </c>
      <c r="L139">
        <f>SUM(L131:L138)</f>
        <v>16865903.399999999</v>
      </c>
    </row>
    <row r="140" spans="1:19" ht="13.5" thickBot="1">
      <c r="A140" s="85" t="s">
        <v>317</v>
      </c>
      <c r="B140" s="99" t="s">
        <v>40</v>
      </c>
      <c r="C140" s="100"/>
      <c r="D140" s="101"/>
      <c r="E140" s="101"/>
      <c r="F140" s="103"/>
      <c r="G140" s="388"/>
      <c r="H140" s="101"/>
      <c r="I140" s="102"/>
      <c r="J140" s="103"/>
      <c r="L140"/>
    </row>
    <row r="141" spans="1:19" ht="13.5" thickBot="1">
      <c r="A141" s="85" t="s">
        <v>13</v>
      </c>
      <c r="B141" s="251" t="s">
        <v>289</v>
      </c>
      <c r="C141" s="104"/>
      <c r="D141" s="89" t="s">
        <v>34</v>
      </c>
      <c r="E141" s="89" t="s">
        <v>33</v>
      </c>
      <c r="F141" s="89" t="s">
        <v>27</v>
      </c>
      <c r="G141" s="388"/>
      <c r="H141" s="89" t="s">
        <v>34</v>
      </c>
      <c r="I141" s="90" t="s">
        <v>33</v>
      </c>
      <c r="J141" s="89" t="s">
        <v>27</v>
      </c>
      <c r="L141"/>
      <c r="P141" s="423">
        <f>P110</f>
        <v>2020</v>
      </c>
      <c r="Q141" s="423">
        <f t="shared" ref="Q141:S141" si="50">Q110</f>
        <v>2030</v>
      </c>
      <c r="R141" s="423">
        <f t="shared" si="50"/>
        <v>2040</v>
      </c>
      <c r="S141" s="423" t="e">
        <f t="shared" si="50"/>
        <v>#REF!</v>
      </c>
    </row>
    <row r="142" spans="1:19" ht="13.5" thickBot="1">
      <c r="A142" s="85" t="s">
        <v>13</v>
      </c>
      <c r="B142" s="212" t="s">
        <v>22</v>
      </c>
      <c r="C142" s="254" t="s">
        <v>42</v>
      </c>
      <c r="D142" s="243">
        <v>3081508.5867071724</v>
      </c>
      <c r="E142" s="244"/>
      <c r="F142" s="93">
        <v>3081508.5867071724</v>
      </c>
      <c r="G142" s="388"/>
      <c r="H142" s="92">
        <f t="shared" ref="H142:H150" si="51">D142/D$150</f>
        <v>0.72030293086478603</v>
      </c>
      <c r="I142" s="92">
        <f t="shared" ref="I142:I150" si="52">E142/E$150</f>
        <v>0</v>
      </c>
      <c r="J142" s="92">
        <f t="shared" ref="J142:J150" si="53">F142/F$150</f>
        <v>0.56955674095683095</v>
      </c>
      <c r="L142"/>
      <c r="M142" s="394">
        <f t="shared" ref="M142:M149" si="54">SUMIFS($E$95:$E$106,$C$95:$C$106,A142,$B$95:$B$106,B142)</f>
        <v>6506517.846679599</v>
      </c>
      <c r="N142" s="410">
        <f>SUMPRODUCT('2017 end use splits'!$F$78:$M$80*('2017 end use splits'!$C$78:$C$80='Census 2011_17'!B142)*('2017 end use splits'!$F$19:$M$19='Census 2011_17'!C142))</f>
        <v>0.65954620271718634</v>
      </c>
      <c r="O142" s="85">
        <f>N142*M142</f>
        <v>4291349.1386891333</v>
      </c>
      <c r="P142" s="410">
        <f>$N142*(1+B$20)</f>
        <v>0.68859636172756822</v>
      </c>
      <c r="Q142" s="410">
        <f>$N142*(1+D$20)</f>
        <v>0.73163363433554107</v>
      </c>
      <c r="R142" s="410">
        <f>$N142*(1+F$20)</f>
        <v>0.77467090694351415</v>
      </c>
      <c r="S142" s="410" t="e">
        <f>$N142*(1+#REF!)</f>
        <v>#REF!</v>
      </c>
    </row>
    <row r="143" spans="1:19" ht="13.5" thickBot="1">
      <c r="A143" s="85" t="s">
        <v>13</v>
      </c>
      <c r="B143" s="212" t="s">
        <v>22</v>
      </c>
      <c r="C143" s="217" t="s">
        <v>43</v>
      </c>
      <c r="D143" s="243">
        <v>62628.608320861553</v>
      </c>
      <c r="E143" s="243">
        <v>31494.773135572344</v>
      </c>
      <c r="F143" s="93">
        <v>94123.381456433897</v>
      </c>
      <c r="G143" s="388"/>
      <c r="H143" s="92">
        <f t="shared" si="51"/>
        <v>1.4639443266229695E-2</v>
      </c>
      <c r="I143" s="92">
        <f t="shared" si="52"/>
        <v>2.7815119884306103E-2</v>
      </c>
      <c r="J143" s="92">
        <f t="shared" si="53"/>
        <v>1.7396870682566554E-2</v>
      </c>
      <c r="L143"/>
      <c r="M143" s="394">
        <f t="shared" si="54"/>
        <v>6506517.846679599</v>
      </c>
      <c r="N143" s="410">
        <f>SUMPRODUCT('2017 end use splits'!$F$78:$M$80*('2017 end use splits'!$C$78:$C$80='Census 2011_17'!B143)*('2017 end use splits'!$F$19:$M$19='Census 2011_17'!C143))</f>
        <v>9.6547457035230967E-3</v>
      </c>
      <c r="O143" s="85">
        <f t="shared" ref="O143:O149" si="55">N143*M143</f>
        <v>62818.775225126206</v>
      </c>
      <c r="P143" s="425">
        <f>$N143-($N142*B$20)*$N143/(1-$N142)</f>
        <v>8.8309279046598944E-3</v>
      </c>
      <c r="Q143" s="425">
        <f>$N143-($N142*D$20)*$N143/(1-$N142)</f>
        <v>7.6104570915292262E-3</v>
      </c>
      <c r="R143" s="425">
        <f>$N143-($N142*F$20)*$N143/(1-$N142)</f>
        <v>6.3899862783985562E-3</v>
      </c>
      <c r="S143" s="425" t="e">
        <f>$N143-($N142*#REF!)*$N143/(1-$N142)</f>
        <v>#REF!</v>
      </c>
    </row>
    <row r="144" spans="1:19" ht="13.5" thickBot="1">
      <c r="A144" s="85" t="s">
        <v>13</v>
      </c>
      <c r="B144" s="212" t="s">
        <v>22</v>
      </c>
      <c r="C144" s="255" t="s">
        <v>17</v>
      </c>
      <c r="D144" s="243">
        <v>317013.56851814012</v>
      </c>
      <c r="E144" s="243">
        <v>368680.93067894573</v>
      </c>
      <c r="F144" s="93">
        <v>685694.49919708585</v>
      </c>
      <c r="G144" s="388"/>
      <c r="H144" s="92">
        <f t="shared" si="51"/>
        <v>7.4101952372466348E-2</v>
      </c>
      <c r="I144" s="92">
        <f t="shared" si="52"/>
        <v>0.32560654562422725</v>
      </c>
      <c r="J144" s="92">
        <f t="shared" si="53"/>
        <v>0.1267372500402611</v>
      </c>
      <c r="L144"/>
      <c r="M144" s="394">
        <f t="shared" si="54"/>
        <v>6506517.846679599</v>
      </c>
      <c r="N144" s="410">
        <f>SUMPRODUCT('2017 end use splits'!$F$78:$M$80*('2017 end use splits'!$C$78:$C$80='Census 2011_17'!B144)*('2017 end use splits'!$F$19:$M$19='Census 2011_17'!C144))</f>
        <v>9.954832363872354E-2</v>
      </c>
      <c r="O144" s="85">
        <f t="shared" si="55"/>
        <v>647712.94436239137</v>
      </c>
      <c r="P144" s="425">
        <f>$N144-($N142*B$20)*$N144/(1-$N142)</f>
        <v>9.1054088432647728E-2</v>
      </c>
      <c r="Q144" s="425">
        <f>$N144-($N142*D$20)*$N144/(1-$N142)</f>
        <v>7.8470036275498437E-2</v>
      </c>
      <c r="R144" s="425">
        <f>$N144-($N142*F$20)*$N144/(1-$N142)</f>
        <v>6.5885984118349103E-2</v>
      </c>
      <c r="S144" s="425" t="e">
        <f>$N144-($N142*#REF!)*$N144/(1-$N142)</f>
        <v>#REF!</v>
      </c>
    </row>
    <row r="145" spans="1:19" ht="13.5" thickBot="1">
      <c r="A145" s="85" t="s">
        <v>13</v>
      </c>
      <c r="B145" s="212" t="s">
        <v>22</v>
      </c>
      <c r="C145" s="255" t="s">
        <v>7</v>
      </c>
      <c r="D145" s="243">
        <v>707418.62578458106</v>
      </c>
      <c r="E145" s="243">
        <v>647643.26239992585</v>
      </c>
      <c r="F145" s="93">
        <v>1355061.8881845069</v>
      </c>
      <c r="G145" s="388"/>
      <c r="H145" s="92">
        <f t="shared" si="51"/>
        <v>0.16535917235443184</v>
      </c>
      <c r="I145" s="92">
        <f t="shared" si="52"/>
        <v>0.57197665493168781</v>
      </c>
      <c r="J145" s="92">
        <f t="shared" si="53"/>
        <v>0.25045675230582054</v>
      </c>
      <c r="L145">
        <f>O145/M111</f>
        <v>0.16274108389010231</v>
      </c>
      <c r="M145" s="394">
        <f t="shared" si="54"/>
        <v>6506517.846679599</v>
      </c>
      <c r="N145" s="410">
        <f>SUMPRODUCT('2017 end use splits'!$F$78:$M$80*('2017 end use splits'!$C$78:$C$80='Census 2011_17'!B145)*('2017 end use splits'!$F$19:$M$19='Census 2011_17'!C145))</f>
        <v>0.19213823363648441</v>
      </c>
      <c r="O145" s="85">
        <f t="shared" si="55"/>
        <v>1250150.8461852802</v>
      </c>
      <c r="P145" s="425">
        <f>$N145-($N142*B$20)*$N145/(1-$N142)</f>
        <v>0.1757435090551718</v>
      </c>
      <c r="Q145" s="425">
        <f>$N145-($N142*D$20)*$N145/(1-$N142)</f>
        <v>0.151455028193968</v>
      </c>
      <c r="R145" s="425">
        <f>$N145-($N142*F$20)*$N145/(1-$N142)</f>
        <v>0.12716654733276417</v>
      </c>
      <c r="S145" s="425" t="e">
        <f>$N145-($N142*#REF!)*$N145/(1-$N142)</f>
        <v>#REF!</v>
      </c>
    </row>
    <row r="146" spans="1:19" ht="13.5" thickBot="1">
      <c r="A146" s="85" t="s">
        <v>13</v>
      </c>
      <c r="B146" s="212" t="s">
        <v>22</v>
      </c>
      <c r="C146" s="255" t="s">
        <v>9</v>
      </c>
      <c r="D146" s="243">
        <v>85193.125128337517</v>
      </c>
      <c r="E146" s="243">
        <v>66483.691339507684</v>
      </c>
      <c r="F146" s="93">
        <v>151676.8164678452</v>
      </c>
      <c r="G146" s="388"/>
      <c r="H146" s="92">
        <f t="shared" si="51"/>
        <v>1.991390125738543E-2</v>
      </c>
      <c r="I146" s="92">
        <f t="shared" si="52"/>
        <v>5.8716150676790833E-2</v>
      </c>
      <c r="J146" s="92">
        <f t="shared" si="53"/>
        <v>2.8034500257046523E-2</v>
      </c>
      <c r="L146"/>
      <c r="M146" s="394">
        <f t="shared" si="54"/>
        <v>6506517.846679599</v>
      </c>
      <c r="N146" s="410">
        <f>SUMPRODUCT('2017 end use splits'!$F$78:$M$80*('2017 end use splits'!$C$78:$C$80='Census 2011_17'!B146)*('2017 end use splits'!$F$19:$M$19='Census 2011_17'!C146))</f>
        <v>1.6131153725620011E-2</v>
      </c>
      <c r="O146" s="85">
        <f t="shared" si="55"/>
        <v>104957.6396032787</v>
      </c>
      <c r="P146" s="425">
        <f>$N146-($N142*B$20)*$N146/(1-$N142)</f>
        <v>1.4754718554415562E-2</v>
      </c>
      <c r="Q146" s="425">
        <f>$N146-($N142*D$20)*$N146/(1-$N142)</f>
        <v>1.2715555337816382E-2</v>
      </c>
      <c r="R146" s="425">
        <f>$N146-($N142*F$20)*$N146/(1-$N142)</f>
        <v>1.0676392121217201E-2</v>
      </c>
      <c r="S146" s="425" t="e">
        <f>$N146-($N142*#REF!)*$N146/(1-$N142)</f>
        <v>#REF!</v>
      </c>
    </row>
    <row r="147" spans="1:19" ht="13.5" thickBot="1">
      <c r="A147" s="85" t="s">
        <v>13</v>
      </c>
      <c r="B147" s="212" t="s">
        <v>22</v>
      </c>
      <c r="C147" s="255" t="s">
        <v>46</v>
      </c>
      <c r="D147" s="243">
        <v>14645.409400000008</v>
      </c>
      <c r="E147" s="243">
        <v>13964.02620704125</v>
      </c>
      <c r="F147" s="93">
        <v>28609.435607041258</v>
      </c>
      <c r="G147" s="388"/>
      <c r="H147" s="92">
        <f t="shared" si="51"/>
        <v>3.4233658669785652E-3</v>
      </c>
      <c r="I147" s="92">
        <f t="shared" si="52"/>
        <v>1.2332556305279326E-2</v>
      </c>
      <c r="J147" s="92">
        <f t="shared" si="53"/>
        <v>5.2878959919994452E-3</v>
      </c>
      <c r="L147"/>
      <c r="M147" s="394">
        <f t="shared" si="54"/>
        <v>6506517.846679599</v>
      </c>
      <c r="N147" s="410">
        <f>SUMPRODUCT('2017 end use splits'!$F$78:$M$80*('2017 end use splits'!$C$78:$C$80='Census 2011_17'!B147)*('2017 end use splits'!$F$19:$M$19='Census 2011_17'!C147))</f>
        <v>1.6641775816450533E-3</v>
      </c>
      <c r="O147" s="85">
        <f t="shared" si="55"/>
        <v>10828.001135017636</v>
      </c>
      <c r="P147" s="425">
        <f>$N147-($N142*B$20)*$N147/(1-$N142)</f>
        <v>1.5221770407371727E-3</v>
      </c>
      <c r="Q147" s="425">
        <f>$N147-($N142*D$20)*$N147/(1-$N142)</f>
        <v>1.3118058690217945E-3</v>
      </c>
      <c r="R147" s="425">
        <f>$N147-($N142*F$20)*$N147/(1-$N142)</f>
        <v>1.101434697306416E-3</v>
      </c>
      <c r="S147" s="425" t="e">
        <f>$N147-($N142*#REF!)*$N147/(1-$N142)</f>
        <v>#REF!</v>
      </c>
    </row>
    <row r="148" spans="1:19" ht="13.5" thickBot="1">
      <c r="A148" s="85" t="s">
        <v>13</v>
      </c>
      <c r="B148" s="212" t="s">
        <v>22</v>
      </c>
      <c r="C148" s="255" t="s">
        <v>44</v>
      </c>
      <c r="D148" s="243">
        <v>9013.8614900172215</v>
      </c>
      <c r="E148" s="243">
        <v>3573.7073757321177</v>
      </c>
      <c r="F148" s="93">
        <v>12587.568865749339</v>
      </c>
      <c r="G148" s="388"/>
      <c r="H148" s="92">
        <f t="shared" si="51"/>
        <v>2.1069909970968439E-3</v>
      </c>
      <c r="I148" s="92">
        <f t="shared" si="52"/>
        <v>3.1561776507970834E-3</v>
      </c>
      <c r="J148" s="92">
        <f t="shared" si="53"/>
        <v>2.326566517021083E-3</v>
      </c>
      <c r="L148"/>
      <c r="M148" s="394">
        <f t="shared" si="54"/>
        <v>6506517.846679599</v>
      </c>
      <c r="N148" s="410">
        <f>SUMPRODUCT('2017 end use splits'!$F$78:$M$80*('2017 end use splits'!$C$78:$C$80='Census 2011_17'!B148)*('2017 end use splits'!$F$19:$M$19='Census 2011_17'!C148))</f>
        <v>1.0902647832123408E-3</v>
      </c>
      <c r="O148" s="85">
        <f t="shared" si="55"/>
        <v>7093.8272695773594</v>
      </c>
      <c r="P148" s="425">
        <f>$N148-($N142*B$20)*$N148/(1-$N142)</f>
        <v>9.9723493432089826E-4</v>
      </c>
      <c r="Q148" s="425">
        <f>$N148-($N142*D$20)*$N148/(1-$N142)</f>
        <v>8.5941293596320596E-4</v>
      </c>
      <c r="R148" s="425">
        <f>$N148-($N142*F$20)*$N148/(1-$N142)</f>
        <v>7.2159093760551345E-4</v>
      </c>
      <c r="S148" s="425" t="e">
        <f>$N148-($N142*#REF!)*$N148/(1-$N142)</f>
        <v>#REF!</v>
      </c>
    </row>
    <row r="149" spans="1:19" ht="13.5" thickBot="1">
      <c r="A149" s="85" t="s">
        <v>13</v>
      </c>
      <c r="B149" s="212" t="s">
        <v>22</v>
      </c>
      <c r="C149" s="255" t="s">
        <v>41</v>
      </c>
      <c r="D149" s="243">
        <v>651.30676999999969</v>
      </c>
      <c r="E149" s="243">
        <v>449.28679999999986</v>
      </c>
      <c r="F149" s="93">
        <v>1100.5935699999995</v>
      </c>
      <c r="G149" s="388"/>
      <c r="H149" s="92">
        <f t="shared" si="51"/>
        <v>1.5224302062529277E-4</v>
      </c>
      <c r="I149" s="92">
        <f t="shared" si="52"/>
        <v>3.9679492691189859E-4</v>
      </c>
      <c r="J149" s="92">
        <f t="shared" si="53"/>
        <v>2.0342324845412202E-4</v>
      </c>
      <c r="L149"/>
      <c r="M149" s="394">
        <f t="shared" si="54"/>
        <v>6506517.846679599</v>
      </c>
      <c r="N149" s="410">
        <f>SUMPRODUCT('2017 end use splits'!$F$78:$M$80*('2017 end use splits'!$C$78:$C$80='Census 2011_17'!B149)*('2017 end use splits'!$F$19:$M$19='Census 2011_17'!C149))</f>
        <v>2.0226898213605186E-2</v>
      </c>
      <c r="O149" s="85">
        <f t="shared" si="55"/>
        <v>131606.67420979385</v>
      </c>
      <c r="P149" s="425">
        <f>$N149-($N142*B$20)*$N149/(1-$N142)</f>
        <v>1.8500982350478753E-2</v>
      </c>
      <c r="Q149" s="425">
        <f>$N149-($N142*D$20)*$N149/(1-$N142)</f>
        <v>1.5944069960661826E-2</v>
      </c>
      <c r="R149" s="425">
        <f>$N149-($N142*F$20)*$N149/(1-$N142)</f>
        <v>1.3387157570844889E-2</v>
      </c>
      <c r="S149" s="425" t="e">
        <f>$N149-($N142*#REF!)*$N149/(1-$N142)</f>
        <v>#REF!</v>
      </c>
    </row>
    <row r="150" spans="1:19" ht="13.5" thickBot="1">
      <c r="A150" s="85" t="s">
        <v>13</v>
      </c>
      <c r="B150" s="212" t="s">
        <v>22</v>
      </c>
      <c r="C150" s="252" t="s">
        <v>419</v>
      </c>
      <c r="D150" s="93">
        <v>4278073.0921191098</v>
      </c>
      <c r="E150" s="93">
        <v>1132289.6779367246</v>
      </c>
      <c r="F150" s="105">
        <v>5410362.7700558333</v>
      </c>
      <c r="G150" s="388"/>
      <c r="H150" s="94">
        <f t="shared" si="51"/>
        <v>1</v>
      </c>
      <c r="I150" s="94">
        <f t="shared" si="52"/>
        <v>1</v>
      </c>
      <c r="J150" s="94">
        <f t="shared" si="53"/>
        <v>1</v>
      </c>
      <c r="K150" s="85">
        <f>F150/F119</f>
        <v>0.85666598097831259</v>
      </c>
      <c r="L150"/>
      <c r="O150" s="85">
        <f>SUM(O142:O149)</f>
        <v>6506517.846679599</v>
      </c>
      <c r="P150" s="424">
        <f>SUM(P142:P149)</f>
        <v>1</v>
      </c>
      <c r="Q150" s="424">
        <f t="shared" ref="Q150" si="56">SUM(Q142:Q149)</f>
        <v>1</v>
      </c>
      <c r="R150" s="424">
        <f t="shared" ref="R150" si="57">SUM(R142:R149)</f>
        <v>1</v>
      </c>
      <c r="S150" s="424" t="e">
        <f t="shared" ref="S150" si="58">SUM(S142:S149)</f>
        <v>#REF!</v>
      </c>
    </row>
    <row r="151" spans="1:19" ht="13.5" thickBot="1">
      <c r="A151" s="85" t="s">
        <v>13</v>
      </c>
      <c r="B151" s="251" t="s">
        <v>290</v>
      </c>
      <c r="C151" s="256"/>
      <c r="D151" s="89" t="s">
        <v>34</v>
      </c>
      <c r="E151" s="89" t="s">
        <v>33</v>
      </c>
      <c r="F151" s="89" t="s">
        <v>27</v>
      </c>
      <c r="G151" s="388"/>
      <c r="H151" s="89" t="s">
        <v>34</v>
      </c>
      <c r="I151" s="90" t="s">
        <v>33</v>
      </c>
      <c r="J151" s="89" t="s">
        <v>27</v>
      </c>
      <c r="L151"/>
    </row>
    <row r="152" spans="1:19" ht="13.5" thickBot="1">
      <c r="A152" s="85" t="s">
        <v>13</v>
      </c>
      <c r="B152" s="95" t="s">
        <v>24</v>
      </c>
      <c r="C152" s="254" t="s">
        <v>42</v>
      </c>
      <c r="D152" s="243">
        <v>2656996.5305898534</v>
      </c>
      <c r="E152" s="244"/>
      <c r="F152" s="93">
        <v>2656996.5305898534</v>
      </c>
      <c r="G152" s="388"/>
      <c r="H152" s="92">
        <f t="shared" ref="H152:H160" si="59">D152/D$160</f>
        <v>0.76412176254575648</v>
      </c>
      <c r="I152" s="92">
        <f t="shared" ref="I152:I160" si="60">E152/E$160</f>
        <v>0</v>
      </c>
      <c r="J152" s="92">
        <f t="shared" ref="J152:J160" si="61">F152/F$160</f>
        <v>0.66338957685980504</v>
      </c>
      <c r="L152"/>
      <c r="M152" s="394">
        <f t="shared" ref="M152:M159" si="62">SUMIFS($E$95:$E$106,$C$95:$C$106,A152,$B$95:$B$106,B152)</f>
        <v>4720418.2414225973</v>
      </c>
      <c r="N152" s="410">
        <f>SUMPRODUCT('2017 end use splits'!$F$78:$M$80*('2017 end use splits'!$C$78:$C$80='Census 2011_17'!B152)*('2017 end use splits'!$F$19:$M$19='Census 2011_17'!C152))</f>
        <v>0.74391519936383166</v>
      </c>
      <c r="O152" s="85">
        <f>N152*M152</f>
        <v>3511590.8771485593</v>
      </c>
      <c r="P152" s="410">
        <f>$N152*(1+B$21)</f>
        <v>0.76626458303570644</v>
      </c>
      <c r="Q152" s="410">
        <f>$N152*(1+D$21)</f>
        <v>0.80883483764880115</v>
      </c>
      <c r="R152" s="410">
        <f>$N152*(1+F$21)</f>
        <v>0.80883483764880115</v>
      </c>
      <c r="S152" s="410" t="e">
        <f>$N152*(1+#REF!)</f>
        <v>#REF!</v>
      </c>
    </row>
    <row r="153" spans="1:19" ht="13.5" thickBot="1">
      <c r="A153" s="85" t="s">
        <v>13</v>
      </c>
      <c r="B153" s="95" t="s">
        <v>24</v>
      </c>
      <c r="C153" s="217" t="s">
        <v>43</v>
      </c>
      <c r="D153" s="243">
        <v>53331.24894901544</v>
      </c>
      <c r="E153" s="243">
        <v>19583.217780920982</v>
      </c>
      <c r="F153" s="93">
        <v>72914.466729936423</v>
      </c>
      <c r="G153" s="388"/>
      <c r="H153" s="92">
        <f t="shared" si="59"/>
        <v>1.5337456212877083E-2</v>
      </c>
      <c r="I153" s="92">
        <f t="shared" si="60"/>
        <v>3.708993065405277E-2</v>
      </c>
      <c r="J153" s="92">
        <f t="shared" si="61"/>
        <v>1.8205028374723757E-2</v>
      </c>
      <c r="L153"/>
      <c r="M153" s="394">
        <f t="shared" si="62"/>
        <v>4720418.2414225973</v>
      </c>
      <c r="N153" s="410">
        <f>SUMPRODUCT('2017 end use splits'!$F$78:$M$80*('2017 end use splits'!$C$78:$C$80='Census 2011_17'!B153)*('2017 end use splits'!$F$19:$M$19='Census 2011_17'!C153))</f>
        <v>9.7838013195240148E-3</v>
      </c>
      <c r="O153" s="85">
        <f t="shared" ref="O153:O159" si="63">N153*M153</f>
        <v>46183.634219135638</v>
      </c>
      <c r="P153" s="425">
        <f>$N153-($N152*B$21)*$N153/(1-$N152)</f>
        <v>8.9299360025812107E-3</v>
      </c>
      <c r="Q153" s="425">
        <f>$N153-($N152*D$21)*$N153/(1-$N152)</f>
        <v>7.3035258750711084E-3</v>
      </c>
      <c r="R153" s="425">
        <f>$N153-($N152*F$21)*$N153/(1-$N152)</f>
        <v>7.3035258750711084E-3</v>
      </c>
      <c r="S153" s="425" t="e">
        <f>$N153-($N152*#REF!)*$N153/(1-$N152)</f>
        <v>#REF!</v>
      </c>
    </row>
    <row r="154" spans="1:19" ht="13.5" thickBot="1">
      <c r="A154" s="85" t="s">
        <v>13</v>
      </c>
      <c r="B154" s="95" t="s">
        <v>24</v>
      </c>
      <c r="C154" s="255" t="s">
        <v>17</v>
      </c>
      <c r="D154" s="243">
        <v>247371.6675775809</v>
      </c>
      <c r="E154" s="243">
        <v>167593.45760659792</v>
      </c>
      <c r="F154" s="93">
        <v>414965.12518417882</v>
      </c>
      <c r="G154" s="388"/>
      <c r="H154" s="92">
        <f t="shared" si="59"/>
        <v>7.1141257603110672E-2</v>
      </c>
      <c r="I154" s="92">
        <f t="shared" si="60"/>
        <v>0.31741615653979188</v>
      </c>
      <c r="J154" s="92">
        <f t="shared" si="61"/>
        <v>0.10360703735898198</v>
      </c>
      <c r="L154"/>
      <c r="M154" s="394">
        <f t="shared" si="62"/>
        <v>4720418.2414225973</v>
      </c>
      <c r="N154" s="410">
        <f>SUMPRODUCT('2017 end use splits'!$F$78:$M$80*('2017 end use splits'!$C$78:$C$80='Census 2011_17'!B154)*('2017 end use splits'!$F$19:$M$19='Census 2011_17'!C154))</f>
        <v>7.8807125580182227E-2</v>
      </c>
      <c r="O154" s="85">
        <f t="shared" si="63"/>
        <v>372002.59314277355</v>
      </c>
      <c r="P154" s="425">
        <f>$N154-($N152*B$21)*$N154/(1-$N152)</f>
        <v>7.1929362115526405E-2</v>
      </c>
      <c r="Q154" s="425">
        <f>$N154-($N152*D$21)*$N154/(1-$N152)</f>
        <v>5.8828860278086759E-2</v>
      </c>
      <c r="R154" s="425">
        <f>$N154-($N152*F$21)*$N154/(1-$N152)</f>
        <v>5.8828860278086759E-2</v>
      </c>
      <c r="S154" s="425" t="e">
        <f>$N154-($N152*#REF!)*$N154/(1-$N152)</f>
        <v>#REF!</v>
      </c>
    </row>
    <row r="155" spans="1:19" ht="13.5" thickBot="1">
      <c r="A155" s="85" t="s">
        <v>13</v>
      </c>
      <c r="B155" s="95" t="s">
        <v>24</v>
      </c>
      <c r="C155" s="255" t="s">
        <v>7</v>
      </c>
      <c r="D155" s="243">
        <v>428214.74790157954</v>
      </c>
      <c r="E155" s="243">
        <v>293921.69641095906</v>
      </c>
      <c r="F155" s="93">
        <v>722136.4443125386</v>
      </c>
      <c r="G155" s="388"/>
      <c r="H155" s="92">
        <f t="shared" si="59"/>
        <v>0.12314965569112034</v>
      </c>
      <c r="I155" s="92">
        <f t="shared" si="60"/>
        <v>0.55667742960122124</v>
      </c>
      <c r="J155" s="92">
        <f t="shared" si="61"/>
        <v>0.18030049520658889</v>
      </c>
      <c r="L155">
        <f>O155/M121</f>
        <v>0.11345089843443973</v>
      </c>
      <c r="M155" s="394">
        <f t="shared" si="62"/>
        <v>4720418.2414225973</v>
      </c>
      <c r="N155" s="410">
        <f>SUMPRODUCT('2017 end use splits'!$F$78:$M$80*('2017 end use splits'!$C$78:$C$80='Census 2011_17'!B155)*('2017 end use splits'!$F$19:$M$19='Census 2011_17'!C155))</f>
        <v>0.13394439012330545</v>
      </c>
      <c r="O155" s="85">
        <f t="shared" si="63"/>
        <v>632273.5424742758</v>
      </c>
      <c r="P155" s="425">
        <f>$N155-($N152*B$21)*$N155/(1-$N152)</f>
        <v>0.12225461174472008</v>
      </c>
      <c r="Q155" s="425">
        <f>$N155-($N152*D$21)*$N155/(1-$N152)</f>
        <v>9.9988367214081303E-2</v>
      </c>
      <c r="R155" s="425">
        <f>$N155-($N152*F$21)*$N155/(1-$N152)</f>
        <v>9.9988367214081303E-2</v>
      </c>
      <c r="S155" s="425" t="e">
        <f>$N155-($N152*#REF!)*$N155/(1-$N152)</f>
        <v>#REF!</v>
      </c>
    </row>
    <row r="156" spans="1:19" ht="13.5" thickBot="1">
      <c r="A156" s="85" t="s">
        <v>13</v>
      </c>
      <c r="B156" s="95" t="s">
        <v>24</v>
      </c>
      <c r="C156" s="255" t="s">
        <v>9</v>
      </c>
      <c r="D156" s="243">
        <v>73701.271611120595</v>
      </c>
      <c r="E156" s="243">
        <v>38040.597806355872</v>
      </c>
      <c r="F156" s="93">
        <v>111741.86941747647</v>
      </c>
      <c r="G156" s="388"/>
      <c r="H156" s="92">
        <f t="shared" si="59"/>
        <v>2.1195641363088522E-2</v>
      </c>
      <c r="I156" s="92">
        <f t="shared" si="60"/>
        <v>7.2047563912149726E-2</v>
      </c>
      <c r="J156" s="92">
        <f t="shared" si="61"/>
        <v>2.7899318127422169E-2</v>
      </c>
      <c r="L156"/>
      <c r="M156" s="394">
        <f t="shared" si="62"/>
        <v>4720418.2414225973</v>
      </c>
      <c r="N156" s="410">
        <f>SUMPRODUCT('2017 end use splits'!$F$78:$M$80*('2017 end use splits'!$C$78:$C$80='Census 2011_17'!B156)*('2017 end use splits'!$F$19:$M$19='Census 2011_17'!C156))</f>
        <v>1.5545788710218835E-2</v>
      </c>
      <c r="O156" s="85">
        <f t="shared" si="63"/>
        <v>73382.624605018456</v>
      </c>
      <c r="P156" s="425">
        <f>$N156-($N152*B$21)*$N156/(1-$N152)</f>
        <v>1.4189055333214542E-2</v>
      </c>
      <c r="Q156" s="425">
        <f>$N156-($N152*D$21)*$N156/(1-$N152)</f>
        <v>1.1604801281777795E-2</v>
      </c>
      <c r="R156" s="425">
        <f>$N156-($N152*F$21)*$N156/(1-$N152)</f>
        <v>1.1604801281777795E-2</v>
      </c>
      <c r="S156" s="425" t="e">
        <f>$N156-($N152*#REF!)*$N156/(1-$N152)</f>
        <v>#REF!</v>
      </c>
    </row>
    <row r="157" spans="1:19" ht="13.5" thickBot="1">
      <c r="A157" s="85" t="s">
        <v>13</v>
      </c>
      <c r="B157" s="95" t="s">
        <v>24</v>
      </c>
      <c r="C157" s="255" t="s">
        <v>46</v>
      </c>
      <c r="D157" s="243">
        <v>9339.2435200000036</v>
      </c>
      <c r="E157" s="243">
        <v>6422.9820594999037</v>
      </c>
      <c r="F157" s="93">
        <v>15762.225579499907</v>
      </c>
      <c r="G157" s="388"/>
      <c r="H157" s="92">
        <f t="shared" si="59"/>
        <v>2.6858594421130745E-3</v>
      </c>
      <c r="I157" s="92">
        <f t="shared" si="60"/>
        <v>1.2164903737687629E-2</v>
      </c>
      <c r="J157" s="92">
        <f t="shared" si="61"/>
        <v>3.9354572116177726E-3</v>
      </c>
      <c r="L157"/>
      <c r="M157" s="394">
        <f t="shared" si="62"/>
        <v>4720418.2414225973</v>
      </c>
      <c r="N157" s="410">
        <f>SUMPRODUCT('2017 end use splits'!$F$78:$M$80*('2017 end use splits'!$C$78:$C$80='Census 2011_17'!B157)*('2017 end use splits'!$F$19:$M$19='Census 2011_17'!C157))</f>
        <v>1.1993847382218523E-3</v>
      </c>
      <c r="O157" s="85">
        <f t="shared" si="63"/>
        <v>5661.5975967862987</v>
      </c>
      <c r="P157" s="425">
        <f>$N157-($N152*B$21)*$N157/(1-$N152)</f>
        <v>1.0947103896540313E-3</v>
      </c>
      <c r="Q157" s="425">
        <f>$N157-($N152*D$21)*$N157/(1-$N152)</f>
        <v>8.95330678096277E-4</v>
      </c>
      <c r="R157" s="425">
        <f>$N157-($N152*F$21)*$N157/(1-$N152)</f>
        <v>8.95330678096277E-4</v>
      </c>
      <c r="S157" s="425" t="e">
        <f>$N157-($N152*#REF!)*$N157/(1-$N152)</f>
        <v>#REF!</v>
      </c>
    </row>
    <row r="158" spans="1:19" ht="13.5" thickBot="1">
      <c r="A158" s="85" t="s">
        <v>13</v>
      </c>
      <c r="B158" s="95" t="s">
        <v>24</v>
      </c>
      <c r="C158" s="255" t="s">
        <v>44</v>
      </c>
      <c r="D158" s="243">
        <v>7773.7888474305737</v>
      </c>
      <c r="E158" s="243">
        <v>2240.5726533105872</v>
      </c>
      <c r="F158" s="93">
        <v>10014.361500741161</v>
      </c>
      <c r="G158" s="388"/>
      <c r="H158" s="92">
        <f t="shared" si="59"/>
        <v>2.2356526127787183E-3</v>
      </c>
      <c r="I158" s="92">
        <f t="shared" si="60"/>
        <v>4.2435663671993567E-3</v>
      </c>
      <c r="J158" s="92">
        <f t="shared" si="61"/>
        <v>2.5003506636205358E-3</v>
      </c>
      <c r="L158"/>
      <c r="M158" s="394">
        <f t="shared" si="62"/>
        <v>4720418.2414225973</v>
      </c>
      <c r="N158" s="410">
        <f>SUMPRODUCT('2017 end use splits'!$F$78:$M$80*('2017 end use splits'!$C$78:$C$80='Census 2011_17'!B158)*('2017 end use splits'!$F$19:$M$19='Census 2011_17'!C158))</f>
        <v>1.1346554197971313E-3</v>
      </c>
      <c r="O158" s="85">
        <f t="shared" si="63"/>
        <v>5356.0481413393936</v>
      </c>
      <c r="P158" s="425">
        <f>$N158-($N152*B$21)*$N158/(1-$N152)</f>
        <v>1.0356302170150002E-3</v>
      </c>
      <c r="Q158" s="425">
        <f>$N158-($N152*D$21)*$N158/(1-$N152)</f>
        <v>8.4701078314427429E-4</v>
      </c>
      <c r="R158" s="425">
        <f>$N158-($N152*F$21)*$N158/(1-$N152)</f>
        <v>8.4701078314427429E-4</v>
      </c>
      <c r="S158" s="425" t="e">
        <f>$N158-($N152*#REF!)*$N158/(1-$N152)</f>
        <v>#REF!</v>
      </c>
    </row>
    <row r="159" spans="1:19" ht="13.5" thickBot="1">
      <c r="A159" s="85" t="s">
        <v>13</v>
      </c>
      <c r="B159" s="95" t="s">
        <v>24</v>
      </c>
      <c r="C159" s="255" t="s">
        <v>41</v>
      </c>
      <c r="D159" s="243">
        <v>461.47362999999984</v>
      </c>
      <c r="E159" s="243">
        <v>190.31459000000018</v>
      </c>
      <c r="F159" s="93">
        <v>651.78822000000002</v>
      </c>
      <c r="G159" s="388"/>
      <c r="H159" s="92">
        <f t="shared" si="59"/>
        <v>1.3271452915510811E-4</v>
      </c>
      <c r="I159" s="92">
        <f t="shared" si="60"/>
        <v>3.6044918789758382E-4</v>
      </c>
      <c r="J159" s="92">
        <f t="shared" si="61"/>
        <v>1.6273619723997722E-4</v>
      </c>
      <c r="L159"/>
      <c r="M159" s="394">
        <f t="shared" si="62"/>
        <v>4720418.2414225973</v>
      </c>
      <c r="N159" s="410">
        <f>SUMPRODUCT('2017 end use splits'!$F$78:$M$80*('2017 end use splits'!$C$78:$C$80='Census 2011_17'!B159)*('2017 end use splits'!$F$19:$M$19='Census 2011_17'!C159))</f>
        <v>1.5669654744918549E-2</v>
      </c>
      <c r="O159" s="85">
        <f t="shared" si="63"/>
        <v>73967.32409470767</v>
      </c>
      <c r="P159" s="425">
        <f>$N159-($N152*B$21)*$N159/(1-$N152)</f>
        <v>1.4302111161582054E-2</v>
      </c>
      <c r="Q159" s="425">
        <f>$N159-($N152*D$21)*$N159/(1-$N152)</f>
        <v>1.1697266240941116E-2</v>
      </c>
      <c r="R159" s="425">
        <f>$N159-($N152*F$21)*$N159/(1-$N152)</f>
        <v>1.1697266240941116E-2</v>
      </c>
      <c r="S159" s="425" t="e">
        <f>$N159-($N152*#REF!)*$N159/(1-$N152)</f>
        <v>#REF!</v>
      </c>
    </row>
    <row r="160" spans="1:19" ht="13.5" thickBot="1">
      <c r="A160" s="85" t="s">
        <v>13</v>
      </c>
      <c r="B160" s="95" t="s">
        <v>24</v>
      </c>
      <c r="C160" s="252" t="s">
        <v>419</v>
      </c>
      <c r="D160" s="93">
        <v>3477189.9726265804</v>
      </c>
      <c r="E160" s="93">
        <v>527992.83890764427</v>
      </c>
      <c r="F160" s="105">
        <v>4005182.8115342241</v>
      </c>
      <c r="G160" s="388"/>
      <c r="H160" s="94">
        <f t="shared" si="59"/>
        <v>1</v>
      </c>
      <c r="I160" s="94">
        <f t="shared" si="60"/>
        <v>1</v>
      </c>
      <c r="J160" s="94">
        <f t="shared" si="61"/>
        <v>1</v>
      </c>
      <c r="K160" s="85">
        <f>F160/F129</f>
        <v>0.87186732798479827</v>
      </c>
      <c r="L160"/>
      <c r="P160" s="424">
        <f>SUM(P152:P159)</f>
        <v>0.99999999999999978</v>
      </c>
      <c r="Q160" s="424">
        <f t="shared" ref="Q160" si="64">SUM(Q152:Q159)</f>
        <v>0.99999999999999989</v>
      </c>
      <c r="R160" s="424">
        <f t="shared" ref="R160" si="65">SUM(R152:R159)</f>
        <v>0.99999999999999989</v>
      </c>
      <c r="S160" s="424" t="e">
        <f t="shared" ref="S160" si="66">SUM(S152:S159)</f>
        <v>#REF!</v>
      </c>
    </row>
    <row r="161" spans="1:19" ht="13.5" thickBot="1">
      <c r="A161" s="85" t="s">
        <v>13</v>
      </c>
      <c r="B161" s="253" t="s">
        <v>291</v>
      </c>
      <c r="C161" s="257"/>
      <c r="D161" s="89" t="s">
        <v>34</v>
      </c>
      <c r="E161" s="89" t="s">
        <v>33</v>
      </c>
      <c r="F161" s="89" t="s">
        <v>27</v>
      </c>
      <c r="G161" s="388"/>
      <c r="H161" s="89" t="s">
        <v>34</v>
      </c>
      <c r="I161" s="90" t="s">
        <v>33</v>
      </c>
      <c r="J161" s="89" t="s">
        <v>27</v>
      </c>
      <c r="L161"/>
    </row>
    <row r="162" spans="1:19" ht="13.5" thickBot="1">
      <c r="A162" s="85" t="s">
        <v>13</v>
      </c>
      <c r="B162" s="98" t="s">
        <v>25</v>
      </c>
      <c r="C162" s="254" t="s">
        <v>42</v>
      </c>
      <c r="D162" s="243">
        <v>2716677.6504021734</v>
      </c>
      <c r="E162" s="244"/>
      <c r="F162" s="93">
        <v>2716677.6504021734</v>
      </c>
      <c r="G162" s="388"/>
      <c r="H162" s="92">
        <f t="shared" ref="H162:H170" si="67">D162/D$170</f>
        <v>0.86520085934346214</v>
      </c>
      <c r="I162" s="92">
        <f t="shared" ref="I162:I170" si="68">E162/E$170</f>
        <v>0</v>
      </c>
      <c r="J162" s="92">
        <f t="shared" ref="J162:J170" si="69">F162/F$170</f>
        <v>0.84544349791843898</v>
      </c>
      <c r="L162"/>
      <c r="M162" s="394">
        <f t="shared" ref="M162:M169" si="70">SUMIFS($E$95:$E$106,$C$95:$C$106,A162,$B$95:$B$106,B162)</f>
        <v>3537127.916587804</v>
      </c>
      <c r="N162" s="410">
        <f>SUMPRODUCT('2017 end use splits'!$F$78:$M$80*('2017 end use splits'!$C$78:$C$80='Census 2011_17'!B162)*('2017 end use splits'!$F$19:$M$19='Census 2011_17'!C162))</f>
        <v>0.88748875773533431</v>
      </c>
      <c r="O162" s="85">
        <f>N162*M162</f>
        <v>3139161.2606434813</v>
      </c>
    </row>
    <row r="163" spans="1:19" ht="13.5" thickBot="1">
      <c r="A163" s="85" t="s">
        <v>13</v>
      </c>
      <c r="B163" s="98" t="s">
        <v>25</v>
      </c>
      <c r="C163" s="217" t="s">
        <v>43</v>
      </c>
      <c r="D163" s="243">
        <v>181127.04626012294</v>
      </c>
      <c r="E163" s="243">
        <v>8897.3064635065093</v>
      </c>
      <c r="F163" s="93">
        <v>190024.35272362945</v>
      </c>
      <c r="G163" s="388"/>
      <c r="H163" s="92">
        <f t="shared" si="67"/>
        <v>5.768489907199776E-2</v>
      </c>
      <c r="I163" s="92">
        <f t="shared" si="68"/>
        <v>0.12125314893013638</v>
      </c>
      <c r="J163" s="92">
        <f t="shared" si="69"/>
        <v>5.9136516779077337E-2</v>
      </c>
      <c r="L163"/>
      <c r="M163" s="394">
        <f t="shared" si="70"/>
        <v>3537127.916587804</v>
      </c>
      <c r="N163" s="410">
        <f>SUMPRODUCT('2017 end use splits'!$F$78:$M$80*('2017 end use splits'!$C$78:$C$80='Census 2011_17'!B163)*('2017 end use splits'!$F$19:$M$19='Census 2011_17'!C163))</f>
        <v>2.9750583534879138E-2</v>
      </c>
      <c r="O163" s="85">
        <f t="shared" ref="O163:O169" si="71">N163*M163</f>
        <v>105231.61955599848</v>
      </c>
    </row>
    <row r="164" spans="1:19" ht="13.5" thickBot="1">
      <c r="A164" s="85" t="s">
        <v>13</v>
      </c>
      <c r="B164" s="98" t="s">
        <v>25</v>
      </c>
      <c r="C164" s="255" t="s">
        <v>17</v>
      </c>
      <c r="D164" s="243">
        <v>104617.97237427889</v>
      </c>
      <c r="E164" s="243">
        <v>24945.347294456587</v>
      </c>
      <c r="F164" s="93">
        <v>129563.31966873548</v>
      </c>
      <c r="G164" s="388"/>
      <c r="H164" s="92">
        <f t="shared" si="67"/>
        <v>3.3318476186380404E-2</v>
      </c>
      <c r="I164" s="92">
        <f t="shared" si="68"/>
        <v>0.33995703340274253</v>
      </c>
      <c r="J164" s="92">
        <f t="shared" si="69"/>
        <v>4.0320744776784496E-2</v>
      </c>
      <c r="L164"/>
      <c r="M164" s="394">
        <f t="shared" si="70"/>
        <v>3537127.916587804</v>
      </c>
      <c r="N164" s="410">
        <f>SUMPRODUCT('2017 end use splits'!$F$78:$M$80*('2017 end use splits'!$C$78:$C$80='Census 2011_17'!B164)*('2017 end use splits'!$F$19:$M$19='Census 2011_17'!C164))</f>
        <v>2.8709673990794621E-2</v>
      </c>
      <c r="O164" s="85">
        <f t="shared" si="71"/>
        <v>101549.78934897445</v>
      </c>
    </row>
    <row r="165" spans="1:19" ht="13.5" thickBot="1">
      <c r="A165" s="85" t="s">
        <v>13</v>
      </c>
      <c r="B165" s="98" t="s">
        <v>25</v>
      </c>
      <c r="C165" s="255" t="s">
        <v>7</v>
      </c>
      <c r="D165" s="243">
        <v>94991.018443639536</v>
      </c>
      <c r="E165" s="243">
        <v>31192.971959115821</v>
      </c>
      <c r="F165" s="93">
        <v>126183.99040275536</v>
      </c>
      <c r="G165" s="388"/>
      <c r="H165" s="92">
        <f t="shared" si="67"/>
        <v>3.0252507423978271E-2</v>
      </c>
      <c r="I165" s="92">
        <f t="shared" si="68"/>
        <v>0.42510012328401026</v>
      </c>
      <c r="J165" s="92">
        <f t="shared" si="69"/>
        <v>3.9269080824373567E-2</v>
      </c>
      <c r="L165">
        <f>O165/M138</f>
        <v>2.3130511629596808E-2</v>
      </c>
      <c r="M165" s="394">
        <f t="shared" si="70"/>
        <v>3537127.916587804</v>
      </c>
      <c r="N165" s="410">
        <f>SUMPRODUCT('2017 end use splits'!$F$78:$M$80*('2017 end use splits'!$C$78:$C$80='Census 2011_17'!B165)*('2017 end use splits'!$F$19:$M$19='Census 2011_17'!C165))</f>
        <v>2.730875044816624E-2</v>
      </c>
      <c r="O165" s="85">
        <f t="shared" si="71"/>
        <v>96594.543577338511</v>
      </c>
    </row>
    <row r="166" spans="1:19" ht="13.5" thickBot="1">
      <c r="A166" s="85" t="s">
        <v>13</v>
      </c>
      <c r="B166" s="98" t="s">
        <v>25</v>
      </c>
      <c r="C166" s="255" t="s">
        <v>9</v>
      </c>
      <c r="D166" s="243">
        <v>24780.785080541897</v>
      </c>
      <c r="E166" s="243">
        <v>5749.2185641364485</v>
      </c>
      <c r="F166" s="93">
        <v>30530.003644678345</v>
      </c>
      <c r="G166" s="388"/>
      <c r="H166" s="92">
        <f t="shared" si="67"/>
        <v>7.8921238755420581E-3</v>
      </c>
      <c r="I166" s="92">
        <f t="shared" si="68"/>
        <v>7.8350774770817991E-2</v>
      </c>
      <c r="J166" s="92">
        <f t="shared" si="69"/>
        <v>9.5010878706932589E-3</v>
      </c>
      <c r="L166"/>
      <c r="M166" s="394">
        <f t="shared" si="70"/>
        <v>3537127.916587804</v>
      </c>
      <c r="N166" s="410">
        <f>SUMPRODUCT('2017 end use splits'!$F$78:$M$80*('2017 end use splits'!$C$78:$C$80='Census 2011_17'!B166)*('2017 end use splits'!$F$19:$M$19='Census 2011_17'!C166))</f>
        <v>4.9558253146998812E-3</v>
      </c>
      <c r="O166" s="85">
        <f t="shared" si="71"/>
        <v>17529.388070357491</v>
      </c>
    </row>
    <row r="167" spans="1:19" ht="13.5" thickBot="1">
      <c r="A167" s="85" t="s">
        <v>13</v>
      </c>
      <c r="B167" s="98" t="s">
        <v>25</v>
      </c>
      <c r="C167" s="255" t="s">
        <v>46</v>
      </c>
      <c r="D167" s="243">
        <v>3189.05645</v>
      </c>
      <c r="E167" s="243">
        <v>689.81220345881911</v>
      </c>
      <c r="F167" s="93">
        <v>3878.8686534588192</v>
      </c>
      <c r="G167" s="388"/>
      <c r="H167" s="92">
        <f t="shared" si="67"/>
        <v>1.0156429050853148E-3</v>
      </c>
      <c r="I167" s="92">
        <f t="shared" si="68"/>
        <v>9.4008116032516312E-3</v>
      </c>
      <c r="J167" s="92">
        <f t="shared" si="69"/>
        <v>1.2071230761812823E-3</v>
      </c>
      <c r="L167"/>
      <c r="M167" s="394">
        <f t="shared" si="70"/>
        <v>3537127.916587804</v>
      </c>
      <c r="N167" s="410">
        <f>SUMPRODUCT('2017 end use splits'!$F$78:$M$80*('2017 end use splits'!$C$78:$C$80='Census 2011_17'!B167)*('2017 end use splits'!$F$19:$M$19='Census 2011_17'!C167))</f>
        <v>3.4438034682351086E-4</v>
      </c>
      <c r="O167" s="85">
        <f t="shared" si="71"/>
        <v>1218.1173386736302</v>
      </c>
    </row>
    <row r="168" spans="1:19" ht="13.5" thickBot="1">
      <c r="A168" s="85" t="s">
        <v>13</v>
      </c>
      <c r="B168" s="98" t="s">
        <v>25</v>
      </c>
      <c r="C168" s="255" t="s">
        <v>44</v>
      </c>
      <c r="D168" s="243">
        <v>13916.041072552209</v>
      </c>
      <c r="E168" s="243">
        <v>1852.3167109572896</v>
      </c>
      <c r="F168" s="93">
        <v>15768.357783509498</v>
      </c>
      <c r="G168" s="388"/>
      <c r="H168" s="92">
        <f t="shared" si="67"/>
        <v>4.4319467540982179E-3</v>
      </c>
      <c r="I168" s="92">
        <f t="shared" si="68"/>
        <v>2.5243508801310641E-2</v>
      </c>
      <c r="J168" s="92">
        <f t="shared" si="69"/>
        <v>4.9071907956934726E-3</v>
      </c>
      <c r="L168"/>
      <c r="M168" s="394">
        <f t="shared" si="70"/>
        <v>3537127.916587804</v>
      </c>
      <c r="N168" s="410">
        <f>SUMPRODUCT('2017 end use splits'!$F$78:$M$80*('2017 end use splits'!$C$78:$C$80='Census 2011_17'!B168)*('2017 end use splits'!$F$19:$M$19='Census 2011_17'!C168))</f>
        <v>2.0845844722766804E-3</v>
      </c>
      <c r="O168" s="85">
        <f t="shared" si="71"/>
        <v>7373.4419313753015</v>
      </c>
    </row>
    <row r="169" spans="1:19" ht="13.5" thickBot="1">
      <c r="A169" s="85" t="s">
        <v>13</v>
      </c>
      <c r="B169" s="98" t="s">
        <v>25</v>
      </c>
      <c r="C169" s="255" t="s">
        <v>41</v>
      </c>
      <c r="D169" s="243">
        <v>639.11705999999981</v>
      </c>
      <c r="E169" s="243">
        <v>50.9682600000001</v>
      </c>
      <c r="F169" s="93">
        <v>690.08531999999991</v>
      </c>
      <c r="G169" s="388"/>
      <c r="H169" s="92">
        <f t="shared" si="67"/>
        <v>2.0354443945574727E-4</v>
      </c>
      <c r="I169" s="92">
        <f t="shared" si="68"/>
        <v>6.9459920773081991E-4</v>
      </c>
      <c r="J169" s="92">
        <f t="shared" si="69"/>
        <v>2.1475795875767421E-4</v>
      </c>
      <c r="L169"/>
      <c r="M169" s="394">
        <f t="shared" si="70"/>
        <v>3537127.916587804</v>
      </c>
      <c r="N169" s="410">
        <f>SUMPRODUCT('2017 end use splits'!$F$78:$M$80*('2017 end use splits'!$C$78:$C$80='Census 2011_17'!B169)*('2017 end use splits'!$F$19:$M$19='Census 2011_17'!C169))</f>
        <v>1.9357444157025498E-2</v>
      </c>
      <c r="O169" s="85">
        <f t="shared" si="71"/>
        <v>68469.756121604354</v>
      </c>
    </row>
    <row r="170" spans="1:19" ht="13.5" thickBot="1">
      <c r="A170" s="85" t="s">
        <v>13</v>
      </c>
      <c r="B170" s="98" t="s">
        <v>25</v>
      </c>
      <c r="C170" s="252" t="s">
        <v>419</v>
      </c>
      <c r="D170" s="93">
        <v>3139938.687143309</v>
      </c>
      <c r="E170" s="93">
        <v>73377.941455631459</v>
      </c>
      <c r="F170" s="105">
        <v>3213316.6285989401</v>
      </c>
      <c r="G170" s="389"/>
      <c r="H170" s="94">
        <f t="shared" si="67"/>
        <v>1</v>
      </c>
      <c r="I170" s="94">
        <f t="shared" si="68"/>
        <v>1</v>
      </c>
      <c r="J170" s="94">
        <f t="shared" si="69"/>
        <v>1</v>
      </c>
      <c r="K170" s="85">
        <f>F170/F139</f>
        <v>0.9325514506385093</v>
      </c>
      <c r="L170"/>
    </row>
    <row r="172" spans="1:19" ht="13.5" thickBot="1">
      <c r="C172" s="85" t="s">
        <v>423</v>
      </c>
      <c r="D172" s="220">
        <f>D150+D160+D170</f>
        <v>10895201.751889</v>
      </c>
      <c r="E172" s="220">
        <f>E150+E160+E170</f>
        <v>1733660.4583000005</v>
      </c>
    </row>
    <row r="173" spans="1:19" ht="13.5" thickBot="1">
      <c r="A173" s="85" t="s">
        <v>14</v>
      </c>
      <c r="B173" s="99" t="s">
        <v>879</v>
      </c>
      <c r="C173" s="100"/>
      <c r="D173" s="101"/>
      <c r="E173" s="101"/>
      <c r="F173" s="103"/>
    </row>
    <row r="174" spans="1:19" ht="13.5" thickBot="1">
      <c r="A174" s="85" t="s">
        <v>14</v>
      </c>
      <c r="B174" s="251" t="s">
        <v>289</v>
      </c>
      <c r="C174" s="104"/>
      <c r="D174" s="89" t="s">
        <v>34</v>
      </c>
      <c r="E174" s="89" t="s">
        <v>33</v>
      </c>
      <c r="F174" s="89" t="s">
        <v>27</v>
      </c>
      <c r="P174" s="423">
        <f>P141</f>
        <v>2020</v>
      </c>
      <c r="Q174" s="423">
        <f t="shared" ref="Q174:S174" si="72">Q141</f>
        <v>2030</v>
      </c>
      <c r="R174" s="423">
        <f t="shared" si="72"/>
        <v>2040</v>
      </c>
      <c r="S174" s="423" t="e">
        <f t="shared" si="72"/>
        <v>#REF!</v>
      </c>
    </row>
    <row r="175" spans="1:19" ht="13.5" thickBot="1">
      <c r="A175" s="85" t="s">
        <v>14</v>
      </c>
      <c r="B175" s="212" t="s">
        <v>22</v>
      </c>
      <c r="C175" s="254" t="s">
        <v>42</v>
      </c>
      <c r="D175" s="243">
        <v>3081508.5867071724</v>
      </c>
      <c r="E175" s="244"/>
      <c r="F175" s="93">
        <v>3081508.5867071724</v>
      </c>
      <c r="M175" s="394">
        <f t="shared" ref="M175:M182" si="73">SUMIFS($E$95:$E$106,$C$95:$C$106,A175,$B$95:$B$106,B175)</f>
        <v>7566611.6634939834</v>
      </c>
      <c r="N175" s="410">
        <f>SUMPRODUCT('2017 end use splits'!$F$63:$M$65*('2017 end use splits'!$C$63:$C$65='Census 2011_17'!B175)*('2017 end use splits'!$F$19:$M$19='Census 2011_17'!C175))</f>
        <v>0.67539936490784724</v>
      </c>
      <c r="O175" s="85">
        <f>N175*M175</f>
        <v>5110484.7120281458</v>
      </c>
      <c r="P175" s="410">
        <f>$N175*(1+B$20)</f>
        <v>0.70514778717948168</v>
      </c>
      <c r="Q175" s="410">
        <f>$N175*(1+D$20)</f>
        <v>0.74921952387819923</v>
      </c>
      <c r="R175" s="410">
        <f>$N175*(1+F$20)</f>
        <v>0.79329126057691679</v>
      </c>
      <c r="S175" s="410" t="e">
        <f>$N175*(1+#REF!)</f>
        <v>#REF!</v>
      </c>
    </row>
    <row r="176" spans="1:19" ht="13.5" thickBot="1">
      <c r="A176" s="85" t="s">
        <v>14</v>
      </c>
      <c r="B176" s="212" t="s">
        <v>22</v>
      </c>
      <c r="C176" s="217" t="s">
        <v>43</v>
      </c>
      <c r="D176" s="243">
        <v>62628.608320861553</v>
      </c>
      <c r="E176" s="243">
        <v>31494.773135572344</v>
      </c>
      <c r="F176" s="93">
        <v>94123.381456433897</v>
      </c>
      <c r="M176" s="394">
        <f t="shared" si="73"/>
        <v>7566611.6634939834</v>
      </c>
      <c r="N176" s="410">
        <f>SUMPRODUCT('2017 end use splits'!$F$63:$M$65*('2017 end use splits'!$C$63:$C$65='Census 2011_17'!B176)*('2017 end use splits'!$F$19:$M$19='Census 2011_17'!C176))</f>
        <v>2.9346534589993849E-2</v>
      </c>
      <c r="O176" s="85">
        <f t="shared" ref="O176:O182" si="74">N176*M176</f>
        <v>222053.8309117771</v>
      </c>
      <c r="P176" s="425">
        <f>$N176-($N175*B$20)*$N176/(1-$N175)</f>
        <v>2.6657035529265214E-2</v>
      </c>
      <c r="Q176" s="425">
        <f>$N176-($N175*D$20)*$N176/(1-$N175)</f>
        <v>2.2672592476333915E-2</v>
      </c>
      <c r="R176" s="425">
        <f>$N176-($N175*F$20)*$N176/(1-$N175)</f>
        <v>1.8688149423402606E-2</v>
      </c>
      <c r="S176" s="425" t="e">
        <f>$N176-($N175*#REF!)*$N176/(1-$N175)</f>
        <v>#REF!</v>
      </c>
    </row>
    <row r="177" spans="1:19" ht="13.5" thickBot="1">
      <c r="A177" s="85" t="s">
        <v>14</v>
      </c>
      <c r="B177" s="212" t="s">
        <v>22</v>
      </c>
      <c r="C177" s="255" t="s">
        <v>17</v>
      </c>
      <c r="D177" s="243">
        <v>317013.56851814012</v>
      </c>
      <c r="E177" s="243">
        <v>368680.93067894573</v>
      </c>
      <c r="F177" s="93">
        <v>685694.49919708585</v>
      </c>
      <c r="M177" s="394">
        <f t="shared" si="73"/>
        <v>7566611.6634939834</v>
      </c>
      <c r="N177" s="410">
        <f>SUMPRODUCT('2017 end use splits'!$F$63:$M$65*('2017 end use splits'!$C$63:$C$65='Census 2011_17'!B177)*('2017 end use splits'!$F$19:$M$19='Census 2011_17'!C177))</f>
        <v>0.1084836958109595</v>
      </c>
      <c r="O177" s="85">
        <f t="shared" si="74"/>
        <v>820853.99802213954</v>
      </c>
      <c r="P177" s="425">
        <f>$N177-($N175*B$20)*$N177/(1-$N175)</f>
        <v>9.8541574805386695E-2</v>
      </c>
      <c r="Q177" s="425">
        <f>$N177-($N175*D$20)*$N177/(1-$N175)</f>
        <v>8.3812506648982599E-2</v>
      </c>
      <c r="R177" s="425">
        <f>$N177-($N175*F$20)*$N177/(1-$N175)</f>
        <v>6.9083438492578475E-2</v>
      </c>
      <c r="S177" s="425" t="e">
        <f>$N177-($N175*#REF!)*$N177/(1-$N175)</f>
        <v>#REF!</v>
      </c>
    </row>
    <row r="178" spans="1:19" ht="13.5" thickBot="1">
      <c r="A178" s="85" t="s">
        <v>14</v>
      </c>
      <c r="B178" s="212" t="s">
        <v>22</v>
      </c>
      <c r="C178" s="255" t="s">
        <v>7</v>
      </c>
      <c r="D178" s="243">
        <v>707418.62578458106</v>
      </c>
      <c r="E178" s="243">
        <v>647643.26239992585</v>
      </c>
      <c r="F178" s="93">
        <v>1355061.8881845069</v>
      </c>
      <c r="L178" s="85">
        <f>O178/M111</f>
        <v>0.17487462183036445</v>
      </c>
      <c r="M178" s="394">
        <f t="shared" si="73"/>
        <v>7566611.6634939834</v>
      </c>
      <c r="N178" s="410">
        <f>SUMPRODUCT('2017 end use splits'!$F$63:$M$65*('2017 end use splits'!$C$63:$C$65='Census 2011_17'!B178)*('2017 end use splits'!$F$19:$M$19='Census 2011_17'!C178))</f>
        <v>0.17753768713742585</v>
      </c>
      <c r="O178" s="85">
        <f t="shared" si="74"/>
        <v>1343358.7342037922</v>
      </c>
      <c r="P178" s="425">
        <f>$N178-($N175*B$20)*$N178/(1-$N175)</f>
        <v>0.16126702862625542</v>
      </c>
      <c r="Q178" s="425">
        <f>$N178-($N175*D$20)*$N178/(1-$N175)</f>
        <v>0.13716234935044741</v>
      </c>
      <c r="R178" s="425">
        <f>$N178-($N175*F$20)*$N178/(1-$N175)</f>
        <v>0.11305767007463939</v>
      </c>
      <c r="S178" s="425" t="e">
        <f>$N178-($N175*#REF!)*$N178/(1-$N175)</f>
        <v>#REF!</v>
      </c>
    </row>
    <row r="179" spans="1:19" ht="13.5" thickBot="1">
      <c r="A179" s="85" t="s">
        <v>14</v>
      </c>
      <c r="B179" s="212" t="s">
        <v>22</v>
      </c>
      <c r="C179" s="255" t="s">
        <v>9</v>
      </c>
      <c r="D179" s="243">
        <v>85193.125128337517</v>
      </c>
      <c r="E179" s="243">
        <v>66483.691339507684</v>
      </c>
      <c r="F179" s="93">
        <v>151676.8164678452</v>
      </c>
      <c r="M179" s="394">
        <f t="shared" si="73"/>
        <v>7566611.6634939834</v>
      </c>
      <c r="N179" s="410">
        <f>SUMPRODUCT('2017 end use splits'!$F$63:$M$65*('2017 end use splits'!$C$63:$C$65='Census 2011_17'!B179)*('2017 end use splits'!$F$19:$M$19='Census 2011_17'!C179))</f>
        <v>5.3717268482180577E-3</v>
      </c>
      <c r="O179" s="85">
        <f t="shared" si="74"/>
        <v>40645.77102283053</v>
      </c>
      <c r="P179" s="425">
        <f>$N179-($N175*B$20)*$N179/(1-$N175)</f>
        <v>4.8794283702335642E-3</v>
      </c>
      <c r="Q179" s="425">
        <f>$N179-($N175*D$20)*$N179/(1-$N175)</f>
        <v>4.1500972917380211E-3</v>
      </c>
      <c r="R179" s="425">
        <f>$N179-($N175*F$20)*$N179/(1-$N175)</f>
        <v>3.4207662132424762E-3</v>
      </c>
      <c r="S179" s="425" t="e">
        <f>$N179-($N175*#REF!)*$N179/(1-$N175)</f>
        <v>#REF!</v>
      </c>
    </row>
    <row r="180" spans="1:19" ht="13.5" thickBot="1">
      <c r="A180" s="85" t="s">
        <v>14</v>
      </c>
      <c r="B180" s="212" t="s">
        <v>22</v>
      </c>
      <c r="C180" s="255" t="s">
        <v>46</v>
      </c>
      <c r="D180" s="243">
        <v>14645.409400000008</v>
      </c>
      <c r="E180" s="243">
        <v>13964.02620704125</v>
      </c>
      <c r="F180" s="93">
        <v>28609.435607041258</v>
      </c>
      <c r="M180" s="394">
        <f t="shared" si="73"/>
        <v>7566611.6634939834</v>
      </c>
      <c r="N180" s="410">
        <f>SUMPRODUCT('2017 end use splits'!$F$63:$M$65*('2017 end use splits'!$C$63:$C$65='Census 2011_17'!B180)*('2017 end use splits'!$F$19:$M$19='Census 2011_17'!C180))</f>
        <v>1.0754811389595148E-3</v>
      </c>
      <c r="O180" s="85">
        <f t="shared" si="74"/>
        <v>8137.7481299188585</v>
      </c>
      <c r="P180" s="425">
        <f>$N180-($N175*B$20)*$N180/(1-$N175)</f>
        <v>9.7691735439432714E-4</v>
      </c>
      <c r="Q180" s="425">
        <f>$N180-($N175*D$20)*$N180/(1-$N175)</f>
        <v>8.3089693281627216E-4</v>
      </c>
      <c r="R180" s="425">
        <f>$N180-($N175*F$20)*$N180/(1-$N175)</f>
        <v>6.8487651123821664E-4</v>
      </c>
      <c r="S180" s="425" t="e">
        <f>$N180-($N175*#REF!)*$N180/(1-$N175)</f>
        <v>#REF!</v>
      </c>
    </row>
    <row r="181" spans="1:19" ht="13.5" thickBot="1">
      <c r="A181" s="85" t="s">
        <v>14</v>
      </c>
      <c r="B181" s="212" t="s">
        <v>22</v>
      </c>
      <c r="C181" s="255" t="s">
        <v>44</v>
      </c>
      <c r="D181" s="243">
        <v>9013.8614900172215</v>
      </c>
      <c r="E181" s="243">
        <v>3573.7073757321177</v>
      </c>
      <c r="F181" s="93">
        <v>12587.568865749339</v>
      </c>
      <c r="M181" s="394">
        <f t="shared" si="73"/>
        <v>7566611.6634939834</v>
      </c>
      <c r="N181" s="410">
        <f>SUMPRODUCT('2017 end use splits'!$F$63:$M$65*('2017 end use splits'!$C$63:$C$65='Census 2011_17'!B181)*('2017 end use splits'!$F$19:$M$19='Census 2011_17'!C181))</f>
        <v>8.6720985003431331E-4</v>
      </c>
      <c r="O181" s="85">
        <f t="shared" si="74"/>
        <v>6561.8401659665033</v>
      </c>
      <c r="P181" s="425">
        <f>$N181-($N175*B$20)*$N181/(1-$N175)</f>
        <v>7.8773334251109933E-4</v>
      </c>
      <c r="Q181" s="425">
        <f>$N181-($N175*D$20)*$N181/(1-$N175)</f>
        <v>6.6999036840263444E-4</v>
      </c>
      <c r="R181" s="425">
        <f>$N181-($N175*F$20)*$N181/(1-$N175)</f>
        <v>5.5224739429416943E-4</v>
      </c>
      <c r="S181" s="425" t="e">
        <f>$N181-($N175*#REF!)*$N181/(1-$N175)</f>
        <v>#REF!</v>
      </c>
    </row>
    <row r="182" spans="1:19" ht="13.5" thickBot="1">
      <c r="A182" s="85" t="s">
        <v>14</v>
      </c>
      <c r="B182" s="212" t="s">
        <v>22</v>
      </c>
      <c r="C182" s="255" t="s">
        <v>41</v>
      </c>
      <c r="D182" s="243">
        <v>651.30676999999969</v>
      </c>
      <c r="E182" s="243">
        <v>449.28679999999986</v>
      </c>
      <c r="F182" s="93">
        <v>1100.5935699999995</v>
      </c>
      <c r="M182" s="394">
        <f t="shared" si="73"/>
        <v>7566611.6634939834</v>
      </c>
      <c r="N182" s="410">
        <f>SUMPRODUCT('2017 end use splits'!$F$63:$M$65*('2017 end use splits'!$C$63:$C$65='Census 2011_17'!B182)*('2017 end use splits'!$F$19:$M$19='Census 2011_17'!C182))</f>
        <v>1.9182997165616295E-3</v>
      </c>
      <c r="O182" s="85">
        <f t="shared" si="74"/>
        <v>14515.029009412428</v>
      </c>
      <c r="P182" s="425">
        <f>$N182-($N175*B$20)*$N182/(1-$N175)</f>
        <v>1.7424947924719674E-3</v>
      </c>
      <c r="Q182" s="425">
        <f>$N182-($N175*D$20)*$N182/(1-$N175)</f>
        <v>1.4820430530798764E-3</v>
      </c>
      <c r="R182" s="425">
        <f>$N182-($N175*F$20)*$N182/(1-$N175)</f>
        <v>1.2215913136877847E-3</v>
      </c>
      <c r="S182" s="425" t="e">
        <f>$N182-($N175*#REF!)*$N182/(1-$N175)</f>
        <v>#REF!</v>
      </c>
    </row>
    <row r="183" spans="1:19" ht="13.5" thickBot="1">
      <c r="A183" s="85" t="s">
        <v>14</v>
      </c>
      <c r="B183" s="212" t="s">
        <v>22</v>
      </c>
      <c r="C183" s="252" t="s">
        <v>419</v>
      </c>
      <c r="D183" s="93">
        <v>4278073.0921191098</v>
      </c>
      <c r="E183" s="93">
        <v>1132289.6779367246</v>
      </c>
      <c r="F183" s="105">
        <v>5410362.7700558333</v>
      </c>
      <c r="P183" s="424">
        <f>SUM(P175:P182)</f>
        <v>1</v>
      </c>
      <c r="Q183" s="424">
        <f t="shared" ref="Q183" si="75">SUM(Q175:Q182)</f>
        <v>0.99999999999999989</v>
      </c>
      <c r="R183" s="424">
        <f t="shared" ref="R183" si="76">SUM(R175:R182)</f>
        <v>0.99999999999999989</v>
      </c>
      <c r="S183" s="424" t="e">
        <f t="shared" ref="S183" si="77">SUM(S175:S182)</f>
        <v>#REF!</v>
      </c>
    </row>
    <row r="184" spans="1:19" ht="13.5" thickBot="1">
      <c r="A184" s="85" t="s">
        <v>14</v>
      </c>
      <c r="B184" s="251" t="s">
        <v>290</v>
      </c>
      <c r="C184" s="256"/>
      <c r="D184" s="89" t="s">
        <v>34</v>
      </c>
      <c r="E184" s="89" t="s">
        <v>33</v>
      </c>
      <c r="F184" s="89" t="s">
        <v>27</v>
      </c>
    </row>
    <row r="185" spans="1:19" ht="13.5" thickBot="1">
      <c r="A185" s="85" t="s">
        <v>14</v>
      </c>
      <c r="B185" s="95" t="s">
        <v>24</v>
      </c>
      <c r="C185" s="254" t="s">
        <v>42</v>
      </c>
      <c r="D185" s="243">
        <v>2656996.5305898534</v>
      </c>
      <c r="E185" s="244"/>
      <c r="F185" s="93">
        <v>2656996.5305898534</v>
      </c>
      <c r="M185" s="394">
        <f t="shared" ref="M185:M192" si="78">SUMIFS($E$95:$E$106,$C$95:$C$106,A185,$B$95:$B$106,B185)</f>
        <v>5489506.4554914497</v>
      </c>
      <c r="N185" s="410">
        <f>SUMPRODUCT('2017 end use splits'!$F$63:$M$65*('2017 end use splits'!$C$63:$C$65='Census 2011_17'!B185)*('2017 end use splits'!$F$19:$M$19='Census 2011_17'!C185))</f>
        <v>0.75206479821323602</v>
      </c>
      <c r="O185" s="85">
        <f>N185*M185</f>
        <v>4128464.5647394336</v>
      </c>
      <c r="P185" s="410">
        <f>$N185*(1+B$21)</f>
        <v>0.77465901961878381</v>
      </c>
      <c r="Q185" s="410">
        <f>$N185*(1+D$21)</f>
        <v>0.81769563181982741</v>
      </c>
      <c r="R185" s="410">
        <f>$N185*(1+F$21)</f>
        <v>0.81769563181982741</v>
      </c>
      <c r="S185" s="410" t="e">
        <f>$N185*(1+#REF!)</f>
        <v>#REF!</v>
      </c>
    </row>
    <row r="186" spans="1:19" ht="13.5" thickBot="1">
      <c r="A186" s="85" t="s">
        <v>14</v>
      </c>
      <c r="B186" s="95" t="s">
        <v>24</v>
      </c>
      <c r="C186" s="217" t="s">
        <v>43</v>
      </c>
      <c r="D186" s="243">
        <v>53331.24894901544</v>
      </c>
      <c r="E186" s="243">
        <v>19583.217780920982</v>
      </c>
      <c r="F186" s="93">
        <v>72914.466729936423</v>
      </c>
      <c r="M186" s="394">
        <f t="shared" si="78"/>
        <v>5489506.4554914497</v>
      </c>
      <c r="N186" s="410">
        <f>SUMPRODUCT('2017 end use splits'!$F$63:$M$65*('2017 end use splits'!$C$63:$C$65='Census 2011_17'!B186)*('2017 end use splits'!$F$19:$M$19='Census 2011_17'!C186))</f>
        <v>2.9763913859880756E-2</v>
      </c>
      <c r="O186" s="85">
        <f t="shared" ref="O186:O192" si="79">N186*M186</f>
        <v>163389.19727450685</v>
      </c>
      <c r="P186" s="425">
        <f>$N186-($N185*B$21)*$N186/(1-$N185)</f>
        <v>2.7051542019176283E-2</v>
      </c>
      <c r="Q186" s="425">
        <f>$N186-($N185*D$21)*$N186/(1-$N185)</f>
        <v>2.1885119465453476E-2</v>
      </c>
      <c r="R186" s="425">
        <f>$N186-($N185*F$21)*$N186/(1-$N185)</f>
        <v>2.1885119465453476E-2</v>
      </c>
      <c r="S186" s="425" t="e">
        <f>$N186-($N185*#REF!)*$N186/(1-$N185)</f>
        <v>#REF!</v>
      </c>
    </row>
    <row r="187" spans="1:19" ht="13.5" thickBot="1">
      <c r="A187" s="85" t="s">
        <v>14</v>
      </c>
      <c r="B187" s="95" t="s">
        <v>24</v>
      </c>
      <c r="C187" s="255" t="s">
        <v>17</v>
      </c>
      <c r="D187" s="243">
        <v>247371.6675775809</v>
      </c>
      <c r="E187" s="243">
        <v>167593.45760659792</v>
      </c>
      <c r="F187" s="93">
        <v>414965.12518417882</v>
      </c>
      <c r="M187" s="394">
        <f t="shared" si="78"/>
        <v>5489506.4554914497</v>
      </c>
      <c r="N187" s="410">
        <f>SUMPRODUCT('2017 end use splits'!$F$63:$M$65*('2017 end use splits'!$C$63:$C$65='Census 2011_17'!B187)*('2017 end use splits'!$F$19:$M$19='Census 2011_17'!C187))</f>
        <v>8.5953276691331709E-2</v>
      </c>
      <c r="O187" s="85">
        <f t="shared" si="79"/>
        <v>471841.06726770819</v>
      </c>
      <c r="P187" s="425">
        <f>$N187-($N185*B$21)*$N187/(1-$N185)</f>
        <v>7.8120393945756442E-2</v>
      </c>
      <c r="Q187" s="425">
        <f>$N187-($N185*D$21)*$N187/(1-$N185)</f>
        <v>6.3200617287517871E-2</v>
      </c>
      <c r="R187" s="425">
        <f>$N187-($N185*F$21)*$N187/(1-$N185)</f>
        <v>6.3200617287517871E-2</v>
      </c>
      <c r="S187" s="425" t="e">
        <f>$N187-($N185*#REF!)*$N187/(1-$N185)</f>
        <v>#REF!</v>
      </c>
    </row>
    <row r="188" spans="1:19" ht="13.5" thickBot="1">
      <c r="A188" s="85" t="s">
        <v>14</v>
      </c>
      <c r="B188" s="95" t="s">
        <v>24</v>
      </c>
      <c r="C188" s="255" t="s">
        <v>7</v>
      </c>
      <c r="D188" s="243">
        <v>428214.74790157954</v>
      </c>
      <c r="E188" s="243">
        <v>293921.69641095906</v>
      </c>
      <c r="F188" s="93">
        <v>722136.4443125386</v>
      </c>
      <c r="L188" s="85">
        <f>O188/M121</f>
        <v>0.12201239514156337</v>
      </c>
      <c r="M188" s="394">
        <f t="shared" si="78"/>
        <v>5489506.4554914497</v>
      </c>
      <c r="N188" s="410">
        <f>SUMPRODUCT('2017 end use splits'!$F$63:$M$65*('2017 end use splits'!$C$63:$C$65='Census 2011_17'!B188)*('2017 end use splits'!$F$19:$M$19='Census 2011_17'!C188))</f>
        <v>0.1238704519203689</v>
      </c>
      <c r="O188" s="85">
        <f t="shared" si="79"/>
        <v>679987.64546150831</v>
      </c>
      <c r="P188" s="425">
        <f>$N188-($N185*B$21)*$N188/(1-$N185)</f>
        <v>0.11258219435901967</v>
      </c>
      <c r="Q188" s="425">
        <f>$N188-($N185*D$21)*$N188/(1-$N185)</f>
        <v>9.1080751385021169E-2</v>
      </c>
      <c r="R188" s="425">
        <f>$N188-($N185*F$21)*$N188/(1-$N185)</f>
        <v>9.1080751385021169E-2</v>
      </c>
      <c r="S188" s="425" t="e">
        <f>$N188-($N185*#REF!)*$N188/(1-$N185)</f>
        <v>#REF!</v>
      </c>
    </row>
    <row r="189" spans="1:19" ht="13.5" thickBot="1">
      <c r="A189" s="85" t="s">
        <v>14</v>
      </c>
      <c r="B189" s="95" t="s">
        <v>24</v>
      </c>
      <c r="C189" s="255" t="s">
        <v>9</v>
      </c>
      <c r="D189" s="243">
        <v>73701.271611120595</v>
      </c>
      <c r="E189" s="243">
        <v>38040.597806355872</v>
      </c>
      <c r="F189" s="93">
        <v>111741.86941747647</v>
      </c>
      <c r="M189" s="394">
        <f t="shared" si="78"/>
        <v>5489506.4554914497</v>
      </c>
      <c r="N189" s="410">
        <f>SUMPRODUCT('2017 end use splits'!$F$63:$M$65*('2017 end use splits'!$C$63:$C$65='Census 2011_17'!B189)*('2017 end use splits'!$F$19:$M$19='Census 2011_17'!C189))</f>
        <v>5.1811680697926811E-3</v>
      </c>
      <c r="O189" s="85">
        <f t="shared" si="79"/>
        <v>28442.055566113097</v>
      </c>
      <c r="P189" s="425">
        <f>$N189-($N185*B$21)*$N189/(1-$N185)</f>
        <v>4.7090105961277197E-3</v>
      </c>
      <c r="Q189" s="425">
        <f>$N189-($N185*D$21)*$N189/(1-$N185)</f>
        <v>3.8096630272420806E-3</v>
      </c>
      <c r="R189" s="425">
        <f>$N189-($N185*F$21)*$N189/(1-$N185)</f>
        <v>3.8096630272420806E-3</v>
      </c>
      <c r="S189" s="425" t="e">
        <f>$N189-($N185*#REF!)*$N189/(1-$N185)</f>
        <v>#REF!</v>
      </c>
    </row>
    <row r="190" spans="1:19" ht="13.5" thickBot="1">
      <c r="A190" s="85" t="s">
        <v>14</v>
      </c>
      <c r="B190" s="95" t="s">
        <v>24</v>
      </c>
      <c r="C190" s="255" t="s">
        <v>46</v>
      </c>
      <c r="D190" s="243">
        <v>9339.2435200000036</v>
      </c>
      <c r="E190" s="243">
        <v>6422.9820594999037</v>
      </c>
      <c r="F190" s="93">
        <v>15762.225579499907</v>
      </c>
      <c r="M190" s="394">
        <f t="shared" si="78"/>
        <v>5489506.4554914497</v>
      </c>
      <c r="N190" s="410">
        <f>SUMPRODUCT('2017 end use splits'!$F$63:$M$65*('2017 end use splits'!$C$63:$C$65='Census 2011_17'!B190)*('2017 end use splits'!$F$19:$M$19='Census 2011_17'!C190))</f>
        <v>7.7576124276791994E-4</v>
      </c>
      <c r="O190" s="85">
        <f t="shared" si="79"/>
        <v>4258.5463500945662</v>
      </c>
      <c r="P190" s="425">
        <f>$N190-($N185*B$21)*$N190/(1-$N185)</f>
        <v>7.0506647594728903E-4</v>
      </c>
      <c r="Q190" s="425">
        <f>$N190-($N185*D$21)*$N190/(1-$N185)</f>
        <v>5.7040977724132568E-4</v>
      </c>
      <c r="R190" s="425">
        <f>$N190-($N185*F$21)*$N190/(1-$N185)</f>
        <v>5.7040977724132568E-4</v>
      </c>
      <c r="S190" s="425" t="e">
        <f>$N190-($N185*#REF!)*$N190/(1-$N185)</f>
        <v>#REF!</v>
      </c>
    </row>
    <row r="191" spans="1:19" ht="13.5" thickBot="1">
      <c r="A191" s="85" t="s">
        <v>14</v>
      </c>
      <c r="B191" s="95" t="s">
        <v>24</v>
      </c>
      <c r="C191" s="255" t="s">
        <v>44</v>
      </c>
      <c r="D191" s="243">
        <v>7773.7888474305737</v>
      </c>
      <c r="E191" s="243">
        <v>2240.5726533105872</v>
      </c>
      <c r="F191" s="93">
        <v>10014.361500741161</v>
      </c>
      <c r="M191" s="394">
        <f t="shared" si="78"/>
        <v>5489506.4554914497</v>
      </c>
      <c r="N191" s="410">
        <f>SUMPRODUCT('2017 end use splits'!$F$63:$M$65*('2017 end use splits'!$C$63:$C$65='Census 2011_17'!B191)*('2017 end use splits'!$F$19:$M$19='Census 2011_17'!C191))</f>
        <v>9.0328050830501539E-4</v>
      </c>
      <c r="O191" s="85">
        <f t="shared" si="79"/>
        <v>4958.5641814599803</v>
      </c>
      <c r="P191" s="425">
        <f>$N191-($N185*B$21)*$N191/(1-$N185)</f>
        <v>8.2096496920898996E-4</v>
      </c>
      <c r="Q191" s="425">
        <f>$N191-($N185*D$21)*$N191/(1-$N185)</f>
        <v>6.6417346616894166E-4</v>
      </c>
      <c r="R191" s="425">
        <f>$N191-($N185*F$21)*$N191/(1-$N185)</f>
        <v>6.6417346616894166E-4</v>
      </c>
      <c r="S191" s="425" t="e">
        <f>$N191-($N185*#REF!)*$N191/(1-$N185)</f>
        <v>#REF!</v>
      </c>
    </row>
    <row r="192" spans="1:19" ht="13.5" thickBot="1">
      <c r="A192" s="85" t="s">
        <v>14</v>
      </c>
      <c r="B192" s="95" t="s">
        <v>24</v>
      </c>
      <c r="C192" s="255" t="s">
        <v>41</v>
      </c>
      <c r="D192" s="243">
        <v>461.47362999999984</v>
      </c>
      <c r="E192" s="243">
        <v>190.31459000000018</v>
      </c>
      <c r="F192" s="93">
        <v>651.78822000000002</v>
      </c>
      <c r="M192" s="394">
        <f t="shared" si="78"/>
        <v>5489506.4554914497</v>
      </c>
      <c r="N192" s="410">
        <f>SUMPRODUCT('2017 end use splits'!$F$63:$M$65*('2017 end use splits'!$C$63:$C$65='Census 2011_17'!B192)*('2017 end use splits'!$F$19:$M$19='Census 2011_17'!C192))</f>
        <v>1.487349494316788E-3</v>
      </c>
      <c r="O192" s="85">
        <f t="shared" si="79"/>
        <v>8164.8146506239509</v>
      </c>
      <c r="P192" s="425">
        <f>$N192-($N185*B$21)*$N192/(1-$N185)</f>
        <v>1.3518080159795349E-3</v>
      </c>
      <c r="Q192" s="425">
        <f>$N192-($N185*D$21)*$N192/(1-$N185)</f>
        <v>1.0936337715276244E-3</v>
      </c>
      <c r="R192" s="425">
        <f>$N192-($N185*F$21)*$N192/(1-$N185)</f>
        <v>1.0936337715276244E-3</v>
      </c>
      <c r="S192" s="425" t="e">
        <f>$N192-($N185*#REF!)*$N192/(1-$N185)</f>
        <v>#REF!</v>
      </c>
    </row>
    <row r="193" spans="1:19" ht="13.5" thickBot="1">
      <c r="A193" s="85" t="s">
        <v>14</v>
      </c>
      <c r="B193" s="95" t="s">
        <v>24</v>
      </c>
      <c r="C193" s="252" t="s">
        <v>419</v>
      </c>
      <c r="D193" s="93">
        <v>3477189.9726265804</v>
      </c>
      <c r="E193" s="93">
        <v>527992.83890764427</v>
      </c>
      <c r="F193" s="105">
        <v>4005182.8115342241</v>
      </c>
      <c r="P193" s="424">
        <f>SUM(P185:P192)</f>
        <v>0.99999999999999978</v>
      </c>
      <c r="Q193" s="424">
        <f t="shared" ref="Q193" si="80">SUM(Q185:Q192)</f>
        <v>0.99999999999999989</v>
      </c>
      <c r="R193" s="424">
        <f t="shared" ref="R193" si="81">SUM(R185:R192)</f>
        <v>0.99999999999999989</v>
      </c>
      <c r="S193" s="424" t="e">
        <f t="shared" ref="S193" si="82">SUM(S185:S192)</f>
        <v>#REF!</v>
      </c>
    </row>
    <row r="194" spans="1:19" ht="13.5" thickBot="1">
      <c r="A194" s="85" t="s">
        <v>14</v>
      </c>
      <c r="B194" s="253" t="s">
        <v>291</v>
      </c>
      <c r="C194" s="257"/>
      <c r="D194" s="89" t="s">
        <v>34</v>
      </c>
      <c r="E194" s="89" t="s">
        <v>33</v>
      </c>
      <c r="F194" s="89" t="s">
        <v>27</v>
      </c>
    </row>
    <row r="195" spans="1:19" ht="13.5" thickBot="1">
      <c r="A195" s="85" t="s">
        <v>14</v>
      </c>
      <c r="B195" s="98" t="s">
        <v>25</v>
      </c>
      <c r="C195" s="254" t="s">
        <v>42</v>
      </c>
      <c r="D195" s="243">
        <v>2716677.6504021734</v>
      </c>
      <c r="E195" s="244"/>
      <c r="F195" s="93">
        <v>2716677.6504021734</v>
      </c>
      <c r="M195" s="394">
        <f t="shared" ref="M195:M202" si="83">SUMIFS($E$95:$E$106,$C$95:$C$106,A195,$B$95:$B$106,B195)</f>
        <v>4113425.0269645648</v>
      </c>
      <c r="N195" s="410">
        <f>SUMPRODUCT('2017 end use splits'!$F$63:$M$65*('2017 end use splits'!$C$63:$C$65='Census 2011_17'!B195)*('2017 end use splits'!$F$19:$M$19='Census 2011_17'!C195))</f>
        <v>0.84428287819558911</v>
      </c>
      <c r="O195" s="85">
        <f>N195*M195</f>
        <v>3472894.3210074115</v>
      </c>
    </row>
    <row r="196" spans="1:19" ht="13.5" thickBot="1">
      <c r="A196" s="85" t="s">
        <v>14</v>
      </c>
      <c r="B196" s="98" t="s">
        <v>25</v>
      </c>
      <c r="C196" s="217" t="s">
        <v>43</v>
      </c>
      <c r="D196" s="243">
        <v>181127.04626012294</v>
      </c>
      <c r="E196" s="243">
        <v>8897.3064635065093</v>
      </c>
      <c r="F196" s="93">
        <v>190024.35272362945</v>
      </c>
      <c r="M196" s="394">
        <f t="shared" si="83"/>
        <v>4113425.0269645648</v>
      </c>
      <c r="N196" s="410">
        <f>SUMPRODUCT('2017 end use splits'!$F$63:$M$65*('2017 end use splits'!$C$63:$C$65='Census 2011_17'!B196)*('2017 end use splits'!$F$19:$M$19='Census 2011_17'!C196))</f>
        <v>9.2448546179323479E-2</v>
      </c>
      <c r="O196" s="85">
        <f t="shared" ref="O196:O202" si="84">N196*M196</f>
        <v>380280.16356051847</v>
      </c>
    </row>
    <row r="197" spans="1:19" ht="13.5" thickBot="1">
      <c r="A197" s="85" t="s">
        <v>14</v>
      </c>
      <c r="B197" s="98" t="s">
        <v>25</v>
      </c>
      <c r="C197" s="255" t="s">
        <v>17</v>
      </c>
      <c r="D197" s="243">
        <v>104617.97237427889</v>
      </c>
      <c r="E197" s="243">
        <v>24945.347294456587</v>
      </c>
      <c r="F197" s="93">
        <v>129563.31966873548</v>
      </c>
      <c r="M197" s="394">
        <f t="shared" si="83"/>
        <v>4113425.0269645648</v>
      </c>
      <c r="N197" s="410">
        <f>SUMPRODUCT('2017 end use splits'!$F$63:$M$65*('2017 end use splits'!$C$63:$C$65='Census 2011_17'!B197)*('2017 end use splits'!$F$19:$M$19='Census 2011_17'!C197))</f>
        <v>3.198507654717684E-2</v>
      </c>
      <c r="O197" s="85">
        <f t="shared" si="84"/>
        <v>131568.21435853455</v>
      </c>
    </row>
    <row r="198" spans="1:19" ht="13.5" thickBot="1">
      <c r="A198" s="85" t="s">
        <v>14</v>
      </c>
      <c r="B198" s="98" t="s">
        <v>25</v>
      </c>
      <c r="C198" s="255" t="s">
        <v>7</v>
      </c>
      <c r="D198" s="243">
        <v>94991.018443639536</v>
      </c>
      <c r="E198" s="243">
        <v>31192.971959115821</v>
      </c>
      <c r="F198" s="93">
        <v>126183.99040275536</v>
      </c>
      <c r="L198" s="85">
        <f>O198/M131</f>
        <v>2.540992806407949E-2</v>
      </c>
      <c r="M198" s="394">
        <f t="shared" si="83"/>
        <v>4113425.0269645648</v>
      </c>
      <c r="N198" s="410">
        <f>SUMPRODUCT('2017 end use splits'!$F$63:$M$65*('2017 end use splits'!$C$63:$C$65='Census 2011_17'!B198)*('2017 end use splits'!$F$19:$M$19='Census 2011_17'!C198))</f>
        <v>2.5796881283329434E-2</v>
      </c>
      <c r="O198" s="85">
        <f t="shared" si="84"/>
        <v>106113.53708848105</v>
      </c>
    </row>
    <row r="199" spans="1:19" ht="13.5" thickBot="1">
      <c r="A199" s="85" t="s">
        <v>14</v>
      </c>
      <c r="B199" s="98" t="s">
        <v>25</v>
      </c>
      <c r="C199" s="255" t="s">
        <v>9</v>
      </c>
      <c r="D199" s="243">
        <v>24780.785080541897</v>
      </c>
      <c r="E199" s="243">
        <v>5749.2185641364485</v>
      </c>
      <c r="F199" s="93">
        <v>30530.003644678345</v>
      </c>
      <c r="M199" s="394">
        <f t="shared" si="83"/>
        <v>4113425.0269645648</v>
      </c>
      <c r="N199" s="410">
        <f>SUMPRODUCT('2017 end use splits'!$F$63:$M$65*('2017 end use splits'!$C$63:$C$65='Census 2011_17'!B199)*('2017 end use splits'!$F$19:$M$19='Census 2011_17'!C199))</f>
        <v>1.6871476556303481E-3</v>
      </c>
      <c r="O199" s="85">
        <f t="shared" si="84"/>
        <v>6939.9553908544667</v>
      </c>
    </row>
    <row r="200" spans="1:19" ht="13.5" thickBot="1">
      <c r="A200" s="85" t="s">
        <v>14</v>
      </c>
      <c r="B200" s="98" t="s">
        <v>25</v>
      </c>
      <c r="C200" s="255" t="s">
        <v>46</v>
      </c>
      <c r="D200" s="243">
        <v>3189.05645</v>
      </c>
      <c r="E200" s="243">
        <v>689.81220345881911</v>
      </c>
      <c r="F200" s="93">
        <v>3878.8686534588192</v>
      </c>
      <c r="M200" s="394">
        <f t="shared" si="83"/>
        <v>4113425.0269645648</v>
      </c>
      <c r="N200" s="410">
        <f>SUMPRODUCT('2017 end use splits'!$F$63:$M$65*('2017 end use splits'!$C$63:$C$65='Census 2011_17'!B200)*('2017 end use splits'!$F$19:$M$19='Census 2011_17'!C200))</f>
        <v>2.2752551312282698E-4</v>
      </c>
      <c r="O200" s="85">
        <f t="shared" si="84"/>
        <v>935.909139952391</v>
      </c>
    </row>
    <row r="201" spans="1:19" ht="13.5" thickBot="1">
      <c r="A201" s="85" t="s">
        <v>14</v>
      </c>
      <c r="B201" s="98" t="s">
        <v>25</v>
      </c>
      <c r="C201" s="255" t="s">
        <v>44</v>
      </c>
      <c r="D201" s="243">
        <v>13916.041072552209</v>
      </c>
      <c r="E201" s="243">
        <v>1852.3167109572896</v>
      </c>
      <c r="F201" s="93">
        <v>15768.357783509498</v>
      </c>
      <c r="M201" s="394">
        <f t="shared" si="83"/>
        <v>4113425.0269645648</v>
      </c>
      <c r="N201" s="410">
        <f>SUMPRODUCT('2017 end use splits'!$F$63:$M$65*('2017 end use splits'!$C$63:$C$65='Census 2011_17'!B201)*('2017 end use splits'!$F$19:$M$19='Census 2011_17'!C201))</f>
        <v>1.69511953434793E-3</v>
      </c>
      <c r="O201" s="85">
        <f t="shared" si="84"/>
        <v>6972.7471162832944</v>
      </c>
    </row>
    <row r="202" spans="1:19" ht="13.5" thickBot="1">
      <c r="A202" s="85" t="s">
        <v>14</v>
      </c>
      <c r="B202" s="98" t="s">
        <v>25</v>
      </c>
      <c r="C202" s="255" t="s">
        <v>41</v>
      </c>
      <c r="D202" s="243">
        <v>639.11705999999981</v>
      </c>
      <c r="E202" s="243">
        <v>50.9682600000001</v>
      </c>
      <c r="F202" s="93">
        <v>690.08531999999991</v>
      </c>
      <c r="M202" s="394">
        <f t="shared" si="83"/>
        <v>4113425.0269645648</v>
      </c>
      <c r="N202" s="410">
        <f>SUMPRODUCT('2017 end use splits'!$F$63:$M$65*('2017 end use splits'!$C$63:$C$65='Census 2011_17'!B202)*('2017 end use splits'!$F$19:$M$19='Census 2011_17'!C202))</f>
        <v>1.8768250914800362E-3</v>
      </c>
      <c r="O202" s="85">
        <f t="shared" si="84"/>
        <v>7720.1793025290399</v>
      </c>
    </row>
    <row r="203" spans="1:19" ht="13.5" thickBot="1">
      <c r="A203" s="85" t="s">
        <v>14</v>
      </c>
      <c r="B203" s="98" t="s">
        <v>25</v>
      </c>
      <c r="C203" s="252" t="s">
        <v>419</v>
      </c>
      <c r="D203" s="93">
        <v>3139938.687143309</v>
      </c>
      <c r="E203" s="93">
        <v>73377.941455631459</v>
      </c>
      <c r="F203" s="105">
        <v>3213316.6285989401</v>
      </c>
    </row>
    <row r="204" spans="1:19">
      <c r="D204" s="220"/>
      <c r="E204" s="220"/>
    </row>
    <row r="205" spans="1:19" customFormat="1">
      <c r="A205" s="85" t="s">
        <v>317</v>
      </c>
      <c r="B205" s="218" t="s">
        <v>18</v>
      </c>
      <c r="C205" t="s">
        <v>55</v>
      </c>
      <c r="D205" s="85">
        <v>656307.33508305065</v>
      </c>
      <c r="E205" s="85">
        <v>277541.14498945</v>
      </c>
    </row>
    <row r="206" spans="1:19" customFormat="1">
      <c r="A206" s="85" t="s">
        <v>317</v>
      </c>
      <c r="B206" s="218" t="s">
        <v>24</v>
      </c>
      <c r="C206" t="s">
        <v>55</v>
      </c>
      <c r="D206" s="85">
        <v>472372.80664586509</v>
      </c>
      <c r="E206" s="85">
        <v>128664.41323867033</v>
      </c>
    </row>
    <row r="207" spans="1:19" customFormat="1">
      <c r="A207" s="85" t="s">
        <v>317</v>
      </c>
      <c r="B207" s="218" t="s">
        <v>59</v>
      </c>
      <c r="C207" t="s">
        <v>55</v>
      </c>
      <c r="D207" s="85">
        <v>218514.65195108452</v>
      </c>
      <c r="E207" s="85">
        <v>19971.579971879022</v>
      </c>
    </row>
    <row r="208" spans="1:19" customFormat="1">
      <c r="D208" s="85"/>
      <c r="E208" s="85"/>
    </row>
    <row r="209" spans="1:19" customFormat="1">
      <c r="C209" t="s">
        <v>421</v>
      </c>
      <c r="D209" s="86">
        <f>D119+D129+D139</f>
        <v>12228642.677698497</v>
      </c>
      <c r="E209" s="86">
        <f>E119+E129+E139</f>
        <v>2126485.2658100007</v>
      </c>
    </row>
    <row r="210" spans="1:19" customFormat="1">
      <c r="C210" t="s">
        <v>422</v>
      </c>
      <c r="D210" s="219">
        <f>D172+D205+D206+D207</f>
        <v>12242396.545568999</v>
      </c>
      <c r="E210" s="219">
        <f>E172+E205+E206+E207</f>
        <v>2159837.5965</v>
      </c>
    </row>
    <row r="211" spans="1:19" customFormat="1" ht="13.5" thickBot="1"/>
    <row r="212" spans="1:19" customFormat="1" ht="13.5" thickBot="1">
      <c r="A212" s="442" t="s">
        <v>11</v>
      </c>
      <c r="B212" s="231"/>
      <c r="C212" s="231"/>
      <c r="D212" s="232" t="s">
        <v>34</v>
      </c>
      <c r="E212" s="232" t="s">
        <v>424</v>
      </c>
      <c r="F212" s="231" t="s">
        <v>27</v>
      </c>
      <c r="G212" s="233"/>
      <c r="H212" s="234" t="s">
        <v>34</v>
      </c>
      <c r="I212" s="235" t="s">
        <v>33</v>
      </c>
      <c r="J212" s="234" t="s">
        <v>27</v>
      </c>
      <c r="N212" s="14" t="s">
        <v>845</v>
      </c>
      <c r="P212" s="423">
        <f>P174</f>
        <v>2020</v>
      </c>
      <c r="Q212" s="423">
        <f t="shared" ref="Q212:S212" si="85">Q174</f>
        <v>2030</v>
      </c>
      <c r="R212" s="423">
        <f t="shared" si="85"/>
        <v>2040</v>
      </c>
      <c r="S212" s="423" t="e">
        <f t="shared" si="85"/>
        <v>#REF!</v>
      </c>
    </row>
    <row r="213" spans="1:19" customFormat="1">
      <c r="A213" s="18" t="s">
        <v>11</v>
      </c>
      <c r="B213" s="222" t="s">
        <v>22</v>
      </c>
      <c r="C213" s="223" t="s">
        <v>42</v>
      </c>
      <c r="D213" s="224">
        <v>4934382.4149125442</v>
      </c>
      <c r="E213" s="18"/>
      <c r="F213" s="225">
        <f t="shared" ref="F213:F237" si="86">SUM(D213:E213)</f>
        <v>4934382.4149125442</v>
      </c>
      <c r="H213" s="92">
        <f>D213/D$220</f>
        <v>1</v>
      </c>
      <c r="I213" s="92">
        <f>E213/E$220</f>
        <v>0</v>
      </c>
      <c r="J213" s="92">
        <f>F213/F$220</f>
        <v>0.77484957211901018</v>
      </c>
      <c r="M213" s="394">
        <f t="shared" ref="M213:M220" si="87">SUMIFS($E$95:$E$106,$C$95:$C$106,A213,$B$95:$B$106,B213)</f>
        <v>7681839.2522781566</v>
      </c>
      <c r="N213" s="410">
        <f>SUMPRODUCT('2017 end use splits'!$F$48:$O$50*('2017 end use splits'!$C$48:$C$50='Census 2011_17'!B213)*('2017 end use splits'!$F$19:$O$19='Census 2011_17'!C213))</f>
        <v>0.77484957211901018</v>
      </c>
      <c r="O213">
        <f>N213*M213</f>
        <v>5952269.8577147471</v>
      </c>
      <c r="P213" s="410">
        <f>$N213*(1+B$20)</f>
        <v>0.80897834609488839</v>
      </c>
      <c r="Q213" s="410">
        <f>$N213*(1+D$20)</f>
        <v>0.85953949272581875</v>
      </c>
      <c r="R213" s="410">
        <f>$N213*(1+F$20)</f>
        <v>0.91010063935674923</v>
      </c>
      <c r="S213" s="410" t="e">
        <f>$N213*(1+#REF!)</f>
        <v>#REF!</v>
      </c>
    </row>
    <row r="214" spans="1:19" customFormat="1">
      <c r="A214" s="18" t="s">
        <v>11</v>
      </c>
      <c r="B214" s="222" t="s">
        <v>18</v>
      </c>
      <c r="C214" s="223" t="s">
        <v>43</v>
      </c>
      <c r="D214" s="18"/>
      <c r="E214" s="18">
        <v>17869.826769999992</v>
      </c>
      <c r="F214" s="225">
        <f t="shared" si="86"/>
        <v>17869.826769999992</v>
      </c>
      <c r="H214" s="92">
        <f t="shared" ref="H214:H219" si="88">D214/D$220</f>
        <v>0</v>
      </c>
      <c r="I214" s="92">
        <f t="shared" ref="I214:J219" si="89">E214/E$220</f>
        <v>1.246327446399524E-2</v>
      </c>
      <c r="J214" s="92">
        <f t="shared" si="89"/>
        <v>2.8061115783667404E-3</v>
      </c>
      <c r="M214" s="394">
        <f t="shared" si="87"/>
        <v>7681839.2522781566</v>
      </c>
      <c r="N214" s="410">
        <f>SUMPRODUCT('2017 end use splits'!$F$48:$O$50*('2017 end use splits'!$C$48:$C$50='Census 2011_17'!B214)*('2017 end use splits'!$F$19:$O$19='Census 2011_17'!C214))</f>
        <v>2.8061115783667404E-3</v>
      </c>
      <c r="O214">
        <f t="shared" ref="O214:O220" si="90">N214*M214</f>
        <v>21556.098068969837</v>
      </c>
      <c r="P214" s="425">
        <f>$N214-($N213*B$20)*$N214/(1-$N213)</f>
        <v>2.3807553011857131E-3</v>
      </c>
      <c r="Q214" s="425">
        <f>$N214-($N213*D$20)*$N214/(1-$N213)</f>
        <v>1.7505978535101191E-3</v>
      </c>
      <c r="R214" s="425">
        <f>$N214-($N213*F$20)*$N214/(1-$N213)</f>
        <v>1.1204404058345236E-3</v>
      </c>
      <c r="S214" s="425" t="e">
        <f>$N214-($N213*#REF!)*$N214/(1-$N213)</f>
        <v>#REF!</v>
      </c>
    </row>
    <row r="215" spans="1:19" customFormat="1">
      <c r="A215" s="18" t="s">
        <v>11</v>
      </c>
      <c r="B215" s="222" t="s">
        <v>18</v>
      </c>
      <c r="C215" s="223" t="s">
        <v>17</v>
      </c>
      <c r="D215" s="18"/>
      <c r="E215" s="18">
        <v>274321.35216982913</v>
      </c>
      <c r="F215" s="225">
        <f t="shared" si="86"/>
        <v>274321.35216982913</v>
      </c>
      <c r="H215" s="92">
        <f t="shared" si="88"/>
        <v>0</v>
      </c>
      <c r="I215" s="92">
        <f t="shared" si="89"/>
        <v>0.19132487110432564</v>
      </c>
      <c r="J215" s="92">
        <f t="shared" si="89"/>
        <v>4.3076876593414117E-2</v>
      </c>
      <c r="L215">
        <f>E214+E216+E217+E218</f>
        <v>1159477.3515033966</v>
      </c>
      <c r="M215" s="394">
        <f t="shared" si="87"/>
        <v>7681839.2522781566</v>
      </c>
      <c r="N215" s="410">
        <f>SUMPRODUCT('2017 end use splits'!$F$48:$O$50*('2017 end use splits'!$C$48:$C$50='Census 2011_17'!B215)*('2017 end use splits'!$F$19:$O$19='Census 2011_17'!C215))</f>
        <v>4.3076876593414117E-2</v>
      </c>
      <c r="O215">
        <f t="shared" si="90"/>
        <v>330909.64148083073</v>
      </c>
      <c r="P215" s="425">
        <f>$N215-($N213*B$20)*$N215/(1-$N213)</f>
        <v>3.6547193311530571E-2</v>
      </c>
      <c r="Q215" s="425">
        <f>$N215-($N213*D$20)*$N215/(1-$N213)</f>
        <v>2.6873588449480897E-2</v>
      </c>
      <c r="R215" s="425">
        <f>$N215-($N213*F$20)*$N215/(1-$N213)</f>
        <v>1.719998358743121E-2</v>
      </c>
      <c r="S215" s="425" t="e">
        <f>$N215-($N213*#REF!)*$N215/(1-$N213)</f>
        <v>#REF!</v>
      </c>
    </row>
    <row r="216" spans="1:19" customFormat="1">
      <c r="A216" s="18" t="s">
        <v>11</v>
      </c>
      <c r="B216" s="222" t="s">
        <v>18</v>
      </c>
      <c r="C216" s="411" t="s">
        <v>2</v>
      </c>
      <c r="D216" s="18"/>
      <c r="E216" s="18">
        <v>1088744.5315500766</v>
      </c>
      <c r="F216" s="225">
        <f t="shared" si="86"/>
        <v>1088744.5315500766</v>
      </c>
      <c r="H216" s="92">
        <f t="shared" si="88"/>
        <v>0</v>
      </c>
      <c r="I216" s="92">
        <f t="shared" si="89"/>
        <v>0.75934266697329234</v>
      </c>
      <c r="J216" s="92">
        <f t="shared" si="89"/>
        <v>0.17096632637732861</v>
      </c>
      <c r="M216" s="394">
        <f t="shared" si="87"/>
        <v>7681839.2522781566</v>
      </c>
      <c r="N216" s="410">
        <f>SUMPRODUCT('2017 end use splits'!$F$48:$O$50*('2017 end use splits'!$C$48:$C$50='Census 2011_17'!B216)*('2017 end use splits'!$F$19:$O$19='Census 2011_17'!C216))</f>
        <v>0.17096632637732861</v>
      </c>
      <c r="O216">
        <f t="shared" si="90"/>
        <v>1313335.8367831614</v>
      </c>
      <c r="P216" s="425">
        <f>$N216-($N213*B$20)*$N216/(1-$N213)</f>
        <v>0.14505089212595662</v>
      </c>
      <c r="Q216" s="425">
        <f>$N216-($N213*D$20)*$N216/(1-$N213)</f>
        <v>0.10665765619799822</v>
      </c>
      <c r="R216" s="425">
        <f>$N216-($N213*F$20)*$N216/(1-$N213)</f>
        <v>6.8264420270039747E-2</v>
      </c>
      <c r="S216" s="425" t="e">
        <f>$N216-($N213*#REF!)*$N216/(1-$N213)</f>
        <v>#REF!</v>
      </c>
    </row>
    <row r="217" spans="1:19" customFormat="1">
      <c r="A217" s="18" t="s">
        <v>11</v>
      </c>
      <c r="B217" s="222" t="s">
        <v>18</v>
      </c>
      <c r="C217" s="223" t="s">
        <v>44</v>
      </c>
      <c r="D217" s="18"/>
      <c r="E217" s="18">
        <v>24110.493553320201</v>
      </c>
      <c r="F217" s="225">
        <f t="shared" si="86"/>
        <v>24110.493553320201</v>
      </c>
      <c r="H217" s="92">
        <f t="shared" si="88"/>
        <v>0</v>
      </c>
      <c r="I217" s="92">
        <f t="shared" si="89"/>
        <v>1.6815814864075351E-2</v>
      </c>
      <c r="J217" s="92">
        <f t="shared" si="89"/>
        <v>3.7860879118140718E-3</v>
      </c>
      <c r="M217" s="394">
        <f t="shared" si="87"/>
        <v>7681839.2522781566</v>
      </c>
      <c r="N217" s="410">
        <f>SUMPRODUCT('2017 end use splits'!$F$48:$O$50*('2017 end use splits'!$C$48:$C$50='Census 2011_17'!B217)*('2017 end use splits'!$F$19:$O$19='Census 2011_17'!C217))</f>
        <v>3.7860879118140718E-3</v>
      </c>
      <c r="O217">
        <f t="shared" si="90"/>
        <v>29084.118733549178</v>
      </c>
      <c r="P217" s="425">
        <f>$N217-($N213*B$20)*$N217/(1-$N213)</f>
        <v>3.2121847670978322E-3</v>
      </c>
      <c r="Q217" s="425">
        <f>$N217-($N213*D$20)*$N217/(1-$N213)</f>
        <v>2.3619578860367392E-3</v>
      </c>
      <c r="R217" s="425">
        <f>$N217-($N213*F$20)*$N217/(1-$N213)</f>
        <v>1.5117310049756441E-3</v>
      </c>
      <c r="S217" s="425" t="e">
        <f>$N217-($N213*#REF!)*$N217/(1-$N213)</f>
        <v>#REF!</v>
      </c>
    </row>
    <row r="218" spans="1:19" customFormat="1">
      <c r="A218" s="18" t="s">
        <v>11</v>
      </c>
      <c r="B218" s="222" t="s">
        <v>18</v>
      </c>
      <c r="C218" s="223" t="s">
        <v>47</v>
      </c>
      <c r="D218" s="18"/>
      <c r="E218" s="18">
        <v>28752.499630000002</v>
      </c>
      <c r="F218" s="225">
        <f t="shared" si="86"/>
        <v>28752.499630000002</v>
      </c>
      <c r="H218" s="92">
        <f t="shared" si="88"/>
        <v>0</v>
      </c>
      <c r="I218" s="92">
        <f t="shared" si="89"/>
        <v>2.0053372594311485E-2</v>
      </c>
      <c r="J218" s="92">
        <f t="shared" si="89"/>
        <v>4.5150254200661431E-3</v>
      </c>
      <c r="M218" s="394">
        <f t="shared" si="87"/>
        <v>7681839.2522781566</v>
      </c>
      <c r="N218" s="410">
        <f>SUMPRODUCT('2017 end use splits'!$F$48:$O$50*('2017 end use splits'!$C$48:$C$50='Census 2011_17'!B218)*('2017 end use splits'!$F$19:$O$19='Census 2011_17'!C218))</f>
        <v>4.5150254200661422E-3</v>
      </c>
      <c r="O218">
        <f t="shared" si="90"/>
        <v>34683.699496897767</v>
      </c>
      <c r="P218" s="425">
        <f>$N218-($N213*B$20)*$N218/(1-$N213)</f>
        <v>3.8306283993408165E-3</v>
      </c>
      <c r="Q218" s="425">
        <f>$N218-($N213*D$20)*$N218/(1-$N213)</f>
        <v>2.8167068871551527E-3</v>
      </c>
      <c r="R218" s="425">
        <f>$N218-($N213*F$20)*$N218/(1-$N213)</f>
        <v>1.8027853749694859E-3</v>
      </c>
      <c r="S218" s="425" t="e">
        <f>$N218-($N213*#REF!)*$N218/(1-$N213)</f>
        <v>#REF!</v>
      </c>
    </row>
    <row r="219" spans="1:19" customFormat="1">
      <c r="A219" s="18" t="s">
        <v>11</v>
      </c>
      <c r="B219" s="222" t="s">
        <v>18</v>
      </c>
      <c r="C219" s="223" t="s">
        <v>286</v>
      </c>
      <c r="D219" s="18"/>
      <c r="E219" s="18">
        <v>0</v>
      </c>
      <c r="F219" s="225">
        <f t="shared" si="86"/>
        <v>0</v>
      </c>
      <c r="H219" s="92">
        <f t="shared" si="88"/>
        <v>0</v>
      </c>
      <c r="I219" s="92">
        <f t="shared" si="89"/>
        <v>0</v>
      </c>
      <c r="J219" s="92">
        <f t="shared" si="89"/>
        <v>0</v>
      </c>
      <c r="M219" s="394">
        <f t="shared" si="87"/>
        <v>7681839.2522781566</v>
      </c>
      <c r="N219" s="410">
        <f>SUMPRODUCT('2017 end use splits'!$F$48:$O$50*('2017 end use splits'!$C$48:$C$50='Census 2011_17'!B219)*('2017 end use splits'!$F$19:$O$19='Census 2011_17'!C219))</f>
        <v>0</v>
      </c>
      <c r="O219">
        <f t="shared" si="90"/>
        <v>0</v>
      </c>
      <c r="P219" s="425">
        <f>$N219-($N213*B$20)*$N219/(1-$N213)</f>
        <v>0</v>
      </c>
      <c r="Q219" s="425">
        <f>$N219-($N213*D$20)*$N219/(1-$N213)</f>
        <v>0</v>
      </c>
      <c r="R219" s="425">
        <f>$N219-($N213*F$20)*$N219/(1-$N213)</f>
        <v>0</v>
      </c>
      <c r="S219" s="425" t="e">
        <f>$N219-($N213*#REF!)*$N219/(1-$N213)</f>
        <v>#REF!</v>
      </c>
    </row>
    <row r="220" spans="1:19" customFormat="1" ht="13.5" thickBot="1">
      <c r="A220" s="18" t="s">
        <v>11</v>
      </c>
      <c r="B220" s="222" t="s">
        <v>18</v>
      </c>
      <c r="C220" s="227" t="s">
        <v>27</v>
      </c>
      <c r="D220" s="226">
        <v>4934382.4149125442</v>
      </c>
      <c r="E220" s="226">
        <v>1433798.7036732258</v>
      </c>
      <c r="F220" s="228">
        <f>SUM(F213:F219)</f>
        <v>6368181.1185857709</v>
      </c>
      <c r="H220" s="92">
        <f>SUM(H213:H219)</f>
        <v>1</v>
      </c>
      <c r="I220" s="92">
        <f>SUM(I213:I219)</f>
        <v>1</v>
      </c>
      <c r="J220" s="92">
        <f>SUM(J213:J219)</f>
        <v>0.99999999999999978</v>
      </c>
      <c r="L220" s="288">
        <f>F220/(F220+F229+F238)</f>
        <v>0.44069965049004917</v>
      </c>
      <c r="M220" s="394">
        <f t="shared" si="87"/>
        <v>7681839.2522781566</v>
      </c>
      <c r="N220" s="410">
        <f>SUMPRODUCT('2017 end use splits'!$F$48:$O$50*('2017 end use splits'!$C$48:$C$50='Census 2011_17'!B220)*('2017 end use splits'!$F$19:$O$19='Census 2011_17'!C220))</f>
        <v>0</v>
      </c>
      <c r="O220">
        <f t="shared" si="90"/>
        <v>0</v>
      </c>
      <c r="P220" s="425">
        <f>$N220-($N213*B$20)*$N220/(1-$N213)</f>
        <v>0</v>
      </c>
      <c r="Q220" s="425">
        <f>$N220-($N213*D$20)*$N220/(1-$N213)</f>
        <v>0</v>
      </c>
      <c r="R220" s="425">
        <f>$N220-($N213*F$20)*$N220/(1-$N213)</f>
        <v>0</v>
      </c>
      <c r="S220" s="425" t="e">
        <f>$N220-($N213*#REF!)*$N220/(1-$N213)</f>
        <v>#REF!</v>
      </c>
    </row>
    <row r="221" spans="1:19" customFormat="1" ht="13.5" thickBot="1">
      <c r="A221" s="74"/>
      <c r="B221" s="74"/>
      <c r="C221" s="229"/>
      <c r="D221" s="74"/>
      <c r="E221" s="74"/>
      <c r="F221" s="230"/>
      <c r="H221" s="89" t="s">
        <v>34</v>
      </c>
      <c r="I221" s="90" t="s">
        <v>33</v>
      </c>
      <c r="J221" s="89" t="s">
        <v>27</v>
      </c>
      <c r="P221" s="424">
        <f>SUM(P213:P220)</f>
        <v>1</v>
      </c>
      <c r="Q221" s="424">
        <f t="shared" ref="Q221" si="91">SUM(Q213:Q220)</f>
        <v>1</v>
      </c>
      <c r="R221" s="424">
        <f t="shared" ref="R221" si="92">SUM(R213:R220)</f>
        <v>0.99999999999999978</v>
      </c>
      <c r="S221" s="424" t="e">
        <f t="shared" ref="S221" si="93">SUM(S213:S220)</f>
        <v>#REF!</v>
      </c>
    </row>
    <row r="222" spans="1:19" customFormat="1">
      <c r="A222" s="18" t="s">
        <v>11</v>
      </c>
      <c r="B222" s="222" t="s">
        <v>24</v>
      </c>
      <c r="C222" s="223" t="s">
        <v>42</v>
      </c>
      <c r="D222" s="18">
        <v>3949564.3702698089</v>
      </c>
      <c r="E222" s="18"/>
      <c r="F222" s="225">
        <f t="shared" si="86"/>
        <v>3949564.3702698089</v>
      </c>
      <c r="H222" s="92">
        <f>D222/D$229</f>
        <v>1</v>
      </c>
      <c r="I222" s="92">
        <f>E222/E$229</f>
        <v>0</v>
      </c>
      <c r="J222" s="92">
        <f>F222/F$229</f>
        <v>0.85487365806023408</v>
      </c>
      <c r="M222" s="394">
        <f t="shared" ref="M222:M229" si="94">SUMIFS($E$95:$E$106,$C$95:$C$106,A222,$B$95:$B$106,B222)</f>
        <v>5573103.0004989337</v>
      </c>
      <c r="N222" s="410">
        <f>SUMPRODUCT('2017 end use splits'!$F$48:$O$50*('2017 end use splits'!$C$48:$C$50='Census 2011_17'!B222)*('2017 end use splits'!$F$19:$O$19='Census 2011_17'!C222))</f>
        <v>0.87738786992840467</v>
      </c>
      <c r="O222">
        <f>N222*M222</f>
        <v>4889772.97049936</v>
      </c>
      <c r="P222" s="410">
        <f>$N222*(1+B$21)</f>
        <v>0.90374716215801332</v>
      </c>
      <c r="Q222" s="410">
        <f>$N222*(1+D$21)</f>
        <v>0.95395533783345854</v>
      </c>
      <c r="R222" s="410">
        <f>$N222*(1+F$21)</f>
        <v>0.95395533783345854</v>
      </c>
      <c r="S222" s="410">
        <v>1</v>
      </c>
    </row>
    <row r="223" spans="1:19" customFormat="1">
      <c r="A223" s="18" t="s">
        <v>11</v>
      </c>
      <c r="B223" s="222" t="s">
        <v>24</v>
      </c>
      <c r="C223" s="223" t="s">
        <v>43</v>
      </c>
      <c r="D223" s="18"/>
      <c r="E223" s="18">
        <v>10358.532200000003</v>
      </c>
      <c r="F223" s="225">
        <f t="shared" si="86"/>
        <v>10358.532200000003</v>
      </c>
      <c r="H223" s="92">
        <f t="shared" ref="H223:H229" si="95">D223/D$229</f>
        <v>0</v>
      </c>
      <c r="I223" s="92">
        <f t="shared" ref="I223:I229" si="96">E223/E$229</f>
        <v>1.5449154290091152E-2</v>
      </c>
      <c r="J223" s="92">
        <f t="shared" ref="J223:J229" si="97">F223/F$229</f>
        <v>2.2420792481839696E-3</v>
      </c>
      <c r="M223" s="394">
        <f t="shared" si="94"/>
        <v>5573103.0004989337</v>
      </c>
      <c r="N223" s="410">
        <f>SUMPRODUCT('2017 end use splits'!$F$48:$O$50*('2017 end use splits'!$C$48:$C$50='Census 2011_17'!B223)*('2017 end use splits'!$F$19:$O$19='Census 2011_17'!C223))</f>
        <v>5.0195414291403142E-3</v>
      </c>
      <c r="O223">
        <f t="shared" ref="O223:O229" si="98">N223*M223</f>
        <v>27974.421399870589</v>
      </c>
      <c r="P223" s="425">
        <f>$N223-($N222*B$21)*$N223/(1-$N222)</f>
        <v>3.9404348243363817E-3</v>
      </c>
      <c r="Q223" s="425">
        <f>$N223-($N222*D$21)*$N223/(1-$N222)</f>
        <v>1.884993672328895E-3</v>
      </c>
      <c r="R223" s="425">
        <f>$N223-($N222*F$21)*$N223/(1-$N222)</f>
        <v>1.884993672328895E-3</v>
      </c>
      <c r="S223" s="425">
        <v>0</v>
      </c>
    </row>
    <row r="224" spans="1:19" customFormat="1">
      <c r="A224" s="18" t="s">
        <v>11</v>
      </c>
      <c r="B224" s="222" t="s">
        <v>24</v>
      </c>
      <c r="C224" s="223" t="s">
        <v>17</v>
      </c>
      <c r="D224" s="18"/>
      <c r="E224" s="18">
        <v>132993.16558246015</v>
      </c>
      <c r="F224" s="225">
        <f t="shared" si="86"/>
        <v>132993.16558246015</v>
      </c>
      <c r="H224" s="92">
        <f t="shared" si="95"/>
        <v>0</v>
      </c>
      <c r="I224" s="92">
        <f t="shared" si="96"/>
        <v>0.19835164818149298</v>
      </c>
      <c r="J224" s="92">
        <f t="shared" si="97"/>
        <v>2.8786049118303493E-2</v>
      </c>
      <c r="M224" s="394">
        <f t="shared" si="94"/>
        <v>5573103.0004989337</v>
      </c>
      <c r="N224" s="410">
        <f>SUMPRODUCT('2017 end use splits'!$F$48:$O$50*('2017 end use splits'!$C$48:$C$50='Census 2011_17'!B224)*('2017 end use splits'!$F$19:$O$19='Census 2011_17'!C224))</f>
        <v>9.1261724853621801E-2</v>
      </c>
      <c r="O224">
        <f t="shared" si="98"/>
        <v>508610.99261242774</v>
      </c>
      <c r="P224" s="425">
        <f>$N224-($N222*B$21)*$N224/(1-$N222)</f>
        <v>7.1642177640877894E-2</v>
      </c>
      <c r="Q224" s="425">
        <f>$N224-($N222*D$21)*$N224/(1-$N222)</f>
        <v>3.4271611521365722E-2</v>
      </c>
      <c r="R224" s="425">
        <f>$N224-($N222*F$21)*$N224/(1-$N222)</f>
        <v>3.4271611521365722E-2</v>
      </c>
      <c r="S224" s="425">
        <v>0</v>
      </c>
    </row>
    <row r="225" spans="1:19" customFormat="1">
      <c r="A225" s="18" t="s">
        <v>11</v>
      </c>
      <c r="B225" s="222" t="s">
        <v>24</v>
      </c>
      <c r="C225" s="223" t="s">
        <v>287</v>
      </c>
      <c r="D225" s="18"/>
      <c r="E225" s="18">
        <v>497730.81376470451</v>
      </c>
      <c r="F225" s="225">
        <f t="shared" si="86"/>
        <v>497730.81376470451</v>
      </c>
      <c r="H225" s="92">
        <f t="shared" si="95"/>
        <v>0</v>
      </c>
      <c r="I225" s="92">
        <f t="shared" si="96"/>
        <v>0.74233684737530115</v>
      </c>
      <c r="J225" s="92">
        <f t="shared" si="97"/>
        <v>0.10773263114667576</v>
      </c>
      <c r="M225" s="394">
        <f t="shared" si="94"/>
        <v>5573103.0004989337</v>
      </c>
      <c r="N225" s="410">
        <f>SUMPRODUCT('2017 end use splits'!$F$48:$O$50*('2017 end use splits'!$C$48:$C$50='Census 2011_17'!B225)*('2017 end use splits'!$F$19:$O$19='Census 2011_17'!C225))</f>
        <v>0</v>
      </c>
      <c r="O225">
        <f t="shared" si="98"/>
        <v>0</v>
      </c>
      <c r="P225" s="425">
        <f>$N225-($N222*B$21)*$N225/(1-$N222)</f>
        <v>0</v>
      </c>
      <c r="Q225" s="425">
        <f>$N225-($N222*D$21)*$N225/(1-$N222)</f>
        <v>0</v>
      </c>
      <c r="R225" s="425">
        <f>$N225-($N222*F$21)*$N225/(1-$N222)</f>
        <v>0</v>
      </c>
      <c r="S225" s="425">
        <v>0</v>
      </c>
    </row>
    <row r="226" spans="1:19" customFormat="1">
      <c r="A226" s="18" t="s">
        <v>11</v>
      </c>
      <c r="B226" s="222" t="s">
        <v>24</v>
      </c>
      <c r="C226" s="223" t="s">
        <v>44</v>
      </c>
      <c r="D226" s="18"/>
      <c r="E226" s="18">
        <v>16413.321691221048</v>
      </c>
      <c r="F226" s="225">
        <f t="shared" si="86"/>
        <v>16413.321691221048</v>
      </c>
      <c r="H226" s="92">
        <f t="shared" si="95"/>
        <v>0</v>
      </c>
      <c r="I226" s="92">
        <f t="shared" si="96"/>
        <v>2.4479524156962484E-2</v>
      </c>
      <c r="J226" s="92">
        <f t="shared" si="97"/>
        <v>3.5526237933260966E-3</v>
      </c>
      <c r="M226" s="394">
        <f t="shared" si="94"/>
        <v>5573103.0004989337</v>
      </c>
      <c r="N226" s="410">
        <f>SUMPRODUCT('2017 end use splits'!$F$48:$O$50*('2017 end use splits'!$C$48:$C$50='Census 2011_17'!B226)*('2017 end use splits'!$F$19:$O$19='Census 2011_17'!C226))</f>
        <v>1.9922315859087873E-2</v>
      </c>
      <c r="O226">
        <f t="shared" si="98"/>
        <v>111029.11829117012</v>
      </c>
      <c r="P226" s="425">
        <f>$N226-($N222*B$21)*$N226/(1-$N222)</f>
        <v>1.5639394215742893E-2</v>
      </c>
      <c r="Q226" s="425">
        <f>$N226-($N222*D$21)*$N226/(1-$N222)</f>
        <v>7.4814482284191307E-3</v>
      </c>
      <c r="R226" s="425">
        <f>$N226-($N222*F$21)*$N226/(1-$N222)</f>
        <v>7.4814482284191307E-3</v>
      </c>
      <c r="S226" s="425">
        <v>0</v>
      </c>
    </row>
    <row r="227" spans="1:19" customFormat="1">
      <c r="A227" s="18" t="s">
        <v>11</v>
      </c>
      <c r="B227" s="222" t="s">
        <v>24</v>
      </c>
      <c r="C227" s="223" t="s">
        <v>47</v>
      </c>
      <c r="D227" s="18"/>
      <c r="E227" s="18">
        <v>12996.027060000002</v>
      </c>
      <c r="F227" s="225">
        <f t="shared" si="86"/>
        <v>12996.027060000002</v>
      </c>
      <c r="H227" s="92">
        <f t="shared" si="95"/>
        <v>0</v>
      </c>
      <c r="I227" s="92">
        <f t="shared" si="96"/>
        <v>1.9382825996152202E-2</v>
      </c>
      <c r="J227" s="92">
        <f t="shared" si="97"/>
        <v>2.8129586332765683E-3</v>
      </c>
      <c r="M227" s="394">
        <f t="shared" si="94"/>
        <v>5573103.0004989337</v>
      </c>
      <c r="N227" s="410">
        <f>SUMPRODUCT('2017 end use splits'!$F$48:$O$50*('2017 end use splits'!$C$48:$C$50='Census 2011_17'!B227)*('2017 end use splits'!$F$19:$O$19='Census 2011_17'!C227))</f>
        <v>6.4085479297452874E-3</v>
      </c>
      <c r="O227">
        <f t="shared" si="98"/>
        <v>35715.497696104692</v>
      </c>
      <c r="P227" s="425">
        <f>$N227-($N222*B$21)*$N227/(1-$N222)</f>
        <v>5.0308311610294029E-3</v>
      </c>
      <c r="Q227" s="425">
        <f>$N227-($N222*D$21)*$N227/(1-$N222)</f>
        <v>2.4066087444277228E-3</v>
      </c>
      <c r="R227" s="425">
        <f>$N227-($N222*F$21)*$N227/(1-$N222)</f>
        <v>2.4066087444277228E-3</v>
      </c>
      <c r="S227" s="425">
        <v>0</v>
      </c>
    </row>
    <row r="228" spans="1:19" customFormat="1">
      <c r="A228" s="18" t="s">
        <v>11</v>
      </c>
      <c r="B228" s="222" t="s">
        <v>24</v>
      </c>
      <c r="C228" s="223" t="s">
        <v>286</v>
      </c>
      <c r="D228" s="18"/>
      <c r="E228" s="18">
        <v>0</v>
      </c>
      <c r="F228" s="225">
        <f t="shared" si="86"/>
        <v>0</v>
      </c>
      <c r="H228" s="92">
        <f t="shared" si="95"/>
        <v>0</v>
      </c>
      <c r="I228" s="92">
        <f t="shared" si="96"/>
        <v>0</v>
      </c>
      <c r="J228" s="92">
        <f t="shared" si="97"/>
        <v>0</v>
      </c>
      <c r="M228" s="394">
        <f t="shared" si="94"/>
        <v>5573103.0004989337</v>
      </c>
      <c r="N228" s="410">
        <f>SUMPRODUCT('2017 end use splits'!$F$48:$O$50*('2017 end use splits'!$C$48:$C$50='Census 2011_17'!B228)*('2017 end use splits'!$F$19:$O$19='Census 2011_17'!C228))</f>
        <v>0</v>
      </c>
      <c r="O228">
        <f t="shared" si="98"/>
        <v>0</v>
      </c>
      <c r="P228" s="425">
        <f>$N228-($N222*B$21)*$N228/(1-$N222)</f>
        <v>0</v>
      </c>
      <c r="Q228" s="425">
        <f>$N228-($N222*D$21)*$N228/(1-$N222)</f>
        <v>0</v>
      </c>
      <c r="R228" s="425">
        <f>$N228-($N222*F$21)*$N228/(1-$N222)</f>
        <v>0</v>
      </c>
      <c r="S228" s="425">
        <v>0</v>
      </c>
    </row>
    <row r="229" spans="1:19" customFormat="1" ht="13.5" thickBot="1">
      <c r="A229" s="18" t="s">
        <v>11</v>
      </c>
      <c r="B229" s="222" t="s">
        <v>24</v>
      </c>
      <c r="C229" s="227" t="s">
        <v>27</v>
      </c>
      <c r="D229" s="226">
        <v>3949564.3702698089</v>
      </c>
      <c r="E229" s="226">
        <v>670491.86029838573</v>
      </c>
      <c r="F229" s="228">
        <f>SUM(F222:F228)</f>
        <v>4620056.2305681948</v>
      </c>
      <c r="H229" s="92">
        <f t="shared" si="95"/>
        <v>1</v>
      </c>
      <c r="I229" s="92">
        <f t="shared" si="96"/>
        <v>1</v>
      </c>
      <c r="J229" s="92">
        <f t="shared" si="97"/>
        <v>1</v>
      </c>
      <c r="M229" s="394">
        <f t="shared" si="94"/>
        <v>5573103.0004989337</v>
      </c>
      <c r="N229" s="410">
        <f>SUMPRODUCT('2017 end use splits'!$F$48:$O$50*('2017 end use splits'!$C$48:$C$50='Census 2011_17'!B229)*('2017 end use splits'!$F$19:$O$19='Census 2011_17'!C229))</f>
        <v>0</v>
      </c>
      <c r="O229">
        <f t="shared" si="98"/>
        <v>0</v>
      </c>
      <c r="P229" s="425">
        <f>$N229-($N222*B$21)*$N229/(1-$N222)</f>
        <v>0</v>
      </c>
      <c r="Q229" s="425">
        <f>$N229-($N222*D$21)*$N229/(1-$N222)</f>
        <v>0</v>
      </c>
      <c r="R229" s="425">
        <f>$N229-($N222*F$21)*$N229/(1-$N222)</f>
        <v>0</v>
      </c>
      <c r="S229" s="425">
        <v>0</v>
      </c>
    </row>
    <row r="230" spans="1:19" customFormat="1" ht="13.5" thickBot="1">
      <c r="A230" s="74"/>
      <c r="B230" s="74"/>
      <c r="C230" s="229"/>
      <c r="D230" s="74"/>
      <c r="E230" s="74"/>
      <c r="F230" s="230"/>
      <c r="H230" s="89" t="s">
        <v>34</v>
      </c>
      <c r="I230" s="90" t="s">
        <v>33</v>
      </c>
      <c r="J230" s="89" t="s">
        <v>27</v>
      </c>
      <c r="L230" s="288">
        <f>F229/(F220+F229+F238)</f>
        <v>0.31972350159976914</v>
      </c>
      <c r="P230" s="424">
        <f>SUM(P222:P229)</f>
        <v>0.99999999999999989</v>
      </c>
      <c r="Q230" s="424">
        <f t="shared" ref="Q230:S230" si="99">SUM(Q222:Q229)</f>
        <v>1</v>
      </c>
      <c r="R230" s="424">
        <f t="shared" si="99"/>
        <v>1</v>
      </c>
      <c r="S230" s="424">
        <f t="shared" si="99"/>
        <v>1</v>
      </c>
    </row>
    <row r="231" spans="1:19" customFormat="1">
      <c r="A231" s="18" t="s">
        <v>11</v>
      </c>
      <c r="B231" s="222" t="s">
        <v>25</v>
      </c>
      <c r="C231" s="223" t="s">
        <v>42</v>
      </c>
      <c r="D231" s="18">
        <v>3358454.6919761435</v>
      </c>
      <c r="E231" s="18"/>
      <c r="F231" s="225">
        <f t="shared" si="86"/>
        <v>3358454.6919761435</v>
      </c>
      <c r="H231" s="92">
        <f>D231/D$238</f>
        <v>1</v>
      </c>
      <c r="I231" s="92">
        <f>E231/E$238</f>
        <v>0</v>
      </c>
      <c r="J231" s="92">
        <f>F231/F$238</f>
        <v>0.97011215567399645</v>
      </c>
      <c r="M231" s="394">
        <f t="shared" ref="M231:M238" si="100">SUMIFS($E$95:$E$106,$C$95:$C$106,A231,$B$95:$B$106,B231)</f>
        <v>4176066.0172229088</v>
      </c>
      <c r="N231" s="410">
        <f>SUMPRODUCT('2017 end use splits'!$F$48:$O$50*('2017 end use splits'!$C$48:$C$50='Census 2011_17'!B231)*('2017 end use splits'!$F$19:$O$19='Census 2011_17'!C231))</f>
        <v>0.95929280782280502</v>
      </c>
      <c r="O231">
        <f>N231*M231</f>
        <v>4006070.0953151626</v>
      </c>
    </row>
    <row r="232" spans="1:19" customFormat="1">
      <c r="A232" s="18" t="s">
        <v>11</v>
      </c>
      <c r="B232" s="222" t="s">
        <v>25</v>
      </c>
      <c r="C232" s="223" t="s">
        <v>43</v>
      </c>
      <c r="D232" s="85"/>
      <c r="E232" s="18">
        <v>6118.5712100000001</v>
      </c>
      <c r="F232" s="225">
        <f>SUM(E232:E232)</f>
        <v>6118.5712100000001</v>
      </c>
      <c r="H232" s="92">
        <f t="shared" ref="H232:H237" si="101">D232/D$238</f>
        <v>0</v>
      </c>
      <c r="I232" s="92">
        <f t="shared" ref="I232:I237" si="102">E232/E$238</f>
        <v>5.9134084705576753E-2</v>
      </c>
      <c r="J232" s="92">
        <f t="shared" ref="J232:J237" si="103">F232/F$238</f>
        <v>1.7673903180409844E-3</v>
      </c>
      <c r="M232" s="394">
        <f t="shared" si="100"/>
        <v>4176066.0172229088</v>
      </c>
      <c r="N232" s="410">
        <f>SUMPRODUCT('2017 end use splits'!$F$48:$O$50*('2017 end use splits'!$C$48:$C$50='Census 2011_17'!B232)*('2017 end use splits'!$F$19:$O$19='Census 2011_17'!C232))</f>
        <v>3.8122827738128282E-3</v>
      </c>
      <c r="O232">
        <f t="shared" ref="O232:O238" si="104">N232*M232</f>
        <v>15920.344539764041</v>
      </c>
    </row>
    <row r="233" spans="1:19" customFormat="1">
      <c r="A233" s="18" t="s">
        <v>11</v>
      </c>
      <c r="B233" s="222" t="s">
        <v>25</v>
      </c>
      <c r="C233" s="223" t="s">
        <v>17</v>
      </c>
      <c r="D233" s="85"/>
      <c r="E233" s="18">
        <v>18890.571727710707</v>
      </c>
      <c r="F233" s="225">
        <f>SUM(E233:E233)</f>
        <v>18890.571727710707</v>
      </c>
      <c r="H233" s="92">
        <f t="shared" si="101"/>
        <v>0</v>
      </c>
      <c r="I233" s="92">
        <f t="shared" si="102"/>
        <v>0.18257149101370324</v>
      </c>
      <c r="J233" s="92">
        <f t="shared" si="103"/>
        <v>5.4566683017839152E-3</v>
      </c>
      <c r="M233" s="394">
        <f t="shared" si="100"/>
        <v>4176066.0172229088</v>
      </c>
      <c r="N233" s="410">
        <f>SUMPRODUCT('2017 end use splits'!$F$48:$O$50*('2017 end use splits'!$C$48:$C$50='Census 2011_17'!B233)*('2017 end use splits'!$F$19:$O$19='Census 2011_17'!C233))</f>
        <v>1.6667624835997062E-2</v>
      </c>
      <c r="O233">
        <f t="shared" si="104"/>
        <v>69605.101665427894</v>
      </c>
    </row>
    <row r="234" spans="1:19" customFormat="1">
      <c r="A234" s="18" t="s">
        <v>11</v>
      </c>
      <c r="B234" s="222" t="s">
        <v>25</v>
      </c>
      <c r="C234" s="223" t="s">
        <v>287</v>
      </c>
      <c r="D234" s="85"/>
      <c r="E234" s="18">
        <v>62606.783145218884</v>
      </c>
      <c r="F234" s="225">
        <f>SUM(E234:E234)</f>
        <v>62606.783145218884</v>
      </c>
      <c r="H234" s="92">
        <f t="shared" si="101"/>
        <v>0</v>
      </c>
      <c r="I234" s="92">
        <f t="shared" si="102"/>
        <v>0.60507505601999001</v>
      </c>
      <c r="J234" s="92">
        <f t="shared" si="103"/>
        <v>1.8084389079873329E-2</v>
      </c>
      <c r="M234" s="394">
        <f t="shared" si="100"/>
        <v>4176066.0172229088</v>
      </c>
      <c r="N234" s="410">
        <f>SUMPRODUCT('2017 end use splits'!$F$48:$O$50*('2017 end use splits'!$C$48:$C$50='Census 2011_17'!B234)*('2017 end use splits'!$F$19:$O$19='Census 2011_17'!C234))</f>
        <v>0</v>
      </c>
      <c r="O234">
        <f t="shared" si="104"/>
        <v>0</v>
      </c>
    </row>
    <row r="235" spans="1:19" customFormat="1">
      <c r="A235" s="18" t="s">
        <v>11</v>
      </c>
      <c r="B235" s="222" t="s">
        <v>25</v>
      </c>
      <c r="C235" s="223" t="s">
        <v>44</v>
      </c>
      <c r="D235" s="85"/>
      <c r="E235" s="18">
        <v>10981.130155458752</v>
      </c>
      <c r="F235" s="225">
        <f>SUM(E235:E235)</f>
        <v>10981.130155458752</v>
      </c>
      <c r="H235" s="92">
        <f t="shared" si="101"/>
        <v>0</v>
      </c>
      <c r="I235" s="92">
        <f t="shared" si="102"/>
        <v>0.10612920214356074</v>
      </c>
      <c r="J235" s="92">
        <f t="shared" si="103"/>
        <v>3.1719730721097039E-3</v>
      </c>
      <c r="M235" s="394">
        <f t="shared" si="100"/>
        <v>4176066.0172229088</v>
      </c>
      <c r="N235" s="410">
        <f>SUMPRODUCT('2017 end use splits'!$F$48:$O$50*('2017 end use splits'!$C$48:$C$50='Census 2011_17'!B235)*('2017 end use splits'!$F$19:$O$19='Census 2011_17'!C235))</f>
        <v>1.7137980492421708E-2</v>
      </c>
      <c r="O235">
        <f t="shared" si="104"/>
        <v>71569.337938231431</v>
      </c>
    </row>
    <row r="236" spans="1:19" customFormat="1">
      <c r="A236" s="18" t="s">
        <v>11</v>
      </c>
      <c r="B236" s="222" t="s">
        <v>25</v>
      </c>
      <c r="C236" s="223" t="s">
        <v>47</v>
      </c>
      <c r="D236" s="85"/>
      <c r="E236" s="18">
        <v>4872.3935799999999</v>
      </c>
      <c r="F236" s="225">
        <f>SUM(E236:E236)</f>
        <v>4872.3935799999999</v>
      </c>
      <c r="H236" s="92">
        <f t="shared" si="101"/>
        <v>0</v>
      </c>
      <c r="I236" s="92">
        <f t="shared" si="102"/>
        <v>4.7090166117169104E-2</v>
      </c>
      <c r="J236" s="92">
        <f t="shared" si="103"/>
        <v>1.4074235541955964E-3</v>
      </c>
      <c r="M236" s="394">
        <f t="shared" si="100"/>
        <v>4176066.0172229088</v>
      </c>
      <c r="N236" s="410">
        <f>SUMPRODUCT('2017 end use splits'!$F$48:$O$50*('2017 end use splits'!$C$48:$C$50='Census 2011_17'!B236)*('2017 end use splits'!$F$19:$O$19='Census 2011_17'!C236))</f>
        <v>3.0893040749634423E-3</v>
      </c>
      <c r="O236">
        <f t="shared" si="104"/>
        <v>12901.137764323084</v>
      </c>
    </row>
    <row r="237" spans="1:19" customFormat="1">
      <c r="A237" s="18" t="s">
        <v>11</v>
      </c>
      <c r="B237" s="222" t="s">
        <v>25</v>
      </c>
      <c r="C237" s="223" t="s">
        <v>286</v>
      </c>
      <c r="D237" s="18">
        <v>0</v>
      </c>
      <c r="E237" s="18"/>
      <c r="F237" s="225">
        <f t="shared" si="86"/>
        <v>0</v>
      </c>
      <c r="H237" s="92">
        <f t="shared" si="101"/>
        <v>0</v>
      </c>
      <c r="I237" s="92">
        <f t="shared" si="102"/>
        <v>0</v>
      </c>
      <c r="J237" s="92">
        <f t="shared" si="103"/>
        <v>0</v>
      </c>
      <c r="M237" s="394">
        <f t="shared" si="100"/>
        <v>4176066.0172229088</v>
      </c>
      <c r="N237" s="410">
        <f>SUMPRODUCT('2017 end use splits'!$F$48:$O$50*('2017 end use splits'!$C$48:$C$50='Census 2011_17'!B237)*('2017 end use splits'!$F$19:$O$19='Census 2011_17'!C237))</f>
        <v>0</v>
      </c>
      <c r="O237">
        <f t="shared" si="104"/>
        <v>0</v>
      </c>
    </row>
    <row r="238" spans="1:19" customFormat="1">
      <c r="A238" s="18" t="s">
        <v>11</v>
      </c>
      <c r="B238" s="222" t="s">
        <v>25</v>
      </c>
      <c r="C238" s="227" t="s">
        <v>27</v>
      </c>
      <c r="D238" s="226">
        <f>D231</f>
        <v>3358454.6919761435</v>
      </c>
      <c r="E238" s="226">
        <f>SUM(E232:E237)</f>
        <v>103469.44981838836</v>
      </c>
      <c r="F238" s="228">
        <f>SUM(F231:F237)</f>
        <v>3461924.1417945321</v>
      </c>
      <c r="H238" s="221">
        <f>SUM(H231:H237)</f>
        <v>1</v>
      </c>
      <c r="I238" s="221">
        <f>SUM(I231:I237)</f>
        <v>0.99999999999999978</v>
      </c>
      <c r="J238" s="221">
        <f>SUM(J231:J237)</f>
        <v>0.99999999999999989</v>
      </c>
      <c r="L238" s="288">
        <f>F238/(F220+F229+F238)</f>
        <v>0.23957684791018166</v>
      </c>
      <c r="M238" s="394">
        <f t="shared" si="100"/>
        <v>4176066.0172229088</v>
      </c>
      <c r="N238" s="410">
        <f>SUMPRODUCT('2017 end use splits'!$F$48:$O$50*('2017 end use splits'!$C$48:$C$50='Census 2011_17'!B238)*('2017 end use splits'!$F$19:$O$19='Census 2011_17'!C238))</f>
        <v>0</v>
      </c>
      <c r="O238">
        <f t="shared" si="104"/>
        <v>0</v>
      </c>
    </row>
    <row r="239" spans="1:19" customFormat="1"/>
    <row r="240" spans="1:19" customFormat="1">
      <c r="E240">
        <f>D238/(D238+E238)</f>
        <v>0.97011215567399645</v>
      </c>
    </row>
    <row r="241" spans="1:7" customFormat="1"/>
    <row r="242" spans="1:7" customFormat="1">
      <c r="A242" s="85"/>
      <c r="B242" s="85"/>
      <c r="C242" s="85"/>
      <c r="D242" s="85"/>
      <c r="E242" s="85"/>
      <c r="F242" s="85"/>
    </row>
    <row r="243" spans="1:7" customFormat="1"/>
    <row r="244" spans="1:7" customFormat="1"/>
    <row r="245" spans="1:7" customFormat="1">
      <c r="A245" s="5" t="s">
        <v>448</v>
      </c>
    </row>
    <row r="246" spans="1:7" customFormat="1"/>
    <row r="247" spans="1:7" customFormat="1"/>
    <row r="248" spans="1:7" customFormat="1"/>
    <row r="249" spans="1:7" customFormat="1"/>
    <row r="250" spans="1:7" customFormat="1"/>
    <row r="251" spans="1:7" customFormat="1"/>
    <row r="252" spans="1:7" customFormat="1"/>
    <row r="253" spans="1:7" customFormat="1"/>
    <row r="254" spans="1:7" customFormat="1">
      <c r="A254" s="5" t="s">
        <v>533</v>
      </c>
    </row>
    <row r="255" spans="1:7" customFormat="1"/>
    <row r="256" spans="1:7" customFormat="1">
      <c r="A256" s="625" t="s">
        <v>811</v>
      </c>
      <c r="B256" s="626"/>
      <c r="C256" s="626"/>
      <c r="D256" s="626"/>
      <c r="E256" s="626"/>
      <c r="F256" s="626"/>
      <c r="G256" s="626"/>
    </row>
    <row r="257" spans="1:9" customFormat="1">
      <c r="A257" t="s">
        <v>12</v>
      </c>
      <c r="B257" t="s">
        <v>807</v>
      </c>
      <c r="D257" t="s">
        <v>158</v>
      </c>
      <c r="E257" t="s">
        <v>808</v>
      </c>
      <c r="G257">
        <v>2016</v>
      </c>
    </row>
    <row r="258" spans="1:9" customFormat="1">
      <c r="A258" s="85" t="s">
        <v>801</v>
      </c>
      <c r="B258" t="s">
        <v>809</v>
      </c>
      <c r="C258" t="s">
        <v>42</v>
      </c>
      <c r="D258">
        <v>791956</v>
      </c>
      <c r="E258">
        <v>13987704</v>
      </c>
      <c r="G258">
        <v>82.7</v>
      </c>
      <c r="I258">
        <f>SUM(E258:E268)</f>
        <v>16923309.099999998</v>
      </c>
    </row>
    <row r="259" spans="1:9" customFormat="1">
      <c r="A259" s="85" t="s">
        <v>801</v>
      </c>
      <c r="B259" t="s">
        <v>810</v>
      </c>
      <c r="C259" t="s">
        <v>42</v>
      </c>
      <c r="D259">
        <v>1360</v>
      </c>
      <c r="E259">
        <v>24332.5</v>
      </c>
      <c r="F259">
        <f>SUM(E258:E259)</f>
        <v>14012036.5</v>
      </c>
      <c r="G259">
        <v>0.1</v>
      </c>
    </row>
    <row r="260" spans="1:9" customFormat="1">
      <c r="A260" s="85" t="s">
        <v>801</v>
      </c>
      <c r="B260" t="s">
        <v>43</v>
      </c>
      <c r="C260" t="s">
        <v>43</v>
      </c>
      <c r="D260">
        <v>26059</v>
      </c>
      <c r="E260">
        <v>502216.2</v>
      </c>
      <c r="G260">
        <v>3</v>
      </c>
    </row>
    <row r="261" spans="1:9" customFormat="1">
      <c r="A261" s="85" t="s">
        <v>801</v>
      </c>
      <c r="B261" t="s">
        <v>17</v>
      </c>
      <c r="C261" t="s">
        <v>17</v>
      </c>
      <c r="D261">
        <v>49739</v>
      </c>
      <c r="E261">
        <v>908943</v>
      </c>
      <c r="G261">
        <v>5.4</v>
      </c>
    </row>
    <row r="262" spans="1:9" customFormat="1">
      <c r="A262" s="85" t="s">
        <v>801</v>
      </c>
      <c r="B262" t="s">
        <v>7</v>
      </c>
      <c r="C262" t="s">
        <v>7</v>
      </c>
      <c r="D262">
        <v>106531</v>
      </c>
      <c r="E262">
        <v>1353990.6</v>
      </c>
      <c r="G262">
        <v>8</v>
      </c>
    </row>
    <row r="263" spans="1:9" customFormat="1">
      <c r="A263" s="85" t="s">
        <v>801</v>
      </c>
      <c r="B263" t="s">
        <v>9</v>
      </c>
      <c r="C263" t="s">
        <v>9</v>
      </c>
      <c r="D263">
        <v>3241</v>
      </c>
      <c r="E263">
        <v>48580.5</v>
      </c>
      <c r="G263">
        <v>0.3</v>
      </c>
    </row>
    <row r="264" spans="1:9" customFormat="1">
      <c r="A264" s="85" t="s">
        <v>801</v>
      </c>
      <c r="B264" t="s">
        <v>46</v>
      </c>
      <c r="C264" t="s">
        <v>46</v>
      </c>
      <c r="D264">
        <v>776</v>
      </c>
      <c r="E264">
        <v>8490.6</v>
      </c>
      <c r="G264">
        <v>0.1</v>
      </c>
    </row>
    <row r="265" spans="1:9" customFormat="1">
      <c r="A265" s="85" t="s">
        <v>801</v>
      </c>
      <c r="B265" t="s">
        <v>44</v>
      </c>
      <c r="C265" t="s">
        <v>44</v>
      </c>
      <c r="D265">
        <v>700</v>
      </c>
      <c r="E265">
        <v>12039.7</v>
      </c>
      <c r="G265">
        <v>0.1</v>
      </c>
    </row>
    <row r="266" spans="1:9" customFormat="1">
      <c r="A266" s="85" t="s">
        <v>801</v>
      </c>
      <c r="B266" t="s">
        <v>41</v>
      </c>
      <c r="C266" t="s">
        <v>41</v>
      </c>
      <c r="D266">
        <v>1088</v>
      </c>
      <c r="E266">
        <v>19606.3</v>
      </c>
      <c r="G266">
        <v>0.1</v>
      </c>
    </row>
    <row r="267" spans="1:9" customFormat="1">
      <c r="A267" s="85" t="s">
        <v>801</v>
      </c>
      <c r="B267" t="s">
        <v>47</v>
      </c>
      <c r="C267" t="s">
        <v>47</v>
      </c>
      <c r="D267">
        <v>2914</v>
      </c>
      <c r="E267">
        <v>52624.9</v>
      </c>
      <c r="G267">
        <v>0.3</v>
      </c>
    </row>
    <row r="268" spans="1:9" customFormat="1">
      <c r="A268" s="85" t="s">
        <v>801</v>
      </c>
      <c r="B268" t="s">
        <v>286</v>
      </c>
      <c r="D268">
        <v>263</v>
      </c>
      <c r="E268">
        <v>4780.8</v>
      </c>
      <c r="G268">
        <v>0</v>
      </c>
    </row>
    <row r="269" spans="1:9" customFormat="1">
      <c r="A269" t="s">
        <v>802</v>
      </c>
      <c r="B269" t="s">
        <v>809</v>
      </c>
      <c r="C269" t="s">
        <v>42</v>
      </c>
      <c r="D269">
        <v>879893</v>
      </c>
      <c r="E269" s="321">
        <v>15231038.199999999</v>
      </c>
      <c r="G269">
        <v>90</v>
      </c>
    </row>
    <row r="270" spans="1:9" customFormat="1">
      <c r="A270" t="s">
        <v>802</v>
      </c>
      <c r="B270" t="s">
        <v>810</v>
      </c>
      <c r="C270" t="s">
        <v>42</v>
      </c>
      <c r="D270">
        <v>1759</v>
      </c>
      <c r="E270" s="321">
        <v>31197.1</v>
      </c>
      <c r="G270">
        <v>0.2</v>
      </c>
    </row>
    <row r="271" spans="1:9" customFormat="1">
      <c r="A271" t="s">
        <v>802</v>
      </c>
      <c r="B271" t="s">
        <v>43</v>
      </c>
      <c r="C271" t="s">
        <v>43</v>
      </c>
      <c r="D271">
        <v>1413</v>
      </c>
      <c r="E271" s="321">
        <v>25699.9</v>
      </c>
      <c r="G271">
        <v>0.2</v>
      </c>
    </row>
    <row r="272" spans="1:9" customFormat="1">
      <c r="A272" t="s">
        <v>802</v>
      </c>
      <c r="B272" t="s">
        <v>17</v>
      </c>
      <c r="C272" t="s">
        <v>17</v>
      </c>
      <c r="D272">
        <v>25776</v>
      </c>
      <c r="E272" s="321">
        <v>451601.8</v>
      </c>
      <c r="G272">
        <v>2.7</v>
      </c>
    </row>
    <row r="273" spans="1:7" customFormat="1">
      <c r="A273" t="s">
        <v>802</v>
      </c>
      <c r="B273" t="s">
        <v>2</v>
      </c>
      <c r="C273" t="s">
        <v>287</v>
      </c>
      <c r="D273">
        <v>63892</v>
      </c>
      <c r="E273" s="321">
        <v>997571.1</v>
      </c>
      <c r="G273">
        <v>5.9</v>
      </c>
    </row>
    <row r="274" spans="1:7" customFormat="1">
      <c r="A274" t="s">
        <v>802</v>
      </c>
      <c r="B274" t="s">
        <v>44</v>
      </c>
      <c r="C274" t="s">
        <v>44</v>
      </c>
      <c r="D274">
        <v>6871</v>
      </c>
      <c r="E274" s="321">
        <v>96531.7</v>
      </c>
      <c r="G274">
        <v>0.6</v>
      </c>
    </row>
    <row r="275" spans="1:7" customFormat="1">
      <c r="A275" t="s">
        <v>802</v>
      </c>
      <c r="B275" t="s">
        <v>41</v>
      </c>
      <c r="C275" t="s">
        <v>41</v>
      </c>
      <c r="D275">
        <v>1362</v>
      </c>
      <c r="E275" s="321">
        <v>23783.7</v>
      </c>
      <c r="G275">
        <v>0.1</v>
      </c>
    </row>
    <row r="276" spans="1:7" customFormat="1">
      <c r="A276" t="s">
        <v>802</v>
      </c>
      <c r="B276" t="s">
        <v>47</v>
      </c>
      <c r="C276" t="s">
        <v>47</v>
      </c>
      <c r="D276">
        <v>2023</v>
      </c>
      <c r="E276" s="321">
        <v>35498.300000000003</v>
      </c>
      <c r="G276">
        <v>0.2</v>
      </c>
    </row>
    <row r="277" spans="1:7" customFormat="1">
      <c r="A277" t="s">
        <v>802</v>
      </c>
      <c r="B277" t="s">
        <v>286</v>
      </c>
      <c r="D277">
        <v>1638</v>
      </c>
      <c r="E277" s="321">
        <v>30387.200000000001</v>
      </c>
      <c r="G277">
        <v>0.2</v>
      </c>
    </row>
    <row r="278" spans="1:7" customFormat="1">
      <c r="A278" s="85" t="s">
        <v>804</v>
      </c>
      <c r="B278" t="s">
        <v>809</v>
      </c>
      <c r="C278" t="s">
        <v>42</v>
      </c>
      <c r="D278">
        <v>784230</v>
      </c>
      <c r="E278" s="321">
        <v>13914732.300000001</v>
      </c>
      <c r="G278">
        <v>82.2</v>
      </c>
    </row>
    <row r="279" spans="1:7" customFormat="1">
      <c r="A279" s="85" t="s">
        <v>804</v>
      </c>
      <c r="B279" t="s">
        <v>810</v>
      </c>
      <c r="C279" t="s">
        <v>42</v>
      </c>
      <c r="D279">
        <v>1436</v>
      </c>
      <c r="E279" s="321">
        <v>25396.2</v>
      </c>
      <c r="G279">
        <v>0.2</v>
      </c>
    </row>
    <row r="280" spans="1:7" customFormat="1">
      <c r="A280" s="85" t="s">
        <v>804</v>
      </c>
      <c r="B280" t="s">
        <v>43</v>
      </c>
      <c r="C280" t="s">
        <v>43</v>
      </c>
      <c r="D280">
        <v>10617</v>
      </c>
      <c r="E280" s="321">
        <v>189485.9</v>
      </c>
      <c r="G280">
        <v>1.1000000000000001</v>
      </c>
    </row>
    <row r="281" spans="1:7" customFormat="1">
      <c r="A281" s="85" t="s">
        <v>804</v>
      </c>
      <c r="B281" t="s">
        <v>17</v>
      </c>
      <c r="C281" t="s">
        <v>17</v>
      </c>
      <c r="D281">
        <v>48571</v>
      </c>
      <c r="E281" s="321">
        <v>869199.9</v>
      </c>
      <c r="G281">
        <v>5.0999999999999996</v>
      </c>
    </row>
    <row r="282" spans="1:7" customFormat="1">
      <c r="A282" s="85" t="s">
        <v>804</v>
      </c>
      <c r="B282" t="s">
        <v>7</v>
      </c>
      <c r="C282" t="s">
        <v>7</v>
      </c>
      <c r="D282">
        <v>111005</v>
      </c>
      <c r="E282" s="321">
        <v>1425605.2</v>
      </c>
      <c r="G282">
        <v>8.4</v>
      </c>
    </row>
    <row r="283" spans="1:7" customFormat="1">
      <c r="A283" s="85" t="s">
        <v>804</v>
      </c>
      <c r="B283" t="s">
        <v>9</v>
      </c>
      <c r="C283" t="s">
        <v>9</v>
      </c>
      <c r="D283">
        <v>3573</v>
      </c>
      <c r="E283" s="321">
        <v>55809.2</v>
      </c>
      <c r="G283">
        <v>0.3</v>
      </c>
    </row>
    <row r="284" spans="1:7" customFormat="1">
      <c r="A284" s="85" t="s">
        <v>804</v>
      </c>
      <c r="B284" t="s">
        <v>46</v>
      </c>
      <c r="C284" t="s">
        <v>46</v>
      </c>
      <c r="D284">
        <v>1081</v>
      </c>
      <c r="E284" s="321">
        <v>11802.1</v>
      </c>
      <c r="G284">
        <v>0.1</v>
      </c>
    </row>
    <row r="285" spans="1:7" customFormat="1">
      <c r="A285" s="85" t="s">
        <v>804</v>
      </c>
      <c r="B285" t="s">
        <v>44</v>
      </c>
      <c r="C285" t="s">
        <v>44</v>
      </c>
      <c r="D285">
        <v>5101</v>
      </c>
      <c r="E285" s="321">
        <v>107689</v>
      </c>
      <c r="G285">
        <v>0.6</v>
      </c>
    </row>
    <row r="286" spans="1:7" customFormat="1">
      <c r="A286" s="85" t="s">
        <v>804</v>
      </c>
      <c r="B286" t="s">
        <v>41</v>
      </c>
      <c r="C286" t="s">
        <v>41</v>
      </c>
      <c r="D286">
        <v>2826</v>
      </c>
      <c r="E286" s="321">
        <v>48638.8</v>
      </c>
      <c r="G286">
        <v>0.3</v>
      </c>
    </row>
    <row r="287" spans="1:7" customFormat="1">
      <c r="A287" s="85" t="s">
        <v>804</v>
      </c>
      <c r="B287" t="s">
        <v>47</v>
      </c>
      <c r="C287" t="s">
        <v>47</v>
      </c>
      <c r="D287">
        <v>14933</v>
      </c>
      <c r="E287" s="321">
        <v>251838.3</v>
      </c>
      <c r="G287">
        <v>1.5</v>
      </c>
    </row>
    <row r="288" spans="1:7" customFormat="1">
      <c r="A288" s="85" t="s">
        <v>804</v>
      </c>
      <c r="B288" t="s">
        <v>286</v>
      </c>
      <c r="D288">
        <v>1254</v>
      </c>
      <c r="E288" s="321">
        <v>23112</v>
      </c>
      <c r="G288">
        <v>0.1</v>
      </c>
    </row>
    <row r="289" spans="1:7" customFormat="1">
      <c r="A289" s="85" t="s">
        <v>803</v>
      </c>
      <c r="B289" t="s">
        <v>809</v>
      </c>
      <c r="C289" t="s">
        <v>42</v>
      </c>
      <c r="D289">
        <v>615597</v>
      </c>
      <c r="E289" s="321">
        <v>11127407.199999999</v>
      </c>
      <c r="G289">
        <v>65.8</v>
      </c>
    </row>
    <row r="290" spans="1:7" customFormat="1">
      <c r="A290" s="85" t="s">
        <v>803</v>
      </c>
      <c r="B290" t="s">
        <v>810</v>
      </c>
      <c r="C290" t="s">
        <v>42</v>
      </c>
      <c r="D290">
        <v>1424</v>
      </c>
      <c r="E290" s="321">
        <v>24976.9</v>
      </c>
      <c r="G290">
        <v>0.1</v>
      </c>
    </row>
    <row r="291" spans="1:7" customFormat="1">
      <c r="A291" s="85" t="s">
        <v>803</v>
      </c>
      <c r="B291" t="s">
        <v>43</v>
      </c>
      <c r="C291" t="s">
        <v>43</v>
      </c>
      <c r="D291">
        <v>10510</v>
      </c>
      <c r="E291" s="321">
        <v>227606.3</v>
      </c>
      <c r="G291">
        <v>1.3</v>
      </c>
    </row>
    <row r="292" spans="1:7" customFormat="1">
      <c r="A292" s="85" t="s">
        <v>803</v>
      </c>
      <c r="B292" t="s">
        <v>17</v>
      </c>
      <c r="C292" t="s">
        <v>17</v>
      </c>
      <c r="D292">
        <v>57282</v>
      </c>
      <c r="E292" s="321">
        <v>920344.2</v>
      </c>
      <c r="G292">
        <v>5.4</v>
      </c>
    </row>
    <row r="293" spans="1:7" customFormat="1">
      <c r="A293" s="85" t="s">
        <v>803</v>
      </c>
      <c r="B293" t="s">
        <v>7</v>
      </c>
      <c r="C293" t="s">
        <v>7</v>
      </c>
      <c r="D293">
        <v>118770</v>
      </c>
      <c r="E293" s="321">
        <v>1560959.7</v>
      </c>
      <c r="G293">
        <v>9.1999999999999993</v>
      </c>
    </row>
    <row r="294" spans="1:7" customFormat="1">
      <c r="A294" s="85" t="s">
        <v>803</v>
      </c>
      <c r="B294" t="s">
        <v>9</v>
      </c>
      <c r="C294" t="s">
        <v>9</v>
      </c>
      <c r="D294">
        <v>10288</v>
      </c>
      <c r="E294" s="321">
        <v>162993.60000000001</v>
      </c>
      <c r="G294">
        <v>1</v>
      </c>
    </row>
    <row r="295" spans="1:7" customFormat="1">
      <c r="A295" s="85" t="s">
        <v>803</v>
      </c>
      <c r="B295" t="s">
        <v>46</v>
      </c>
      <c r="C295" t="s">
        <v>46</v>
      </c>
      <c r="D295">
        <v>1272</v>
      </c>
      <c r="E295" s="321">
        <v>14210.5</v>
      </c>
      <c r="G295">
        <v>0.1</v>
      </c>
    </row>
    <row r="296" spans="1:7" customFormat="1">
      <c r="A296" s="85" t="s">
        <v>803</v>
      </c>
      <c r="B296" t="s">
        <v>44</v>
      </c>
      <c r="C296" t="s">
        <v>44</v>
      </c>
      <c r="D296">
        <v>1101</v>
      </c>
      <c r="E296" s="321">
        <v>19747</v>
      </c>
      <c r="G296">
        <v>0.1</v>
      </c>
    </row>
    <row r="297" spans="1:7" customFormat="1">
      <c r="A297" s="85" t="s">
        <v>803</v>
      </c>
      <c r="B297" t="s">
        <v>41</v>
      </c>
      <c r="C297" t="s">
        <v>41</v>
      </c>
      <c r="D297">
        <v>14827</v>
      </c>
      <c r="E297" s="321">
        <v>250052.7</v>
      </c>
      <c r="G297">
        <v>1.5</v>
      </c>
    </row>
    <row r="298" spans="1:7" customFormat="1">
      <c r="A298" s="85" t="s">
        <v>803</v>
      </c>
      <c r="B298" t="s">
        <v>47</v>
      </c>
      <c r="C298" t="s">
        <v>47</v>
      </c>
      <c r="D298">
        <v>152445</v>
      </c>
      <c r="E298" s="321">
        <v>2594103.2999999998</v>
      </c>
      <c r="G298">
        <v>15.3</v>
      </c>
    </row>
    <row r="299" spans="1:7" customFormat="1">
      <c r="A299" s="85" t="s">
        <v>803</v>
      </c>
      <c r="B299" t="s">
        <v>286</v>
      </c>
      <c r="D299">
        <v>1111</v>
      </c>
      <c r="E299" s="321">
        <v>20907.7</v>
      </c>
      <c r="G299">
        <v>0.1</v>
      </c>
    </row>
    <row r="300" spans="1:7" customFormat="1"/>
    <row r="301" spans="1:7" customFormat="1"/>
    <row r="302" spans="1:7" customFormat="1"/>
    <row r="303" spans="1:7" customFormat="1"/>
    <row r="304" spans="1:7"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sheetData>
  <mergeCells count="1">
    <mergeCell ref="A256:G256"/>
  </mergeCells>
  <conditionalFormatting sqref="A48:A66">
    <cfRule type="colorScale" priority="2">
      <colorScale>
        <cfvo type="min"/>
        <cfvo type="percentile" val="50"/>
        <cfvo type="max"/>
        <color rgb="FFF8696B"/>
        <color rgb="FFFFEB84"/>
        <color rgb="FF63BE7B"/>
      </colorScale>
    </cfRule>
  </conditionalFormatting>
  <conditionalFormatting sqref="F59:P66">
    <cfRule type="dataBar" priority="3">
      <dataBar>
        <cfvo type="min"/>
        <cfvo type="max"/>
        <color rgb="FFFFB628"/>
      </dataBar>
      <extLst>
        <ext xmlns:x14="http://schemas.microsoft.com/office/spreadsheetml/2009/9/main" uri="{B025F937-C7B1-47D3-B67F-A62EFF666E3E}">
          <x14:id>{95A84A6F-D529-48E9-81E4-B6A039028B99}</x14:id>
        </ext>
      </extLst>
    </cfRule>
  </conditionalFormatting>
  <conditionalFormatting sqref="F70:P78">
    <cfRule type="dataBar" priority="1">
      <dataBar>
        <cfvo type="min"/>
        <cfvo type="max"/>
        <color rgb="FFFFB628"/>
      </dataBar>
      <extLst>
        <ext xmlns:x14="http://schemas.microsoft.com/office/spreadsheetml/2009/9/main" uri="{B025F937-C7B1-47D3-B67F-A62EFF666E3E}">
          <x14:id>{932C7EC3-747A-433C-A01B-1C33C5272686}</x14:id>
        </ext>
      </extLst>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5A84A6F-D529-48E9-81E4-B6A039028B99}">
            <x14:dataBar minLength="0" maxLength="100" gradient="0">
              <x14:cfvo type="autoMin"/>
              <x14:cfvo type="autoMax"/>
              <x14:negativeFillColor rgb="FFFF0000"/>
              <x14:axisColor rgb="FF000000"/>
            </x14:dataBar>
          </x14:cfRule>
          <xm:sqref>F59:P66</xm:sqref>
        </x14:conditionalFormatting>
        <x14:conditionalFormatting xmlns:xm="http://schemas.microsoft.com/office/excel/2006/main">
          <x14:cfRule type="dataBar" id="{932C7EC3-747A-433C-A01B-1C33C5272686}">
            <x14:dataBar minLength="0" maxLength="100" border="1" negativeBarBorderColorSameAsPositive="0">
              <x14:cfvo type="autoMin"/>
              <x14:cfvo type="autoMax"/>
              <x14:borderColor rgb="FFFFB628"/>
              <x14:negativeFillColor rgb="FFFF0000"/>
              <x14:negativeBorderColor rgb="FFFF0000"/>
              <x14:axisColor rgb="FF000000"/>
            </x14:dataBar>
          </x14:cfRule>
          <xm:sqref>F70:P78</xm:sqref>
        </x14:conditionalFormatting>
      </x14:conditionalFormatting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AD934-39B2-441B-8A26-136746954FA5}">
  <sheetPr codeName="Sheet49"/>
  <dimension ref="A1:V83"/>
  <sheetViews>
    <sheetView zoomScaleNormal="100" workbookViewId="0">
      <pane xSplit="5" ySplit="19" topLeftCell="F73" activePane="bottomRight" state="frozen"/>
      <selection pane="topRight" activeCell="F1" sqref="F1"/>
      <selection pane="bottomLeft" activeCell="A2" sqref="A2"/>
      <selection pane="bottomRight" activeCell="E62" sqref="E62"/>
    </sheetView>
  </sheetViews>
  <sheetFormatPr defaultColWidth="8.85546875" defaultRowHeight="12.75"/>
  <cols>
    <col min="1" max="1" width="19.42578125" customWidth="1"/>
    <col min="2" max="2" width="30" customWidth="1"/>
    <col min="3" max="3" width="14" customWidth="1"/>
    <col min="6" max="6" width="13.7109375" customWidth="1"/>
    <col min="7" max="8" width="11.42578125" customWidth="1"/>
    <col min="9" max="9" width="13.7109375" customWidth="1"/>
    <col min="14" max="15" width="12.42578125" customWidth="1"/>
    <col min="16" max="16" width="14.85546875" customWidth="1"/>
    <col min="19" max="19" width="15.28515625" customWidth="1"/>
  </cols>
  <sheetData>
    <row r="1" spans="1:1" s="15" customFormat="1">
      <c r="A1" s="15" t="s">
        <v>419</v>
      </c>
    </row>
    <row r="18" spans="1:22">
      <c r="A18" s="392" t="s">
        <v>812</v>
      </c>
    </row>
    <row r="19" spans="1:22" s="15" customFormat="1" ht="25.5">
      <c r="F19" s="91" t="s">
        <v>42</v>
      </c>
      <c r="G19" s="399" t="s">
        <v>43</v>
      </c>
      <c r="H19" s="399" t="s">
        <v>17</v>
      </c>
      <c r="I19" s="399" t="s">
        <v>7</v>
      </c>
      <c r="J19" s="399" t="s">
        <v>9</v>
      </c>
      <c r="K19" s="399" t="s">
        <v>46</v>
      </c>
      <c r="L19" s="399" t="s">
        <v>44</v>
      </c>
      <c r="M19" s="399" t="s">
        <v>41</v>
      </c>
      <c r="N19" s="400" t="s">
        <v>2</v>
      </c>
      <c r="O19" s="400" t="s">
        <v>47</v>
      </c>
      <c r="P19" s="400" t="s">
        <v>286</v>
      </c>
      <c r="S19" s="400" t="s">
        <v>815</v>
      </c>
      <c r="T19" s="401" t="s">
        <v>820</v>
      </c>
      <c r="U19"/>
      <c r="V19"/>
    </row>
    <row r="20" spans="1:22">
      <c r="A20" s="392">
        <v>2017</v>
      </c>
      <c r="B20" s="85" t="s">
        <v>803</v>
      </c>
      <c r="C20" s="395" t="s">
        <v>22</v>
      </c>
      <c r="D20" s="85" t="s">
        <v>61</v>
      </c>
      <c r="E20" s="85"/>
      <c r="F20" s="394">
        <f>'Census 2011_17'!F70*'Census 2011_17'!$H$3</f>
        <v>4972127.0907013947</v>
      </c>
      <c r="G20" s="394">
        <f>'Census 2011_17'!G70*'Census 2011_17'!$H$3</f>
        <v>194944.7163574484</v>
      </c>
      <c r="H20" s="394">
        <f>'Census 2011_17'!H70*'Census 2011_17'!$H$3</f>
        <v>988243.02195122826</v>
      </c>
      <c r="I20" s="394">
        <f>'Census 2011_17'!I70*'Census 2011_17'!$H$3</f>
        <v>1403483.6842982608</v>
      </c>
      <c r="J20" s="394">
        <f>'Census 2011_17'!J70*'Census 2011_17'!$H$3</f>
        <v>66001.647920682255</v>
      </c>
      <c r="K20" s="394">
        <f>'Census 2011_17'!K70*'Census 2011_17'!$H$3</f>
        <v>34131.532906167784</v>
      </c>
      <c r="L20" s="394">
        <f>'Census 2011_17'!L70*'Census 2011_17'!$H$3</f>
        <v>11039.53714615331</v>
      </c>
      <c r="M20" s="394">
        <f>'Census 2011_17'!M70*'Census 2011_17'!$H$3</f>
        <v>11868.020996821147</v>
      </c>
      <c r="N20" s="394"/>
      <c r="O20" s="394"/>
      <c r="P20" s="394"/>
      <c r="Q20" s="394"/>
      <c r="R20" s="394"/>
      <c r="S20" s="382">
        <f>SUM(F20:P20)</f>
        <v>7681839.2522781566</v>
      </c>
      <c r="T20" s="384">
        <f>'Census 2011_17'!F6</f>
        <v>0.76624999999999999</v>
      </c>
      <c r="U20" s="85"/>
    </row>
    <row r="21" spans="1:22">
      <c r="A21" s="392">
        <v>2017</v>
      </c>
      <c r="B21" s="85" t="s">
        <v>803</v>
      </c>
      <c r="C21" s="395" t="s">
        <v>24</v>
      </c>
      <c r="D21" s="85" t="s">
        <v>61</v>
      </c>
      <c r="E21" s="85"/>
      <c r="F21" s="394">
        <f>'Census 2011_17'!F71*'Census 2011_17'!$H$4</f>
        <v>4168279.766984453</v>
      </c>
      <c r="G21" s="394">
        <f>'Census 2011_17'!G71*'Census 2011_17'!$H$4</f>
        <v>159792.96004378959</v>
      </c>
      <c r="H21" s="394">
        <f>'Census 2011_17'!H71*'Census 2011_17'!$H$4</f>
        <v>446689.66987402603</v>
      </c>
      <c r="I21" s="394">
        <f>'Census 2011_17'!I71*'Census 2011_17'!$H$4</f>
        <v>713369.69226657972</v>
      </c>
      <c r="J21" s="394">
        <f>'Census 2011_17'!J71*'Census 2011_17'!$H$4</f>
        <v>50141.629841162197</v>
      </c>
      <c r="K21" s="394">
        <f>'Census 2011_17'!K71*'Census 2011_17'!$H$4</f>
        <v>18413.302125939856</v>
      </c>
      <c r="L21" s="394">
        <f>'Census 2011_17'!L71*'Census 2011_17'!$H$4</f>
        <v>8215.7820966705749</v>
      </c>
      <c r="M21" s="394">
        <f>'Census 2011_17'!M71*'Census 2011_17'!$H$4</f>
        <v>8200.197266313251</v>
      </c>
      <c r="N21" s="394"/>
      <c r="O21" s="394"/>
      <c r="P21" s="394"/>
      <c r="Q21" s="394"/>
      <c r="R21" s="394"/>
      <c r="S21" s="382">
        <f>SUM(F21:P21)</f>
        <v>5573103.0004989346</v>
      </c>
      <c r="T21" s="384">
        <f>'Census 2011_17'!F7</f>
        <v>0.87375000000000003</v>
      </c>
      <c r="U21" s="85"/>
    </row>
    <row r="22" spans="1:22">
      <c r="A22" s="392">
        <v>2017</v>
      </c>
      <c r="B22" s="85" t="s">
        <v>803</v>
      </c>
      <c r="C22" s="395" t="s">
        <v>25</v>
      </c>
      <c r="D22" s="85" t="s">
        <v>61</v>
      </c>
      <c r="E22" s="85"/>
      <c r="F22" s="394">
        <f>'Census 2011_17'!F72*'Census 2011_17'!$H$5</f>
        <v>3742274.2518551368</v>
      </c>
      <c r="G22" s="394">
        <f>'Census 2011_17'!G72*'Census 2011_17'!$H$5</f>
        <v>261331.8043062962</v>
      </c>
      <c r="H22" s="394">
        <f>'Census 2011_17'!H72*'Census 2011_17'!$H$5</f>
        <v>56547.691446721707</v>
      </c>
      <c r="I22" s="394">
        <f>'Census 2011_17'!I72*'Census 2011_17'!$H$5</f>
        <v>79648.136169583551</v>
      </c>
      <c r="J22" s="394">
        <f>'Census 2011_17'!J72*'Census 2011_17'!$H$5</f>
        <v>10395.534751917374</v>
      </c>
      <c r="K22" s="394">
        <f>'Census 2011_17'!K72*'Census 2011_17'!$H$5</f>
        <v>2557.8030319023705</v>
      </c>
      <c r="L22" s="394">
        <f>'Census 2011_17'!L72*'Census 2011_17'!$H$5</f>
        <v>7764.9897563554941</v>
      </c>
      <c r="M22" s="394">
        <f>'Census 2011_17'!M72*'Census 2011_17'!$H$5</f>
        <v>15545.80590499487</v>
      </c>
      <c r="N22" s="394"/>
      <c r="O22" s="394"/>
      <c r="P22" s="394"/>
      <c r="Q22" s="394"/>
      <c r="R22" s="394"/>
      <c r="S22" s="382">
        <f>SUM(F22:P22)</f>
        <v>4176066.0172229079</v>
      </c>
      <c r="T22" s="383">
        <v>1</v>
      </c>
      <c r="U22" s="85"/>
    </row>
    <row r="23" spans="1:22">
      <c r="A23" s="392">
        <v>2017</v>
      </c>
      <c r="B23" s="85" t="s">
        <v>803</v>
      </c>
      <c r="C23" s="395"/>
      <c r="D23" s="85" t="s">
        <v>61</v>
      </c>
      <c r="E23" s="85"/>
      <c r="F23" s="383">
        <f t="shared" ref="F23:M23" si="0">SUM(F20:F22)/SUM($F$20:$M$22)</f>
        <v>0.73906689217243915</v>
      </c>
      <c r="G23" s="383">
        <f t="shared" si="0"/>
        <v>3.5343307235292484E-2</v>
      </c>
      <c r="H23" s="383">
        <f t="shared" si="0"/>
        <v>8.5564779740189764E-2</v>
      </c>
      <c r="I23" s="383">
        <f t="shared" si="0"/>
        <v>0.12601115659584414</v>
      </c>
      <c r="J23" s="383">
        <f t="shared" si="0"/>
        <v>7.2594086672280508E-3</v>
      </c>
      <c r="K23" s="383">
        <f t="shared" si="0"/>
        <v>3.1611847811951047E-3</v>
      </c>
      <c r="L23" s="383">
        <f t="shared" si="0"/>
        <v>1.5501288612020938E-3</v>
      </c>
      <c r="M23" s="383">
        <f t="shared" si="0"/>
        <v>2.0431419466092234E-3</v>
      </c>
      <c r="N23" s="394"/>
      <c r="O23" s="394"/>
      <c r="P23" s="394"/>
      <c r="Q23" s="394"/>
      <c r="R23" s="394"/>
      <c r="S23" s="382"/>
      <c r="T23" s="85"/>
      <c r="U23" s="85"/>
    </row>
    <row r="24" spans="1:22">
      <c r="A24" s="392">
        <v>2017</v>
      </c>
      <c r="B24" s="85" t="s">
        <v>803</v>
      </c>
      <c r="C24" s="395" t="s">
        <v>22</v>
      </c>
      <c r="D24" s="85" t="s">
        <v>61</v>
      </c>
      <c r="E24" s="85"/>
      <c r="F24" s="396">
        <f>F20*'Census 2011_17'!F$84/F$23</f>
        <v>4970934.2879842855</v>
      </c>
      <c r="G24" s="396">
        <f>G20*'Census 2011_17'!G$84/G$23</f>
        <v>248857.1267482237</v>
      </c>
      <c r="H24" s="396">
        <f>H20*'Census 2011_17'!H$84/H$23</f>
        <v>943105.87683779513</v>
      </c>
      <c r="I24" s="396">
        <f>I20*'Census 2011_17'!I$84/I$23</f>
        <v>1354781.0140957711</v>
      </c>
      <c r="J24" s="396">
        <f>J20*'Census 2011_17'!J$84/J$23</f>
        <v>39679.902450589048</v>
      </c>
      <c r="K24" s="396">
        <f>K20*'Census 2011_17'!K$84/K$23</f>
        <v>8235.6783106809489</v>
      </c>
      <c r="L24" s="396">
        <f>L20*'Census 2011_17'!L$84/L$23</f>
        <v>7702.8920280133079</v>
      </c>
      <c r="M24" s="396">
        <f>M20*'Census 2011_17'!M$84/M$23</f>
        <v>10231.29228003852</v>
      </c>
      <c r="N24" s="394"/>
      <c r="O24" s="394"/>
      <c r="P24" s="394"/>
      <c r="Q24" s="394"/>
      <c r="R24" s="394"/>
      <c r="S24" s="382">
        <f>SUM(F24:P24)</f>
        <v>7583528.0707353977</v>
      </c>
      <c r="T24" s="85"/>
      <c r="U24" s="85"/>
    </row>
    <row r="25" spans="1:22">
      <c r="A25" s="392">
        <v>2017</v>
      </c>
      <c r="B25" s="85" t="s">
        <v>803</v>
      </c>
      <c r="C25" s="395" t="s">
        <v>24</v>
      </c>
      <c r="D25" s="85" t="s">
        <v>61</v>
      </c>
      <c r="E25" s="85"/>
      <c r="F25" s="396">
        <f>F21*'Census 2011_17'!F$84/F$23</f>
        <v>4167279.8055311288</v>
      </c>
      <c r="G25" s="396">
        <f>G21*'Census 2011_17'!G$84/G$23</f>
        <v>203984.07124908894</v>
      </c>
      <c r="H25" s="396">
        <f>H21*'Census 2011_17'!H$84/H$23</f>
        <v>426287.5056270514</v>
      </c>
      <c r="I25" s="396">
        <f>I21*'Census 2011_17'!I$84/I$23</f>
        <v>688614.85596630443</v>
      </c>
      <c r="J25" s="396">
        <f>J21*'Census 2011_17'!J$84/J$23</f>
        <v>30144.928853926322</v>
      </c>
      <c r="K25" s="396">
        <f>K21*'Census 2011_17'!K$84/K$23</f>
        <v>4442.9892253451899</v>
      </c>
      <c r="L25" s="396">
        <f>L21*'Census 2011_17'!L$84/L$23</f>
        <v>5732.6028780463666</v>
      </c>
      <c r="M25" s="396">
        <f>M21*'Census 2011_17'!M$84/M$23</f>
        <v>7069.3011925152477</v>
      </c>
      <c r="N25" s="394"/>
      <c r="O25" s="394"/>
      <c r="P25" s="394"/>
      <c r="Q25" s="394"/>
      <c r="R25" s="394"/>
      <c r="S25" s="382">
        <f>SUM(F25:P25)</f>
        <v>5533556.0605234057</v>
      </c>
      <c r="T25" s="85"/>
      <c r="U25" s="85"/>
    </row>
    <row r="26" spans="1:22">
      <c r="A26" s="392">
        <v>2017</v>
      </c>
      <c r="B26" s="85" t="s">
        <v>803</v>
      </c>
      <c r="C26" s="395" t="s">
        <v>25</v>
      </c>
      <c r="D26" s="85" t="s">
        <v>61</v>
      </c>
      <c r="E26" s="85"/>
      <c r="F26" s="396">
        <f>F22*'Census 2011_17'!F$84/F$23</f>
        <v>3741376.4882191005</v>
      </c>
      <c r="G26" s="396">
        <f>G22*'Census 2011_17'!G$84/G$23</f>
        <v>333603.71680116648</v>
      </c>
      <c r="H26" s="396">
        <f>H22*'Census 2011_17'!H$84/H$23</f>
        <v>53964.92455845089</v>
      </c>
      <c r="I26" s="396">
        <f>I22*'Census 2011_17'!I$84/I$23</f>
        <v>76884.244468163641</v>
      </c>
      <c r="J26" s="396">
        <f>J22*'Census 2011_17'!J$84/J$23</f>
        <v>6249.7500876569911</v>
      </c>
      <c r="K26" s="396">
        <f>K22*'Census 2011_17'!K$84/K$23</f>
        <v>617.17834387173696</v>
      </c>
      <c r="L26" s="396">
        <f>L22*'Census 2011_17'!L$84/L$23</f>
        <v>5418.0602773439041</v>
      </c>
      <c r="M26" s="396">
        <f>M22*'Census 2011_17'!M$84/M$23</f>
        <v>13401.870790871859</v>
      </c>
      <c r="N26" s="394"/>
      <c r="O26" s="394"/>
      <c r="P26" s="394"/>
      <c r="Q26" s="394"/>
      <c r="R26" s="394"/>
      <c r="S26" s="382">
        <f>SUM(F26:P26)</f>
        <v>4231516.2335466258</v>
      </c>
      <c r="T26" s="85"/>
      <c r="U26" s="85"/>
    </row>
    <row r="27" spans="1:22">
      <c r="A27" s="392">
        <v>2017</v>
      </c>
      <c r="B27" s="85" t="s">
        <v>803</v>
      </c>
      <c r="C27" s="395" t="s">
        <v>22</v>
      </c>
      <c r="D27" s="85" t="s">
        <v>61</v>
      </c>
      <c r="E27" s="85"/>
      <c r="F27" s="394">
        <f>F24*'Census 2011_17'!$H3/$S24</f>
        <v>5035376.3812507456</v>
      </c>
      <c r="G27" s="394">
        <f>G24*'Census 2011_17'!$H3/$S24</f>
        <v>252083.25552862149</v>
      </c>
      <c r="H27" s="394">
        <f>H24*'Census 2011_17'!$H3/$S24</f>
        <v>955332.09294816176</v>
      </c>
      <c r="I27" s="394">
        <f>I24*'Census 2011_17'!$H3/$S24</f>
        <v>1372344.095683275</v>
      </c>
      <c r="J27" s="394">
        <f>J24*'Census 2011_17'!$H3/$S24</f>
        <v>40194.30393457281</v>
      </c>
      <c r="K27" s="394">
        <f>K24*'Census 2011_17'!$H3/$S24</f>
        <v>8342.4438237741979</v>
      </c>
      <c r="L27" s="394">
        <f>L24*'Census 2011_17'!$H3/$S24</f>
        <v>7802.7506175123835</v>
      </c>
      <c r="M27" s="394">
        <f>M24*'Census 2011_17'!$H3/$S24</f>
        <v>10363.928491492848</v>
      </c>
      <c r="N27" s="394"/>
      <c r="O27" s="394"/>
      <c r="P27" s="394"/>
      <c r="Q27" s="394"/>
      <c r="R27" s="394"/>
      <c r="S27" s="382">
        <f>SUM(F27:M27)</f>
        <v>7681839.2522781566</v>
      </c>
      <c r="T27" s="85"/>
      <c r="U27" s="85"/>
    </row>
    <row r="28" spans="1:22">
      <c r="A28" s="392">
        <v>2017</v>
      </c>
      <c r="B28" s="85" t="s">
        <v>803</v>
      </c>
      <c r="C28" s="395" t="s">
        <v>24</v>
      </c>
      <c r="D28" s="85" t="s">
        <v>61</v>
      </c>
      <c r="E28" s="85"/>
      <c r="F28" s="394">
        <f>F25*'Census 2011_17'!$H4/$S25</f>
        <v>4197062.3111257292</v>
      </c>
      <c r="G28" s="394">
        <f>G25*'Census 2011_17'!$H4/$S25</f>
        <v>205441.89434393414</v>
      </c>
      <c r="H28" s="394">
        <f>H25*'Census 2011_17'!$H4/$S25</f>
        <v>429334.07571922388</v>
      </c>
      <c r="I28" s="394">
        <f>I25*'Census 2011_17'!$H4/$S25</f>
        <v>693536.21396418114</v>
      </c>
      <c r="J28" s="394">
        <f>J25*'Census 2011_17'!$H4/$S25</f>
        <v>30360.36711440724</v>
      </c>
      <c r="K28" s="394">
        <f>K25*'Census 2011_17'!$H4/$S25</f>
        <v>4474.74215714616</v>
      </c>
      <c r="L28" s="394">
        <f>L25*'Census 2011_17'!$H4/$S25</f>
        <v>5773.5723558002783</v>
      </c>
      <c r="M28" s="394">
        <f>M25*'Census 2011_17'!$H4/$S25</f>
        <v>7119.8237185132739</v>
      </c>
      <c r="N28" s="394"/>
      <c r="O28" s="394"/>
      <c r="P28" s="394"/>
      <c r="Q28" s="394"/>
      <c r="R28" s="394"/>
      <c r="S28" s="382">
        <f>SUM(F28:M28)</f>
        <v>5573103.0004989356</v>
      </c>
      <c r="T28" s="85"/>
      <c r="U28" s="85"/>
    </row>
    <row r="29" spans="1:22">
      <c r="A29" s="392">
        <v>2017</v>
      </c>
      <c r="B29" s="85" t="s">
        <v>803</v>
      </c>
      <c r="C29" s="395" t="s">
        <v>25</v>
      </c>
      <c r="D29" s="85" t="s">
        <v>61</v>
      </c>
      <c r="E29" s="85"/>
      <c r="F29" s="394">
        <f>F26*'Census 2011_17'!$H5/$S26</f>
        <v>3692349.1126473104</v>
      </c>
      <c r="G29" s="394">
        <f>G26*'Census 2011_17'!$H5/$S26</f>
        <v>329232.13998518523</v>
      </c>
      <c r="H29" s="394">
        <f>H26*'Census 2011_17'!$H5/$S26</f>
        <v>53257.762733822572</v>
      </c>
      <c r="I29" s="394">
        <f>I26*'Census 2011_17'!$H5/$S26</f>
        <v>75876.745559416217</v>
      </c>
      <c r="J29" s="394">
        <f>J26*'Census 2011_17'!$H5/$S26</f>
        <v>6167.8527309642841</v>
      </c>
      <c r="K29" s="394">
        <f>K26*'Census 2011_17'!$H5/$S26</f>
        <v>609.09077648709808</v>
      </c>
      <c r="L29" s="394">
        <f>L26*'Census 2011_17'!$H5/$S26</f>
        <v>5347.0614679686996</v>
      </c>
      <c r="M29" s="394">
        <f>M26*'Census 2011_17'!$H5/$S26</f>
        <v>13226.25132175464</v>
      </c>
      <c r="N29" s="394"/>
      <c r="O29" s="394"/>
      <c r="P29" s="394"/>
      <c r="Q29" s="394"/>
      <c r="R29" s="394"/>
      <c r="S29" s="382">
        <f>SUM(F29:M29)</f>
        <v>4176066.0172229093</v>
      </c>
      <c r="T29" s="85"/>
      <c r="U29" s="85"/>
    </row>
    <row r="30" spans="1:22" ht="13.5" thickBot="1">
      <c r="A30" s="392">
        <v>2017</v>
      </c>
      <c r="B30" s="85" t="s">
        <v>803</v>
      </c>
      <c r="C30" s="395"/>
      <c r="D30" s="85" t="s">
        <v>61</v>
      </c>
      <c r="E30" s="85"/>
      <c r="F30" s="383">
        <f t="shared" ref="F30:M30" si="1">SUM(F27:F29)/SUM($F$27:$M$29)</f>
        <v>0.74148251236093221</v>
      </c>
      <c r="G30" s="383">
        <f t="shared" si="1"/>
        <v>4.5135500922904498E-2</v>
      </c>
      <c r="H30" s="383">
        <f t="shared" si="1"/>
        <v>8.2492298157874039E-2</v>
      </c>
      <c r="I30" s="383">
        <f t="shared" si="1"/>
        <v>0.12287052028384314</v>
      </c>
      <c r="J30" s="383">
        <f t="shared" si="1"/>
        <v>4.4014966083166414E-3</v>
      </c>
      <c r="K30" s="383">
        <f t="shared" si="1"/>
        <v>7.7025244606848307E-4</v>
      </c>
      <c r="L30" s="383">
        <f t="shared" si="1"/>
        <v>1.0856161702275046E-3</v>
      </c>
      <c r="M30" s="383">
        <f t="shared" si="1"/>
        <v>1.7618030498336033E-3</v>
      </c>
      <c r="N30" s="394"/>
      <c r="O30" s="394"/>
      <c r="P30" s="394"/>
      <c r="Q30" s="394"/>
      <c r="R30" s="394"/>
      <c r="S30" s="382"/>
      <c r="T30" s="85"/>
      <c r="U30" s="85"/>
    </row>
    <row r="31" spans="1:22" ht="13.5" thickBot="1">
      <c r="A31" s="392" t="s">
        <v>816</v>
      </c>
      <c r="B31" s="85" t="s">
        <v>801</v>
      </c>
      <c r="C31" s="212" t="s">
        <v>22</v>
      </c>
      <c r="D31" s="85" t="s">
        <v>61</v>
      </c>
      <c r="E31" s="85"/>
      <c r="F31" s="409">
        <f t="shared" ref="F31:M33" si="2">F27/SUM($F27:$M27)</f>
        <v>0.65549098541178596</v>
      </c>
      <c r="G31" s="409">
        <f t="shared" si="2"/>
        <v>3.2815481716030791E-2</v>
      </c>
      <c r="H31" s="409">
        <f t="shared" si="2"/>
        <v>0.12436241654820422</v>
      </c>
      <c r="I31" s="409">
        <f t="shared" si="2"/>
        <v>0.17864785380353895</v>
      </c>
      <c r="J31" s="409">
        <f t="shared" si="2"/>
        <v>5.2323802431367764E-3</v>
      </c>
      <c r="K31" s="409">
        <f t="shared" si="2"/>
        <v>1.0859956255007718E-3</v>
      </c>
      <c r="L31" s="409">
        <f t="shared" si="2"/>
        <v>1.0157398978634406E-3</v>
      </c>
      <c r="M31" s="409">
        <f t="shared" si="2"/>
        <v>1.3491467539390753E-3</v>
      </c>
      <c r="N31" s="394"/>
      <c r="O31" s="394"/>
      <c r="P31" s="394"/>
      <c r="Q31" s="394"/>
      <c r="R31" s="394"/>
      <c r="S31" s="384">
        <f>SUM(F31:O31)</f>
        <v>1</v>
      </c>
      <c r="T31" s="85"/>
      <c r="U31" s="85"/>
    </row>
    <row r="32" spans="1:22">
      <c r="A32" s="392" t="s">
        <v>816</v>
      </c>
      <c r="B32" s="85" t="s">
        <v>801</v>
      </c>
      <c r="C32" s="395" t="s">
        <v>24</v>
      </c>
      <c r="D32" s="85" t="s">
        <v>61</v>
      </c>
      <c r="E32" s="85"/>
      <c r="F32" s="409">
        <f t="shared" si="2"/>
        <v>0.75309254301418516</v>
      </c>
      <c r="G32" s="409">
        <f t="shared" si="2"/>
        <v>3.6863107379415352E-2</v>
      </c>
      <c r="H32" s="409">
        <f t="shared" si="2"/>
        <v>7.7036809777387472E-2</v>
      </c>
      <c r="I32" s="409">
        <f t="shared" si="2"/>
        <v>0.12444345885982941</v>
      </c>
      <c r="J32" s="409">
        <f t="shared" si="2"/>
        <v>5.447659429888378E-3</v>
      </c>
      <c r="K32" s="409">
        <f t="shared" si="2"/>
        <v>8.0291754104411055E-4</v>
      </c>
      <c r="L32" s="409">
        <f t="shared" si="2"/>
        <v>1.0359708685239435E-3</v>
      </c>
      <c r="M32" s="409">
        <f t="shared" si="2"/>
        <v>1.2775331297260909E-3</v>
      </c>
      <c r="N32" s="394"/>
      <c r="O32" s="394"/>
      <c r="P32" s="394"/>
      <c r="Q32" s="394"/>
      <c r="R32" s="394"/>
      <c r="S32" s="384">
        <f t="shared" ref="S32:S33" si="3">SUM(F31:O31)</f>
        <v>1</v>
      </c>
      <c r="T32" s="85"/>
      <c r="U32" s="85"/>
    </row>
    <row r="33" spans="1:21">
      <c r="A33" s="392" t="s">
        <v>816</v>
      </c>
      <c r="B33" s="85" t="s">
        <v>801</v>
      </c>
      <c r="C33" s="395" t="s">
        <v>25</v>
      </c>
      <c r="D33" s="85" t="s">
        <v>61</v>
      </c>
      <c r="E33" s="85"/>
      <c r="F33" s="409">
        <f t="shared" si="2"/>
        <v>0.88416923904443656</v>
      </c>
      <c r="G33" s="409">
        <f t="shared" si="2"/>
        <v>7.8837867655196972E-2</v>
      </c>
      <c r="H33" s="409">
        <f t="shared" si="2"/>
        <v>1.2753094063689891E-2</v>
      </c>
      <c r="I33" s="409">
        <f t="shared" si="2"/>
        <v>1.8169431528736794E-2</v>
      </c>
      <c r="J33" s="409">
        <f t="shared" si="2"/>
        <v>1.4769528799417583E-3</v>
      </c>
      <c r="K33" s="409">
        <f t="shared" si="2"/>
        <v>1.4585276525205519E-4</v>
      </c>
      <c r="L33" s="409">
        <f t="shared" si="2"/>
        <v>1.2804063551477341E-3</v>
      </c>
      <c r="M33" s="409">
        <f t="shared" si="2"/>
        <v>3.1671557075982526E-3</v>
      </c>
      <c r="N33" s="394"/>
      <c r="O33" s="394"/>
      <c r="P33" s="394"/>
      <c r="Q33" s="394"/>
      <c r="R33" s="394"/>
      <c r="S33" s="384">
        <f t="shared" si="3"/>
        <v>0.99999999999999989</v>
      </c>
      <c r="T33" s="85"/>
      <c r="U33" s="85"/>
    </row>
    <row r="34" spans="1:21">
      <c r="A34">
        <v>2017</v>
      </c>
      <c r="D34" s="85" t="s">
        <v>440</v>
      </c>
    </row>
    <row r="37" spans="1:21">
      <c r="A37" s="392">
        <v>2017</v>
      </c>
      <c r="B37" s="85" t="s">
        <v>802</v>
      </c>
      <c r="C37" s="395" t="s">
        <v>22</v>
      </c>
      <c r="D37" s="85" t="s">
        <v>440</v>
      </c>
      <c r="E37" s="85"/>
      <c r="F37" s="394">
        <f>'Census 2011_17'!F73*'Census 2011_17'!$H$3</f>
        <v>5952269.8577147471</v>
      </c>
      <c r="G37" s="394">
        <f>'Census 2011_17'!G73*'Census 2011_17'!$H$3</f>
        <v>21556.098068969837</v>
      </c>
      <c r="H37" s="394">
        <f>'Census 2011_17'!H73*'Census 2011_17'!$H$3</f>
        <v>330909.64148083073</v>
      </c>
      <c r="I37" s="394"/>
      <c r="J37" s="394"/>
      <c r="K37" s="394"/>
      <c r="L37" s="394">
        <f>'Census 2011_17'!L73*'Census 2011_17'!$H$3</f>
        <v>29084.118733549178</v>
      </c>
      <c r="M37" s="394"/>
      <c r="N37" s="394">
        <f>'Census 2011_17'!N73*'Census 2011_17'!$H$3</f>
        <v>1313335.8367831614</v>
      </c>
      <c r="O37" s="394">
        <f>'Census 2011_17'!O73*'Census 2011_17'!$H$3</f>
        <v>34683.699496897767</v>
      </c>
      <c r="P37" s="394"/>
      <c r="Q37" s="394"/>
      <c r="R37" s="394"/>
      <c r="S37" s="382">
        <f>SUM(F37:P37)</f>
        <v>7681839.2522781566</v>
      </c>
      <c r="T37" s="85"/>
      <c r="U37" s="85"/>
    </row>
    <row r="38" spans="1:21">
      <c r="A38" s="392">
        <v>2017</v>
      </c>
      <c r="B38" s="85" t="s">
        <v>802</v>
      </c>
      <c r="C38" s="395" t="s">
        <v>24</v>
      </c>
      <c r="D38" s="85" t="s">
        <v>440</v>
      </c>
      <c r="E38" s="85"/>
      <c r="F38" s="394">
        <f>'Census 2011_17'!F74*'Census 2011_17'!$H$4</f>
        <v>4764298.9487829898</v>
      </c>
      <c r="G38" s="394">
        <f>'Census 2011_17'!G74*'Census 2011_17'!$H$4</f>
        <v>12495.338585410474</v>
      </c>
      <c r="H38" s="394">
        <f>'Census 2011_17'!H74*'Census 2011_17'!$H$4</f>
        <v>160427.61671372689</v>
      </c>
      <c r="I38" s="394"/>
      <c r="J38" s="394"/>
      <c r="K38" s="394"/>
      <c r="L38" s="394">
        <f>'Census 2011_17'!L74*'Census 2011_17'!$H$4</f>
        <v>19799.138322229574</v>
      </c>
      <c r="M38" s="394"/>
      <c r="N38" s="394">
        <f>'Census 2011_17'!N74*'Census 2011_17'!$H$4</f>
        <v>0</v>
      </c>
      <c r="O38" s="394">
        <f>'Census 2011_17'!O74*'Census 2011_17'!$H$4</f>
        <v>15676.908199393023</v>
      </c>
      <c r="P38" s="394"/>
      <c r="Q38" s="394"/>
      <c r="R38" s="394"/>
      <c r="S38" s="382">
        <f>SUM(F38:P38)</f>
        <v>4972697.9506037496</v>
      </c>
      <c r="T38" s="85"/>
      <c r="U38" s="85"/>
    </row>
    <row r="39" spans="1:21">
      <c r="A39" s="392">
        <v>2017</v>
      </c>
      <c r="B39" s="85" t="s">
        <v>802</v>
      </c>
      <c r="C39" s="395" t="s">
        <v>25</v>
      </c>
      <c r="D39" s="85" t="s">
        <v>440</v>
      </c>
      <c r="E39" s="85"/>
      <c r="F39" s="394">
        <f>'Census 2011_17'!F75*'Census 2011_17'!$H$5</f>
        <v>4051252.4062050367</v>
      </c>
      <c r="G39" s="394">
        <f>'Census 2011_17'!G75*'Census 2011_17'!$H$5</f>
        <v>7380.7386463397434</v>
      </c>
      <c r="H39" s="394">
        <f>'Census 2011_17'!H75*'Census 2011_17'!$H$5</f>
        <v>22787.407062337246</v>
      </c>
      <c r="I39" s="394"/>
      <c r="J39" s="394"/>
      <c r="K39" s="394"/>
      <c r="L39" s="394">
        <f>'Census 2011_17'!L75*'Census 2011_17'!$H$5</f>
        <v>13246.368953983485</v>
      </c>
      <c r="M39" s="394"/>
      <c r="N39" s="394">
        <f>'Census 2011_17'!N75*'Census 2011_17'!$H$5</f>
        <v>0</v>
      </c>
      <c r="O39" s="394">
        <f>'Census 2011_17'!O75*'Census 2011_17'!$H$5</f>
        <v>5877.4936765153152</v>
      </c>
      <c r="P39" s="394"/>
      <c r="Q39" s="394"/>
      <c r="R39" s="394"/>
      <c r="S39" s="382">
        <f>SUM(F39:P39)</f>
        <v>4100544.4145442122</v>
      </c>
      <c r="T39" s="85"/>
      <c r="U39" s="85"/>
    </row>
    <row r="40" spans="1:21">
      <c r="A40" s="392">
        <v>2017</v>
      </c>
      <c r="B40" s="85" t="s">
        <v>802</v>
      </c>
      <c r="C40" s="395"/>
      <c r="D40" s="85" t="s">
        <v>440</v>
      </c>
      <c r="E40" s="85"/>
      <c r="F40" s="383">
        <f t="shared" ref="F40:M40" si="4">SUM(F37:F39)/SUM($F$20:$M$22)</f>
        <v>0.84721554737136118</v>
      </c>
      <c r="G40" s="383">
        <f t="shared" si="4"/>
        <v>2.3769236213390917E-3</v>
      </c>
      <c r="H40" s="383">
        <f t="shared" si="4"/>
        <v>2.9494832272080319E-2</v>
      </c>
      <c r="I40" s="383">
        <f t="shared" si="4"/>
        <v>0</v>
      </c>
      <c r="J40" s="383">
        <f t="shared" si="4"/>
        <v>0</v>
      </c>
      <c r="K40" s="383">
        <f t="shared" si="4"/>
        <v>0</v>
      </c>
      <c r="L40" s="383">
        <f t="shared" si="4"/>
        <v>3.5643162488019544E-3</v>
      </c>
      <c r="M40" s="383">
        <f t="shared" si="4"/>
        <v>0</v>
      </c>
      <c r="N40" s="383">
        <f t="shared" ref="N40:P40" si="5">SUM(N37:N39)/SUM($F$20:$M$22)</f>
        <v>7.5344800280056398E-2</v>
      </c>
      <c r="O40" s="383">
        <f t="shared" si="5"/>
        <v>3.2263252074520477E-3</v>
      </c>
      <c r="P40" s="383">
        <f t="shared" si="5"/>
        <v>0</v>
      </c>
      <c r="Q40" s="383"/>
      <c r="R40" s="383"/>
      <c r="S40" s="382"/>
      <c r="T40" s="85"/>
      <c r="U40" s="85"/>
    </row>
    <row r="41" spans="1:21">
      <c r="A41" s="392">
        <v>2017</v>
      </c>
      <c r="B41" s="85" t="s">
        <v>802</v>
      </c>
      <c r="C41" s="395" t="s">
        <v>22</v>
      </c>
      <c r="D41" s="85" t="s">
        <v>440</v>
      </c>
      <c r="E41" s="85"/>
      <c r="F41" s="396">
        <f>F37</f>
        <v>5952269.8577147471</v>
      </c>
      <c r="G41" s="396">
        <f t="shared" ref="G41:P41" si="6">G37</f>
        <v>21556.098068969837</v>
      </c>
      <c r="H41" s="396">
        <f t="shared" si="6"/>
        <v>330909.64148083073</v>
      </c>
      <c r="I41" s="396">
        <f t="shared" si="6"/>
        <v>0</v>
      </c>
      <c r="J41" s="396">
        <f t="shared" si="6"/>
        <v>0</v>
      </c>
      <c r="K41" s="396">
        <f t="shared" si="6"/>
        <v>0</v>
      </c>
      <c r="L41" s="396">
        <f t="shared" si="6"/>
        <v>29084.118733549178</v>
      </c>
      <c r="M41" s="396">
        <f t="shared" si="6"/>
        <v>0</v>
      </c>
      <c r="N41" s="396">
        <f t="shared" si="6"/>
        <v>1313335.8367831614</v>
      </c>
      <c r="O41" s="396">
        <f t="shared" si="6"/>
        <v>34683.699496897767</v>
      </c>
      <c r="P41" s="396">
        <f t="shared" si="6"/>
        <v>0</v>
      </c>
      <c r="Q41" s="396"/>
      <c r="R41" s="396"/>
      <c r="S41" s="382">
        <f>SUM(F41:P41)</f>
        <v>7681839.2522781566</v>
      </c>
      <c r="T41" s="85"/>
      <c r="U41" s="85"/>
    </row>
    <row r="42" spans="1:21">
      <c r="A42" s="392">
        <v>2017</v>
      </c>
      <c r="B42" s="85" t="s">
        <v>802</v>
      </c>
      <c r="C42" s="395" t="s">
        <v>24</v>
      </c>
      <c r="D42" s="85" t="s">
        <v>440</v>
      </c>
      <c r="E42" s="85"/>
      <c r="F42" s="396">
        <f>IFERROR(F38*'Census 2011_17'!F$85/F$40,"")</f>
        <v>4817192.365781582</v>
      </c>
      <c r="G42" s="396">
        <f>IFERROR(G38*'Census 2011_17'!G$85/G$40,"")</f>
        <v>27559.187311481983</v>
      </c>
      <c r="H42" s="396">
        <f>IFERROR(H38*'Census 2011_17'!H$85/H$40,"")</f>
        <v>501061.50235334324</v>
      </c>
      <c r="I42" s="396" t="str">
        <f>IFERROR(I38*'Census 2011_17'!I$85/I$40,"")</f>
        <v/>
      </c>
      <c r="J42" s="396" t="str">
        <f>IFERROR(J38*'Census 2011_17'!J$85/J$40,"")</f>
        <v/>
      </c>
      <c r="K42" s="396" t="str">
        <f>IFERROR(K38*'Census 2011_17'!K$85/K$40,"")</f>
        <v/>
      </c>
      <c r="L42" s="396">
        <f>IFERROR(L38*'Census 2011_17'!L$85/L$40,"")</f>
        <v>109381.07438494517</v>
      </c>
      <c r="M42" s="396" t="str">
        <f>IFERROR(M38*'Census 2011_17'!M$85/M$40,"")</f>
        <v/>
      </c>
      <c r="N42" s="396">
        <f>IFERROR(N38*'Census 2011_17'!N$85/N$40,"")</f>
        <v>0</v>
      </c>
      <c r="O42" s="396">
        <f>IFERROR(O38*'Census 2011_17'!O$85/O$40,"")</f>
        <v>35185.360113804018</v>
      </c>
      <c r="P42" s="396" t="str">
        <f>IFERROR(P38*'Census 2011_17'!P$85/P$40,"")</f>
        <v/>
      </c>
      <c r="Q42" s="396"/>
      <c r="R42" s="396"/>
      <c r="S42" s="382">
        <f>SUM(F42:P42)</f>
        <v>5490379.4899451565</v>
      </c>
      <c r="T42" s="85"/>
      <c r="U42" s="85"/>
    </row>
    <row r="43" spans="1:21">
      <c r="A43" s="392">
        <v>2017</v>
      </c>
      <c r="B43" s="85" t="s">
        <v>802</v>
      </c>
      <c r="C43" s="395" t="s">
        <v>25</v>
      </c>
      <c r="D43" s="85" t="s">
        <v>440</v>
      </c>
      <c r="E43" s="85"/>
      <c r="F43" s="396">
        <f>IFERROR(F39*'Census 2011_17'!F$85/F$40,"")</f>
        <v>4096229.5550346016</v>
      </c>
      <c r="G43" s="396">
        <f>IFERROR(G39*'Census 2011_17'!G$85/G$40,"")</f>
        <v>16278.643228529127</v>
      </c>
      <c r="H43" s="396">
        <f>IFERROR(H39*'Census 2011_17'!H$85/H$40,"")</f>
        <v>71171.614035546037</v>
      </c>
      <c r="I43" s="396" t="str">
        <f>IFERROR(I39*'Census 2011_17'!I$85/I$40,"")</f>
        <v/>
      </c>
      <c r="J43" s="396" t="str">
        <f>IFERROR(J39*'Census 2011_17'!J$85/J$40,"")</f>
        <v/>
      </c>
      <c r="K43" s="396" t="str">
        <f>IFERROR(K39*'Census 2011_17'!K$85/K$40,"")</f>
        <v/>
      </c>
      <c r="L43" s="396">
        <f>IFERROR(L39*'Census 2011_17'!L$85/L$40,"")</f>
        <v>73180.056844157414</v>
      </c>
      <c r="M43" s="396" t="str">
        <f>IFERROR(M39*'Census 2011_17'!M$85/M$40,"")</f>
        <v/>
      </c>
      <c r="N43" s="396">
        <f>IFERROR(N39*'Census 2011_17'!N$85/N$40,"")</f>
        <v>0</v>
      </c>
      <c r="O43" s="396">
        <f>IFERROR(O39*'Census 2011_17'!O$85/O$40,"")</f>
        <v>13191.48705500516</v>
      </c>
      <c r="P43" s="396" t="str">
        <f>IFERROR(P39*'Census 2011_17'!P$85/P$40,"")</f>
        <v/>
      </c>
      <c r="Q43" s="396"/>
      <c r="R43" s="396"/>
      <c r="S43" s="382">
        <f>SUM(F43:P43)</f>
        <v>4270051.3561978396</v>
      </c>
      <c r="T43" s="85"/>
      <c r="U43" s="85"/>
    </row>
    <row r="44" spans="1:21">
      <c r="A44" s="392">
        <v>2017</v>
      </c>
      <c r="B44" s="85" t="s">
        <v>802</v>
      </c>
      <c r="C44" s="395" t="s">
        <v>22</v>
      </c>
      <c r="D44" s="85" t="s">
        <v>440</v>
      </c>
      <c r="E44" s="85"/>
      <c r="F44" s="394">
        <f>IFERROR(F41*'Census 2011_17'!$H3/$S41,"")</f>
        <v>5952269.8577147471</v>
      </c>
      <c r="G44" s="394">
        <f>IFERROR(G41*'Census 2011_17'!$H3/$S41,"")</f>
        <v>21556.098068969837</v>
      </c>
      <c r="H44" s="394">
        <f>IFERROR(H41*'Census 2011_17'!$H3/$S41,"")</f>
        <v>330909.64148083073</v>
      </c>
      <c r="I44" s="394">
        <f>IFERROR(I41*'Census 2011_17'!$H3/$S41,"")</f>
        <v>0</v>
      </c>
      <c r="J44" s="394">
        <f>IFERROR(J41*'Census 2011_17'!$H3/$S41,"")</f>
        <v>0</v>
      </c>
      <c r="K44" s="394">
        <f>IFERROR(K41*'Census 2011_17'!$H3/$S41,"")</f>
        <v>0</v>
      </c>
      <c r="L44" s="394">
        <f>IFERROR(L41*'Census 2011_17'!$H3/$S41,"")</f>
        <v>29084.118733549178</v>
      </c>
      <c r="M44" s="394">
        <f>IFERROR(M41*'Census 2011_17'!$H3/$S41,"")</f>
        <v>0</v>
      </c>
      <c r="N44" s="394">
        <f>IFERROR(N41*'Census 2011_17'!$H3/$S41,"")</f>
        <v>1313335.8367831614</v>
      </c>
      <c r="O44" s="394">
        <f>IFERROR(O41*'Census 2011_17'!$H3/$S41,"")</f>
        <v>34683.699496897767</v>
      </c>
      <c r="P44" s="394">
        <f>IFERROR(P41*'Census 2011_17'!$H3/$S41,"")</f>
        <v>0</v>
      </c>
      <c r="Q44" s="394"/>
      <c r="R44" s="394"/>
      <c r="S44" s="382">
        <f>SUM(F44:P44)</f>
        <v>7681839.2522781566</v>
      </c>
      <c r="T44" s="85"/>
      <c r="U44" s="85"/>
    </row>
    <row r="45" spans="1:21">
      <c r="A45" s="392">
        <v>2017</v>
      </c>
      <c r="B45" s="85" t="s">
        <v>802</v>
      </c>
      <c r="C45" s="395" t="s">
        <v>24</v>
      </c>
      <c r="D45" s="85" t="s">
        <v>440</v>
      </c>
      <c r="E45" s="85"/>
      <c r="F45" s="394">
        <f>IFERROR(F42*'Census 2011_17'!$H4/$S42,"")</f>
        <v>4889772.97049936</v>
      </c>
      <c r="G45" s="394">
        <f>IFERROR(G42*'Census 2011_17'!$H4/$S42,"")</f>
        <v>27974.421399870593</v>
      </c>
      <c r="H45" s="394">
        <f>IFERROR(H42*'Census 2011_17'!$H4/$S42,"")</f>
        <v>508610.99261242774</v>
      </c>
      <c r="I45" s="394" t="str">
        <f>IFERROR(I42*'Census 2011_17'!$H4/$S42,"")</f>
        <v/>
      </c>
      <c r="J45" s="394" t="str">
        <f>IFERROR(J42*'Census 2011_17'!$H4/$S42,"")</f>
        <v/>
      </c>
      <c r="K45" s="394" t="str">
        <f>IFERROR(K42*'Census 2011_17'!$H4/$S42,"")</f>
        <v/>
      </c>
      <c r="L45" s="394">
        <f>IFERROR(L42*'Census 2011_17'!$H4/$S42,"")</f>
        <v>111029.11829117012</v>
      </c>
      <c r="M45" s="394" t="str">
        <f>IFERROR(M42*'Census 2011_17'!$H4/$S42,"")</f>
        <v/>
      </c>
      <c r="N45" s="394">
        <f>IFERROR(N42*'Census 2011_17'!$H4/$S42,"")</f>
        <v>0</v>
      </c>
      <c r="O45" s="394">
        <f>IFERROR(O42*'Census 2011_17'!$H4/$S42,"")</f>
        <v>35715.497696104692</v>
      </c>
      <c r="P45" s="394" t="str">
        <f>IFERROR(P42*'Census 2011_17'!$H4/$S42,"")</f>
        <v/>
      </c>
      <c r="Q45" s="394"/>
      <c r="R45" s="394"/>
      <c r="S45" s="382">
        <f t="shared" ref="S45:S46" si="7">SUM(F45:P45)</f>
        <v>5573103.0004989337</v>
      </c>
      <c r="T45" s="85"/>
      <c r="U45" s="85"/>
    </row>
    <row r="46" spans="1:21">
      <c r="A46" s="392">
        <v>2017</v>
      </c>
      <c r="B46" s="85" t="s">
        <v>802</v>
      </c>
      <c r="C46" s="395" t="s">
        <v>25</v>
      </c>
      <c r="D46" s="85" t="s">
        <v>440</v>
      </c>
      <c r="E46" s="85"/>
      <c r="F46" s="394">
        <f>IFERROR(F43*'Census 2011_17'!$H5/$S43,"")</f>
        <v>4006070.0953151621</v>
      </c>
      <c r="G46" s="394">
        <f>IFERROR(G43*'Census 2011_17'!$H5/$S43,"")</f>
        <v>15920.344539764039</v>
      </c>
      <c r="H46" s="394">
        <f>IFERROR(H43*'Census 2011_17'!$H5/$S43,"")</f>
        <v>69605.101665427879</v>
      </c>
      <c r="I46" s="394" t="str">
        <f>IFERROR(I43*'Census 2011_17'!$H5/$S43,"")</f>
        <v/>
      </c>
      <c r="J46" s="394" t="str">
        <f>IFERROR(J43*'Census 2011_17'!$H5/$S43,"")</f>
        <v/>
      </c>
      <c r="K46" s="394" t="str">
        <f>IFERROR(K43*'Census 2011_17'!$H5/$S43,"")</f>
        <v/>
      </c>
      <c r="L46" s="394">
        <f>IFERROR(L43*'Census 2011_17'!$H5/$S43,"")</f>
        <v>71569.337938231416</v>
      </c>
      <c r="M46" s="394" t="str">
        <f>IFERROR(M43*'Census 2011_17'!$H5/$S43,"")</f>
        <v/>
      </c>
      <c r="N46" s="394">
        <f>IFERROR(N43*'Census 2011_17'!$H5/$S43,"")</f>
        <v>0</v>
      </c>
      <c r="O46" s="394">
        <f>IFERROR(O43*'Census 2011_17'!$H5/$S43,"")</f>
        <v>12901.137764323084</v>
      </c>
      <c r="P46" s="394" t="str">
        <f>IFERROR(P43*'Census 2011_17'!$H5/$S43,"")</f>
        <v/>
      </c>
      <c r="Q46" s="394"/>
      <c r="R46" s="394"/>
      <c r="S46" s="382">
        <f t="shared" si="7"/>
        <v>4176066.0172229083</v>
      </c>
      <c r="T46" s="85"/>
      <c r="U46" s="85"/>
    </row>
    <row r="47" spans="1:21">
      <c r="A47" s="392">
        <v>2017</v>
      </c>
      <c r="B47" s="85" t="s">
        <v>802</v>
      </c>
      <c r="C47" s="395"/>
      <c r="D47" s="85" t="s">
        <v>440</v>
      </c>
      <c r="E47" s="85"/>
      <c r="F47" s="383">
        <f t="shared" ref="F47:M47" si="8">SUM(F44:F46)/SUM($F$27:$M$29)</f>
        <v>0.85182180477097957</v>
      </c>
      <c r="G47" s="383">
        <f t="shared" si="8"/>
        <v>3.7548524442645149E-3</v>
      </c>
      <c r="H47" s="383">
        <f t="shared" si="8"/>
        <v>5.2155659711512863E-2</v>
      </c>
      <c r="I47" s="383">
        <f t="shared" si="8"/>
        <v>0</v>
      </c>
      <c r="J47" s="383">
        <f t="shared" si="8"/>
        <v>0</v>
      </c>
      <c r="K47" s="383">
        <f t="shared" si="8"/>
        <v>0</v>
      </c>
      <c r="L47" s="383">
        <f t="shared" si="8"/>
        <v>1.2144023551825825E-2</v>
      </c>
      <c r="M47" s="383">
        <f t="shared" si="8"/>
        <v>0</v>
      </c>
      <c r="N47" s="394"/>
      <c r="O47" s="394"/>
      <c r="P47" s="394"/>
      <c r="Q47" s="394"/>
      <c r="R47" s="394"/>
      <c r="S47" s="382"/>
      <c r="T47" s="85"/>
      <c r="U47" s="85"/>
    </row>
    <row r="48" spans="1:21">
      <c r="A48" s="392" t="s">
        <v>816</v>
      </c>
      <c r="B48" s="85" t="s">
        <v>802</v>
      </c>
      <c r="C48" s="395" t="s">
        <v>22</v>
      </c>
      <c r="D48" s="85" t="s">
        <v>11</v>
      </c>
      <c r="E48" s="85"/>
      <c r="F48" s="397">
        <f>IFERROR(F44/SUM($F44:$P44),"")</f>
        <v>0.77484957211901018</v>
      </c>
      <c r="G48" s="397">
        <f t="shared" ref="G48:O48" si="9">IFERROR(G44/SUM($F44:$P44),"")</f>
        <v>2.8061115783667404E-3</v>
      </c>
      <c r="H48" s="397">
        <f t="shared" si="9"/>
        <v>4.3076876593414117E-2</v>
      </c>
      <c r="I48" s="397">
        <f t="shared" si="9"/>
        <v>0</v>
      </c>
      <c r="J48" s="397">
        <f t="shared" si="9"/>
        <v>0</v>
      </c>
      <c r="K48" s="397">
        <f t="shared" si="9"/>
        <v>0</v>
      </c>
      <c r="L48" s="397">
        <f t="shared" si="9"/>
        <v>3.7860879118140718E-3</v>
      </c>
      <c r="M48" s="397">
        <f t="shared" si="9"/>
        <v>0</v>
      </c>
      <c r="N48" s="397">
        <f t="shared" si="9"/>
        <v>0.17096632637732861</v>
      </c>
      <c r="O48" s="397">
        <f t="shared" si="9"/>
        <v>4.5150254200661422E-3</v>
      </c>
      <c r="P48" s="394"/>
      <c r="Q48" s="394"/>
      <c r="R48" s="394"/>
      <c r="S48" s="384">
        <f>SUM(F48:O48)</f>
        <v>0.99999999999999978</v>
      </c>
      <c r="T48" s="85"/>
      <c r="U48" s="384"/>
    </row>
    <row r="49" spans="1:21">
      <c r="A49" s="392" t="s">
        <v>816</v>
      </c>
      <c r="B49" s="85" t="s">
        <v>802</v>
      </c>
      <c r="C49" s="395" t="s">
        <v>24</v>
      </c>
      <c r="D49" s="85" t="s">
        <v>440</v>
      </c>
      <c r="E49" s="85"/>
      <c r="F49" s="397">
        <f t="shared" ref="F49:O50" si="10">IFERROR(F45/SUM($F45:$P45),"")</f>
        <v>0.87738786992840467</v>
      </c>
      <c r="G49" s="397">
        <f t="shared" si="10"/>
        <v>5.0195414291403142E-3</v>
      </c>
      <c r="H49" s="397">
        <f t="shared" si="10"/>
        <v>9.1261724853621801E-2</v>
      </c>
      <c r="I49" s="397">
        <f>IFERROR(I45/SUM($F45:$P45),0)</f>
        <v>0</v>
      </c>
      <c r="J49" s="397">
        <f t="shared" ref="J49:K50" si="11">IFERROR(J45/SUM($F45:$P45),0)</f>
        <v>0</v>
      </c>
      <c r="K49" s="397">
        <f t="shared" si="11"/>
        <v>0</v>
      </c>
      <c r="L49" s="397">
        <f t="shared" si="10"/>
        <v>1.9922315859087873E-2</v>
      </c>
      <c r="M49" s="397">
        <f>IFERROR(M45/SUM($F45:$P45),0)</f>
        <v>0</v>
      </c>
      <c r="N49" s="397">
        <f t="shared" si="10"/>
        <v>0</v>
      </c>
      <c r="O49" s="397">
        <f t="shared" si="10"/>
        <v>6.4085479297452874E-3</v>
      </c>
      <c r="P49" s="394"/>
      <c r="Q49" s="394"/>
      <c r="R49" s="394"/>
      <c r="S49" s="384">
        <f t="shared" ref="S49:S50" si="12">SUM(F48:O48)</f>
        <v>0.99999999999999978</v>
      </c>
      <c r="T49" s="85"/>
      <c r="U49" s="85"/>
    </row>
    <row r="50" spans="1:21">
      <c r="A50" s="392" t="s">
        <v>816</v>
      </c>
      <c r="B50" s="85" t="s">
        <v>802</v>
      </c>
      <c r="C50" s="395" t="s">
        <v>25</v>
      </c>
      <c r="D50" s="85" t="s">
        <v>440</v>
      </c>
      <c r="E50" s="85"/>
      <c r="F50" s="397">
        <f t="shared" si="10"/>
        <v>0.95929280782280502</v>
      </c>
      <c r="G50" s="397">
        <f t="shared" si="10"/>
        <v>3.8122827738128282E-3</v>
      </c>
      <c r="H50" s="397">
        <f t="shared" si="10"/>
        <v>1.6667624835997062E-2</v>
      </c>
      <c r="I50" s="397">
        <f>IFERROR(I46/SUM($F46:$P46),0)</f>
        <v>0</v>
      </c>
      <c r="J50" s="397">
        <f t="shared" si="11"/>
        <v>0</v>
      </c>
      <c r="K50" s="397">
        <f t="shared" si="11"/>
        <v>0</v>
      </c>
      <c r="L50" s="397">
        <f t="shared" si="10"/>
        <v>1.7137980492421708E-2</v>
      </c>
      <c r="M50" s="397">
        <f>IFERROR(M46/SUM($F46:$P46),0)</f>
        <v>0</v>
      </c>
      <c r="N50" s="397">
        <f t="shared" si="10"/>
        <v>0</v>
      </c>
      <c r="O50" s="397">
        <f t="shared" si="10"/>
        <v>3.0893040749634423E-3</v>
      </c>
      <c r="P50" s="394"/>
      <c r="Q50" s="394"/>
      <c r="R50" s="394"/>
      <c r="S50" s="384">
        <f t="shared" si="12"/>
        <v>1</v>
      </c>
      <c r="T50" s="85"/>
      <c r="U50" s="85"/>
    </row>
    <row r="52" spans="1:21">
      <c r="A52" s="392">
        <v>2017</v>
      </c>
      <c r="B52" s="85" t="s">
        <v>804</v>
      </c>
      <c r="C52" s="395" t="s">
        <v>22</v>
      </c>
      <c r="D52" s="85" t="s">
        <v>63</v>
      </c>
      <c r="E52" s="85"/>
      <c r="F52" s="394">
        <f>F27</f>
        <v>5035376.3812507456</v>
      </c>
      <c r="G52" s="394">
        <f>'Census 2011_17'!G76*'Census 2011_17'!$H$3</f>
        <v>133639.96407614683</v>
      </c>
      <c r="H52" s="394">
        <f>'Census 2011_17'!H76*'Census 2011_17'!$H$3</f>
        <v>973575.18208506901</v>
      </c>
      <c r="I52" s="394">
        <f>'Census 2011_17'!I76*'Census 2011_17'!$H$3</f>
        <v>1923968.51086096</v>
      </c>
      <c r="J52" s="394">
        <f>'Census 2011_17'!J76*'Census 2011_17'!$H$3</f>
        <v>215356.52449258204</v>
      </c>
      <c r="K52" s="394">
        <f>'Census 2011_17'!K76*'Census 2011_17'!$H$3</f>
        <v>40620.766993305682</v>
      </c>
      <c r="L52" s="394">
        <f>'Census 2011_17'!L76*'Census 2011_17'!$H$3</f>
        <v>17872.30999348863</v>
      </c>
      <c r="M52" s="394">
        <f>'Census 2011_17'!M76*'Census 2011_17'!$H$3</f>
        <v>1562.6646948008063</v>
      </c>
      <c r="N52" s="394">
        <f>'Census 2011_17'!N76*'Census 2011_17'!$H$3</f>
        <v>0</v>
      </c>
      <c r="O52" s="394">
        <f>'Census 2011_17'!O76*'Census 2011_17'!$H$3</f>
        <v>0</v>
      </c>
      <c r="P52" s="394">
        <f>'Census 2011_17'!P76*'Census 2011_17'!$H$3</f>
        <v>0</v>
      </c>
      <c r="Q52" s="394"/>
      <c r="R52" s="394"/>
      <c r="S52" s="382">
        <f>SUM(F52:P52)</f>
        <v>8341972.3044470986</v>
      </c>
      <c r="T52" s="85"/>
      <c r="U52" s="85"/>
    </row>
    <row r="53" spans="1:21">
      <c r="A53" s="392">
        <v>2017</v>
      </c>
      <c r="B53" s="85" t="s">
        <v>804</v>
      </c>
      <c r="C53" s="395" t="s">
        <v>24</v>
      </c>
      <c r="D53" s="85" t="s">
        <v>63</v>
      </c>
      <c r="E53" s="85"/>
      <c r="F53" s="394">
        <f t="shared" ref="F53:F54" si="13">F28</f>
        <v>4197062.3111257292</v>
      </c>
      <c r="G53" s="394">
        <f>'Census 2011_17'!G77*'Census 2011_17'!$H$4</f>
        <v>101458.4982593412</v>
      </c>
      <c r="H53" s="394">
        <f>'Census 2011_17'!H77*'Census 2011_17'!$H$4</f>
        <v>577412.69077814766</v>
      </c>
      <c r="I53" s="394">
        <f>'Census 2011_17'!I77*'Census 2011_17'!$H$4</f>
        <v>1004833.2308272842</v>
      </c>
      <c r="J53" s="394">
        <f>'Census 2011_17'!J77*'Census 2011_17'!$H$4</f>
        <v>155485.77356781077</v>
      </c>
      <c r="K53" s="394">
        <f>'Census 2011_17'!K77*'Census 2011_17'!$H$4</f>
        <v>21932.708394402176</v>
      </c>
      <c r="L53" s="394">
        <f>'Census 2011_17'!L77*'Census 2011_17'!$H$4</f>
        <v>13934.711785723108</v>
      </c>
      <c r="M53" s="394">
        <f>'Census 2011_17'!M77*'Census 2011_17'!$H$4</f>
        <v>906.9455891279033</v>
      </c>
      <c r="N53" s="394">
        <f>'Census 2011_17'!N77*'Census 2011_17'!$H$4</f>
        <v>0</v>
      </c>
      <c r="O53" s="394">
        <f>'Census 2011_17'!O77*'Census 2011_17'!$H$4</f>
        <v>0</v>
      </c>
      <c r="P53" s="394">
        <f>'Census 2011_17'!P77*'Census 2011_17'!$H$4</f>
        <v>0</v>
      </c>
      <c r="Q53" s="394"/>
      <c r="R53" s="394"/>
      <c r="S53" s="382">
        <f>SUM(F53:P53)</f>
        <v>6073026.8703275668</v>
      </c>
      <c r="T53" s="85"/>
      <c r="U53" s="85"/>
    </row>
    <row r="54" spans="1:21">
      <c r="A54" s="392">
        <v>2017</v>
      </c>
      <c r="B54" s="85" t="s">
        <v>804</v>
      </c>
      <c r="C54" s="395" t="s">
        <v>25</v>
      </c>
      <c r="D54" s="85" t="s">
        <v>63</v>
      </c>
      <c r="E54" s="85"/>
      <c r="F54" s="394">
        <f t="shared" si="13"/>
        <v>3692349.1126473104</v>
      </c>
      <c r="G54" s="394">
        <f>'Census 2011_17'!G78*'Census 2011_17'!$H$5</f>
        <v>246957.99809803721</v>
      </c>
      <c r="H54" s="394">
        <f>'Census 2011_17'!H78*'Census 2011_17'!$H$5</f>
        <v>168382.09205144783</v>
      </c>
      <c r="I54" s="394">
        <f>'Census 2011_17'!I78*'Census 2011_17'!$H$5</f>
        <v>163990.27395824622</v>
      </c>
      <c r="J54" s="394">
        <f>'Census 2011_17'!J78*'Census 2011_17'!$H$5</f>
        <v>39677.170183450886</v>
      </c>
      <c r="K54" s="394">
        <f>'Census 2011_17'!K78*'Census 2011_17'!$H$5</f>
        <v>5041.0256570462334</v>
      </c>
      <c r="L54" s="394">
        <f>'Census 2011_17'!L78*'Census 2011_17'!$H$5</f>
        <v>20492.752721924557</v>
      </c>
      <c r="M54" s="394">
        <f>'Census 2011_17'!M78*'Census 2011_17'!$H$5</f>
        <v>896.84341349608223</v>
      </c>
      <c r="N54" s="394">
        <f>'Census 2011_17'!N78*'Census 2011_17'!$H$5</f>
        <v>0</v>
      </c>
      <c r="O54" s="394">
        <f>'Census 2011_17'!O78*'Census 2011_17'!$H$5</f>
        <v>0</v>
      </c>
      <c r="P54" s="394">
        <f>'Census 2011_17'!P78*'Census 2011_17'!$H$5</f>
        <v>0</v>
      </c>
      <c r="Q54" s="394"/>
      <c r="R54" s="394"/>
      <c r="S54" s="382">
        <f>SUM(F54:P54)</f>
        <v>4337787.2687309599</v>
      </c>
      <c r="T54" s="85"/>
      <c r="U54" s="85"/>
    </row>
    <row r="55" spans="1:21">
      <c r="A55" s="392">
        <v>2017</v>
      </c>
      <c r="B55" s="85" t="s">
        <v>804</v>
      </c>
      <c r="C55" s="395"/>
      <c r="D55" s="85" t="s">
        <v>63</v>
      </c>
      <c r="E55" s="85"/>
      <c r="F55" s="383">
        <f t="shared" ref="F55:M55" si="14">SUM(F52:F54)/SUM($F$20:$M$22)</f>
        <v>0.74148251236093221</v>
      </c>
      <c r="G55" s="383">
        <f t="shared" si="14"/>
        <v>2.7655110534436415E-2</v>
      </c>
      <c r="H55" s="383">
        <f t="shared" si="14"/>
        <v>9.8638583510617814E-2</v>
      </c>
      <c r="I55" s="383">
        <f t="shared" si="14"/>
        <v>0.17743047147590449</v>
      </c>
      <c r="J55" s="383">
        <f t="shared" si="14"/>
        <v>2.355110283266728E-2</v>
      </c>
      <c r="K55" s="383">
        <f t="shared" si="14"/>
        <v>3.8778308172275396E-3</v>
      </c>
      <c r="L55" s="383">
        <f t="shared" si="14"/>
        <v>3.000387223219205E-3</v>
      </c>
      <c r="M55" s="383">
        <f t="shared" si="14"/>
        <v>1.9313017613666657E-4</v>
      </c>
      <c r="N55" s="394"/>
      <c r="O55" s="394"/>
      <c r="P55" s="394"/>
      <c r="Q55" s="394"/>
      <c r="R55" s="394"/>
      <c r="S55" s="382"/>
      <c r="T55" s="85"/>
      <c r="U55" s="85"/>
    </row>
    <row r="56" spans="1:21">
      <c r="A56" s="392">
        <v>2017</v>
      </c>
      <c r="B56" s="85" t="s">
        <v>804</v>
      </c>
      <c r="C56" s="395" t="s">
        <v>22</v>
      </c>
      <c r="D56" s="85" t="s">
        <v>63</v>
      </c>
      <c r="E56" s="85"/>
      <c r="F56" s="396">
        <f>F52*'Census 2011_17'!F$84/F$55</f>
        <v>5017767.9660038464</v>
      </c>
      <c r="G56" s="396">
        <f>G52*'Census 2011_17'!G$84/G$55</f>
        <v>218025.22896802926</v>
      </c>
      <c r="H56" s="396">
        <f>H52*'Census 2011_17'!H$84/H$55</f>
        <v>805961.69015973213</v>
      </c>
      <c r="I56" s="396">
        <f>I52*'Census 2011_17'!I$84/I$55</f>
        <v>1318986.9069511737</v>
      </c>
      <c r="J56" s="396">
        <f>J52*'Census 2011_17'!J$84/J$55</f>
        <v>39908.356894574579</v>
      </c>
      <c r="K56" s="396">
        <f>K52*'Census 2011_17'!K$84/K$55</f>
        <v>7990.1093893517282</v>
      </c>
      <c r="L56" s="396">
        <f>L52*'Census 2011_17'!L$84/L$55</f>
        <v>6442.7922669114414</v>
      </c>
      <c r="M56" s="396">
        <f>M52*'Census 2011_17'!M$84/M$55</f>
        <v>14251.690728596606</v>
      </c>
      <c r="N56" s="394"/>
      <c r="O56" s="394"/>
      <c r="P56" s="394"/>
      <c r="Q56" s="394"/>
      <c r="R56" s="394"/>
      <c r="S56" s="382">
        <f>SUM(F56:P56)</f>
        <v>7429334.741362215</v>
      </c>
      <c r="T56" s="85"/>
      <c r="U56" s="85"/>
    </row>
    <row r="57" spans="1:21">
      <c r="A57" s="392">
        <v>2017</v>
      </c>
      <c r="B57" s="85" t="s">
        <v>804</v>
      </c>
      <c r="C57" s="395" t="s">
        <v>24</v>
      </c>
      <c r="D57" s="85" t="s">
        <v>63</v>
      </c>
      <c r="E57" s="85"/>
      <c r="F57" s="396">
        <f>F53*'Census 2011_17'!F$84/F$55</f>
        <v>4182385.4309094679</v>
      </c>
      <c r="G57" s="396">
        <f>G53*'Census 2011_17'!G$84/G$55</f>
        <v>165523.18362747537</v>
      </c>
      <c r="H57" s="396">
        <f>H53*'Census 2011_17'!H$84/H$55</f>
        <v>478003.66807067132</v>
      </c>
      <c r="I57" s="396">
        <f>I53*'Census 2011_17'!I$84/I$55</f>
        <v>688868.79782535834</v>
      </c>
      <c r="J57" s="396">
        <f>J53*'Census 2011_17'!J$84/J$55</f>
        <v>28813.53029908755</v>
      </c>
      <c r="K57" s="396">
        <f>K53*'Census 2011_17'!K$84/K$55</f>
        <v>4314.1661826549634</v>
      </c>
      <c r="L57" s="396">
        <f>L53*'Census 2011_17'!L$84/L$55</f>
        <v>5023.3267757444501</v>
      </c>
      <c r="M57" s="396">
        <f>M53*'Census 2011_17'!M$84/M$55</f>
        <v>8271.4532982799283</v>
      </c>
      <c r="N57" s="394"/>
      <c r="O57" s="394"/>
      <c r="P57" s="394"/>
      <c r="Q57" s="394"/>
      <c r="R57" s="394"/>
      <c r="S57" s="382">
        <f>SUM(F57:P57)</f>
        <v>5561203.5569887394</v>
      </c>
      <c r="T57" s="85"/>
      <c r="U57" s="85"/>
    </row>
    <row r="58" spans="1:21">
      <c r="A58" s="392">
        <v>2017</v>
      </c>
      <c r="B58" s="85" t="s">
        <v>804</v>
      </c>
      <c r="C58" s="395" t="s">
        <v>25</v>
      </c>
      <c r="D58" s="85" t="s">
        <v>63</v>
      </c>
      <c r="E58" s="85"/>
      <c r="F58" s="396">
        <f>F54*'Census 2011_17'!F$84/F$55</f>
        <v>3679437.1848212001</v>
      </c>
      <c r="G58" s="396">
        <f>G54*'Census 2011_17'!G$84/G$55</f>
        <v>402896.50220297434</v>
      </c>
      <c r="H58" s="396">
        <f>H54*'Census 2011_17'!H$84/H$55</f>
        <v>139392.94879289402</v>
      </c>
      <c r="I58" s="396">
        <f>I54*'Census 2011_17'!I$84/I$55</f>
        <v>112424.40975370741</v>
      </c>
      <c r="J58" s="396">
        <f>J54*'Census 2011_17'!J$84/J$55</f>
        <v>7352.6941985102158</v>
      </c>
      <c r="K58" s="396">
        <f>K54*'Census 2011_17'!K$84/K$55</f>
        <v>991.57030789118187</v>
      </c>
      <c r="L58" s="396">
        <f>L54*'Census 2011_17'!L$84/L$55</f>
        <v>7387.4361407476854</v>
      </c>
      <c r="M58" s="396">
        <f>M54*'Census 2011_17'!M$84/M$55</f>
        <v>8179.3202365490934</v>
      </c>
      <c r="N58" s="394"/>
      <c r="O58" s="394"/>
      <c r="P58" s="394"/>
      <c r="Q58" s="394"/>
      <c r="R58" s="394"/>
      <c r="S58" s="382">
        <f>SUM(F58:P58)</f>
        <v>4358062.0664544739</v>
      </c>
      <c r="T58" s="85"/>
      <c r="U58" s="85"/>
    </row>
    <row r="59" spans="1:21">
      <c r="A59" s="392">
        <v>2017</v>
      </c>
      <c r="B59" s="85" t="s">
        <v>804</v>
      </c>
      <c r="C59" s="395" t="s">
        <v>22</v>
      </c>
      <c r="D59" s="85" t="s">
        <v>63</v>
      </c>
      <c r="E59" s="85"/>
      <c r="F59" s="394">
        <f>F56*'Census 2011_17'!$H3/$S56</f>
        <v>5188309.3523128396</v>
      </c>
      <c r="G59" s="394">
        <f>G56*'Census 2011_17'!$H3/$S56</f>
        <v>225435.36133175343</v>
      </c>
      <c r="H59" s="394">
        <f>H56*'Census 2011_17'!$H3/$S56</f>
        <v>833354.31271283224</v>
      </c>
      <c r="I59" s="394">
        <f>I56*'Census 2011_17'!$H3/$S56</f>
        <v>1363815.9738109568</v>
      </c>
      <c r="J59" s="394">
        <f>J56*'Census 2011_17'!$H3/$S56</f>
        <v>41264.74215515791</v>
      </c>
      <c r="K59" s="394">
        <f>K56*'Census 2011_17'!$H3/$S56</f>
        <v>8261.6732283440197</v>
      </c>
      <c r="L59" s="394">
        <f>L56*'Census 2011_17'!$H3/$S56</f>
        <v>6661.7666659558427</v>
      </c>
      <c r="M59" s="394">
        <f>M56*'Census 2011_17'!$H3/$S56</f>
        <v>14736.07006031719</v>
      </c>
      <c r="N59" s="394"/>
      <c r="O59" s="394"/>
      <c r="P59" s="394"/>
      <c r="Q59" s="394"/>
      <c r="R59" s="394"/>
      <c r="S59" s="382">
        <f>SUM(F59:M59)</f>
        <v>7681839.2522781575</v>
      </c>
      <c r="T59" s="85"/>
      <c r="U59" s="85"/>
    </row>
    <row r="60" spans="1:21">
      <c r="A60" s="392">
        <v>2017</v>
      </c>
      <c r="B60" s="85" t="s">
        <v>804</v>
      </c>
      <c r="C60" s="395" t="s">
        <v>24</v>
      </c>
      <c r="D60" s="85" t="s">
        <v>63</v>
      </c>
      <c r="E60" s="85"/>
      <c r="F60" s="394">
        <f>F57*'Census 2011_17'!$H4/$S57</f>
        <v>4191334.583491812</v>
      </c>
      <c r="G60" s="394">
        <f>G57*'Census 2011_17'!$H4/$S57</f>
        <v>165877.3576390933</v>
      </c>
      <c r="H60" s="394">
        <f>H57*'Census 2011_17'!$H4/$S57</f>
        <v>479026.46423117595</v>
      </c>
      <c r="I60" s="394">
        <f>I57*'Census 2011_17'!$H4/$S57</f>
        <v>690342.78727056703</v>
      </c>
      <c r="J60" s="394">
        <f>J57*'Census 2011_17'!$H4/$S57</f>
        <v>28875.183315850871</v>
      </c>
      <c r="K60" s="394">
        <f>K57*'Census 2011_17'!$H4/$S57</f>
        <v>4323.3973097406779</v>
      </c>
      <c r="L60" s="394">
        <f>L57*'Census 2011_17'!$H4/$S57</f>
        <v>5034.075311126885</v>
      </c>
      <c r="M60" s="394">
        <f>M57*'Census 2011_17'!$H4/$S57</f>
        <v>8289.1519295674661</v>
      </c>
      <c r="N60" s="394"/>
      <c r="O60" s="394"/>
      <c r="P60" s="394"/>
      <c r="Q60" s="394"/>
      <c r="R60" s="394"/>
      <c r="S60" s="382">
        <f>SUM(F60:M60)</f>
        <v>5573103.0004989356</v>
      </c>
      <c r="T60" s="85"/>
      <c r="U60" s="85"/>
    </row>
    <row r="61" spans="1:21">
      <c r="A61" s="392">
        <v>2017</v>
      </c>
      <c r="B61" s="85" t="s">
        <v>804</v>
      </c>
      <c r="C61" s="395" t="s">
        <v>25</v>
      </c>
      <c r="D61" s="85" t="s">
        <v>63</v>
      </c>
      <c r="E61" s="85"/>
      <c r="F61" s="394">
        <f>F58*'Census 2011_17'!$H5/$S58</f>
        <v>3525781.036555748</v>
      </c>
      <c r="G61" s="394">
        <f>G58*'Census 2011_17'!$H5/$S58</f>
        <v>386071.23204113555</v>
      </c>
      <c r="H61" s="394">
        <f>H58*'Census 2011_17'!$H5/$S58</f>
        <v>133571.79122693866</v>
      </c>
      <c r="I61" s="394">
        <f>I58*'Census 2011_17'!$H5/$S58</f>
        <v>107729.47927764575</v>
      </c>
      <c r="J61" s="394">
        <f>J58*'Census 2011_17'!$H5/$S58</f>
        <v>7045.6399907151954</v>
      </c>
      <c r="K61" s="394">
        <f>K58*'Census 2011_17'!$H5/$S58</f>
        <v>950.16156340344276</v>
      </c>
      <c r="L61" s="394">
        <f>L58*'Census 2011_17'!$H5/$S58</f>
        <v>7078.9310825211114</v>
      </c>
      <c r="M61" s="394">
        <f>M58*'Census 2011_17'!$H5/$S58</f>
        <v>7837.7454848010557</v>
      </c>
      <c r="N61" s="394"/>
      <c r="O61" s="394"/>
      <c r="P61" s="394"/>
      <c r="Q61" s="394"/>
      <c r="R61" s="394"/>
      <c r="S61" s="382">
        <f>SUM(F61:M61)</f>
        <v>4176066.0172229088</v>
      </c>
      <c r="T61" s="85"/>
      <c r="U61" s="85"/>
    </row>
    <row r="62" spans="1:21">
      <c r="A62" s="392">
        <v>2017</v>
      </c>
      <c r="B62" s="85" t="s">
        <v>804</v>
      </c>
      <c r="C62" s="395"/>
      <c r="D62" s="85" t="s">
        <v>63</v>
      </c>
      <c r="E62" s="85"/>
      <c r="F62" s="383">
        <f t="shared" ref="F62:M62" si="15">SUM(F59:F61)/SUM($F$27:$M$29)</f>
        <v>0.74037168547338428</v>
      </c>
      <c r="G62" s="383">
        <f t="shared" si="15"/>
        <v>4.4597761585020594E-2</v>
      </c>
      <c r="H62" s="383">
        <f t="shared" si="15"/>
        <v>8.2952893244823578E-2</v>
      </c>
      <c r="I62" s="383">
        <f t="shared" si="15"/>
        <v>0.1240254268067747</v>
      </c>
      <c r="J62" s="383">
        <f t="shared" si="15"/>
        <v>4.428060859483717E-3</v>
      </c>
      <c r="K62" s="383">
        <f t="shared" si="15"/>
        <v>7.7650310824435977E-4</v>
      </c>
      <c r="L62" s="383">
        <f t="shared" si="15"/>
        <v>1.0770904797238008E-3</v>
      </c>
      <c r="M62" s="383">
        <f t="shared" si="15"/>
        <v>1.7705784425450057E-3</v>
      </c>
      <c r="N62" s="394"/>
      <c r="O62" s="394"/>
      <c r="P62" s="394"/>
      <c r="Q62" s="394"/>
      <c r="R62" s="394"/>
      <c r="S62" s="382"/>
      <c r="T62" s="85"/>
      <c r="U62" s="85"/>
    </row>
    <row r="63" spans="1:21">
      <c r="A63" s="392" t="s">
        <v>816</v>
      </c>
      <c r="B63" s="85" t="s">
        <v>804</v>
      </c>
      <c r="C63" s="395" t="s">
        <v>22</v>
      </c>
      <c r="D63" s="85" t="s">
        <v>63</v>
      </c>
      <c r="E63" s="85"/>
      <c r="F63" s="397">
        <f t="shared" ref="F63:M65" si="16">F59/SUM($F59:$M59)</f>
        <v>0.67539936490784724</v>
      </c>
      <c r="G63" s="397">
        <f t="shared" si="16"/>
        <v>2.9346534589993849E-2</v>
      </c>
      <c r="H63" s="397">
        <f t="shared" si="16"/>
        <v>0.1084836958109595</v>
      </c>
      <c r="I63" s="397">
        <f t="shared" si="16"/>
        <v>0.17753768713742585</v>
      </c>
      <c r="J63" s="397">
        <f t="shared" si="16"/>
        <v>5.3717268482180577E-3</v>
      </c>
      <c r="K63" s="397">
        <f t="shared" si="16"/>
        <v>1.0754811389595148E-3</v>
      </c>
      <c r="L63" s="397">
        <f t="shared" si="16"/>
        <v>8.6720985003431331E-4</v>
      </c>
      <c r="M63" s="397">
        <f t="shared" si="16"/>
        <v>1.9182997165616295E-3</v>
      </c>
      <c r="N63" s="394"/>
      <c r="O63" s="394"/>
      <c r="P63" s="394"/>
      <c r="Q63" s="394"/>
      <c r="R63" s="394"/>
      <c r="S63" s="384">
        <f>SUM(F63:O63)</f>
        <v>0.99999999999999989</v>
      </c>
      <c r="T63" s="85"/>
      <c r="U63" s="85"/>
    </row>
    <row r="64" spans="1:21">
      <c r="A64" s="392" t="s">
        <v>816</v>
      </c>
      <c r="B64" s="85" t="s">
        <v>804</v>
      </c>
      <c r="C64" s="395" t="s">
        <v>24</v>
      </c>
      <c r="D64" s="85" t="s">
        <v>63</v>
      </c>
      <c r="E64" s="85"/>
      <c r="F64" s="397">
        <f t="shared" si="16"/>
        <v>0.75206479821323602</v>
      </c>
      <c r="G64" s="397">
        <f t="shared" si="16"/>
        <v>2.9763913859880756E-2</v>
      </c>
      <c r="H64" s="397">
        <f t="shared" si="16"/>
        <v>8.5953276691331709E-2</v>
      </c>
      <c r="I64" s="397">
        <f t="shared" si="16"/>
        <v>0.1238704519203689</v>
      </c>
      <c r="J64" s="397">
        <f t="shared" si="16"/>
        <v>5.1811680697926811E-3</v>
      </c>
      <c r="K64" s="397">
        <f t="shared" si="16"/>
        <v>7.7576124276791994E-4</v>
      </c>
      <c r="L64" s="397">
        <f t="shared" si="16"/>
        <v>9.0328050830501539E-4</v>
      </c>
      <c r="M64" s="397">
        <f t="shared" si="16"/>
        <v>1.487349494316788E-3</v>
      </c>
      <c r="N64" s="394"/>
      <c r="O64" s="394"/>
      <c r="P64" s="394"/>
      <c r="Q64" s="394"/>
      <c r="R64" s="394"/>
      <c r="S64" s="384">
        <f t="shared" ref="S64:S65" si="17">SUM(F63:O63)</f>
        <v>0.99999999999999989</v>
      </c>
      <c r="T64" s="85"/>
      <c r="U64" s="85"/>
    </row>
    <row r="65" spans="1:21">
      <c r="A65" s="392" t="s">
        <v>816</v>
      </c>
      <c r="B65" s="85" t="s">
        <v>804</v>
      </c>
      <c r="C65" s="395" t="s">
        <v>25</v>
      </c>
      <c r="D65" s="85" t="s">
        <v>63</v>
      </c>
      <c r="E65" s="85"/>
      <c r="F65" s="397">
        <f t="shared" si="16"/>
        <v>0.84428287819558911</v>
      </c>
      <c r="G65" s="397">
        <f t="shared" si="16"/>
        <v>9.2448546179323479E-2</v>
      </c>
      <c r="H65" s="397">
        <f t="shared" si="16"/>
        <v>3.198507654717684E-2</v>
      </c>
      <c r="I65" s="397">
        <f t="shared" si="16"/>
        <v>2.5796881283329434E-2</v>
      </c>
      <c r="J65" s="397">
        <f t="shared" si="16"/>
        <v>1.6871476556303481E-3</v>
      </c>
      <c r="K65" s="397">
        <f t="shared" si="16"/>
        <v>2.2752551312282698E-4</v>
      </c>
      <c r="L65" s="397">
        <f t="shared" si="16"/>
        <v>1.69511953434793E-3</v>
      </c>
      <c r="M65" s="397">
        <f t="shared" si="16"/>
        <v>1.8768250914800362E-3</v>
      </c>
      <c r="N65" s="394"/>
      <c r="O65" s="394"/>
      <c r="P65" s="394"/>
      <c r="Q65" s="394"/>
      <c r="R65" s="394"/>
      <c r="S65" s="384">
        <f t="shared" si="17"/>
        <v>0.99999999999999978</v>
      </c>
      <c r="T65" s="85"/>
      <c r="U65" s="85"/>
    </row>
    <row r="67" spans="1:21">
      <c r="A67" s="392">
        <v>2017</v>
      </c>
      <c r="B67" s="85" t="s">
        <v>803</v>
      </c>
      <c r="C67" s="395" t="s">
        <v>22</v>
      </c>
      <c r="D67" s="85" t="s">
        <v>62</v>
      </c>
      <c r="E67" s="85"/>
      <c r="F67" s="394">
        <f>'Census 2011_17'!F76*'Census 2011_17'!$H$3</f>
        <v>4375243.3290818064</v>
      </c>
      <c r="G67" s="394">
        <f>'Census 2011_17'!G76*'Census 2011_17'!$H$3</f>
        <v>133639.96407614683</v>
      </c>
      <c r="H67" s="394">
        <f>'Census 2011_17'!H76*'Census 2011_17'!$H$3</f>
        <v>973575.18208506901</v>
      </c>
      <c r="I67" s="394">
        <f>'Census 2011_17'!I76*'Census 2011_17'!$H$3</f>
        <v>1923968.51086096</v>
      </c>
      <c r="J67" s="394">
        <f>'Census 2011_17'!J76*'Census 2011_17'!$H$3</f>
        <v>215356.52449258204</v>
      </c>
      <c r="K67" s="394">
        <f>'Census 2011_17'!K76*'Census 2011_17'!$H$3</f>
        <v>40620.766993305682</v>
      </c>
      <c r="L67" s="394">
        <f>'Census 2011_17'!L76*'Census 2011_17'!$H$3</f>
        <v>17872.30999348863</v>
      </c>
      <c r="M67" s="394">
        <f>'Census 2011_17'!M76*'Census 2011_17'!$H$3</f>
        <v>1562.6646948008063</v>
      </c>
      <c r="N67" s="394">
        <f>'Census 2011_17'!N76*'Census 2011_17'!$H$3</f>
        <v>0</v>
      </c>
      <c r="O67" s="394">
        <f>'Census 2011_17'!O76*'Census 2011_17'!$H$3</f>
        <v>0</v>
      </c>
      <c r="P67" s="394">
        <f>'Census 2011_17'!P76*'Census 2011_17'!$H$3</f>
        <v>0</v>
      </c>
      <c r="Q67" s="394"/>
      <c r="R67" s="394"/>
      <c r="S67" s="382">
        <f>SUM(F67:P67)</f>
        <v>7681839.2522781594</v>
      </c>
      <c r="T67" s="85"/>
      <c r="U67" s="85"/>
    </row>
    <row r="68" spans="1:21">
      <c r="A68" s="392">
        <v>2017</v>
      </c>
      <c r="B68" s="85" t="s">
        <v>803</v>
      </c>
      <c r="C68" s="395" t="s">
        <v>24</v>
      </c>
      <c r="D68" s="85" t="s">
        <v>62</v>
      </c>
      <c r="E68" s="85"/>
      <c r="F68" s="394">
        <f>'Census 2011_17'!F77*'Census 2011_17'!$H$3</f>
        <v>5096052.0910738474</v>
      </c>
      <c r="G68" s="394">
        <f>'Census 2011_17'!G77*'Census 2011_17'!$H$3</f>
        <v>139848.10155779056</v>
      </c>
      <c r="H68" s="394">
        <f>'Census 2011_17'!H77*'Census 2011_17'!$H$3</f>
        <v>795892.6063964772</v>
      </c>
      <c r="I68" s="394">
        <f>'Census 2011_17'!I77*'Census 2011_17'!$H$3</f>
        <v>1385039.4212831641</v>
      </c>
      <c r="J68" s="394">
        <f>'Census 2011_17'!J77*'Census 2011_17'!$H$3</f>
        <v>214318.07710302714</v>
      </c>
      <c r="K68" s="394">
        <f>'Census 2011_17'!K77*'Census 2011_17'!$H$3</f>
        <v>30231.549683866549</v>
      </c>
      <c r="L68" s="394">
        <f>'Census 2011_17'!L77*'Census 2011_17'!$H$3</f>
        <v>19207.291872259968</v>
      </c>
      <c r="M68" s="394">
        <f>'Census 2011_17'!M77*'Census 2011_17'!$H$3</f>
        <v>1250.1133077245372</v>
      </c>
      <c r="N68" s="394">
        <f>'Census 2011_17'!N77*'Census 2011_17'!$H$3</f>
        <v>0</v>
      </c>
      <c r="O68" s="394">
        <f>'Census 2011_17'!O77*'Census 2011_17'!$H$3</f>
        <v>0</v>
      </c>
      <c r="P68" s="394">
        <f>'Census 2011_17'!P77*'Census 2011_17'!$H$3</f>
        <v>0</v>
      </c>
      <c r="Q68" s="394"/>
      <c r="R68" s="394"/>
      <c r="S68" s="382">
        <f>SUM(F68:P68)</f>
        <v>7681839.2522781575</v>
      </c>
      <c r="T68" s="85"/>
      <c r="U68" s="85"/>
    </row>
    <row r="69" spans="1:21">
      <c r="A69" s="392">
        <v>2017</v>
      </c>
      <c r="B69" s="85" t="s">
        <v>803</v>
      </c>
      <c r="C69" s="395" t="s">
        <v>25</v>
      </c>
      <c r="D69" s="85" t="s">
        <v>62</v>
      </c>
      <c r="E69" s="85"/>
      <c r="F69" s="394">
        <f>'Census 2011_17'!F78*'Census 2011_17'!$H$3</f>
        <v>6494561.0478932103</v>
      </c>
      <c r="G69" s="394">
        <f>'Census 2011_17'!G78*'Census 2011_17'!$H$3</f>
        <v>454277.21583652211</v>
      </c>
      <c r="H69" s="394">
        <f>'Census 2011_17'!H78*'Census 2011_17'!$H$3</f>
        <v>309737.47990739258</v>
      </c>
      <c r="I69" s="394">
        <f>'Census 2011_17'!I78*'Census 2011_17'!$H$3</f>
        <v>301658.76647755632</v>
      </c>
      <c r="J69" s="394">
        <f>'Census 2011_17'!J78*'Census 2011_17'!$H$3</f>
        <v>72985.829744435367</v>
      </c>
      <c r="K69" s="394">
        <f>'Census 2011_17'!K78*'Census 2011_17'!$H$3</f>
        <v>9272.9254289401288</v>
      </c>
      <c r="L69" s="394">
        <f>'Census 2011_17'!L78*'Census 2011_17'!$H$3</f>
        <v>37696.250872776196</v>
      </c>
      <c r="M69" s="394">
        <f>'Census 2011_17'!M78*'Census 2011_17'!$H$3</f>
        <v>1649.7361173238353</v>
      </c>
      <c r="N69" s="394">
        <f>'Census 2011_17'!N78*'Census 2011_17'!$H$3</f>
        <v>0</v>
      </c>
      <c r="O69" s="394">
        <f>'Census 2011_17'!O78*'Census 2011_17'!$H$3</f>
        <v>0</v>
      </c>
      <c r="P69" s="394">
        <f>'Census 2011_17'!P78*'Census 2011_17'!$H$3</f>
        <v>0</v>
      </c>
      <c r="Q69" s="394"/>
      <c r="R69" s="394"/>
      <c r="S69" s="382">
        <f>SUM(F69:P69)</f>
        <v>7681839.2522781556</v>
      </c>
      <c r="T69" s="85"/>
      <c r="U69" s="85"/>
    </row>
    <row r="70" spans="1:21">
      <c r="A70" s="392">
        <v>2017</v>
      </c>
      <c r="B70" s="85" t="s">
        <v>803</v>
      </c>
      <c r="C70" s="395"/>
      <c r="D70" s="85" t="s">
        <v>62</v>
      </c>
      <c r="E70" s="85"/>
      <c r="F70" s="383">
        <f>SUM(F67:F69)/SUM($F$67:$R$69)</f>
        <v>0.69279660524502484</v>
      </c>
      <c r="G70" s="383">
        <f t="shared" ref="G70:M70" si="18">SUM(G67:G69)/SUM($F$20:$M$22)</f>
        <v>4.175118674706816E-2</v>
      </c>
      <c r="H70" s="383">
        <f t="shared" si="18"/>
        <v>0.11928198507985326</v>
      </c>
      <c r="I70" s="383">
        <f t="shared" si="18"/>
        <v>0.20714043861914136</v>
      </c>
      <c r="J70" s="383">
        <f t="shared" si="18"/>
        <v>2.8837140316499008E-2</v>
      </c>
      <c r="K70" s="383">
        <f t="shared" si="18"/>
        <v>4.5967072509519478E-3</v>
      </c>
      <c r="L70" s="383">
        <f t="shared" si="18"/>
        <v>4.2898179830032739E-3</v>
      </c>
      <c r="M70" s="383">
        <f t="shared" si="18"/>
        <v>2.5601009710548309E-4</v>
      </c>
      <c r="N70" s="383">
        <f t="shared" ref="N70:P70" si="19">SUM(N67:N69)/SUM($F$20:$M$22)</f>
        <v>0</v>
      </c>
      <c r="O70" s="383">
        <f t="shared" si="19"/>
        <v>0</v>
      </c>
      <c r="P70" s="383">
        <f t="shared" si="19"/>
        <v>0</v>
      </c>
      <c r="Q70" s="383"/>
      <c r="R70" s="383"/>
      <c r="S70" s="382"/>
      <c r="T70" s="85"/>
      <c r="U70" s="85"/>
    </row>
    <row r="71" spans="1:21">
      <c r="A71" s="392">
        <v>2017</v>
      </c>
      <c r="B71" s="85" t="s">
        <v>803</v>
      </c>
      <c r="C71" s="395" t="s">
        <v>22</v>
      </c>
      <c r="D71" s="85" t="s">
        <v>62</v>
      </c>
      <c r="E71" s="85"/>
      <c r="F71" s="396">
        <f>F67*'Census 2011_17'!F$86/F$70</f>
        <v>3717548.4637392224</v>
      </c>
      <c r="G71" s="396">
        <f>G67*'Census 2011_17'!G$86/G$70</f>
        <v>54419.212649633955</v>
      </c>
      <c r="H71" s="396">
        <f>H67*'Census 2011_17'!H$86/H$70</f>
        <v>561106.58523439371</v>
      </c>
      <c r="I71" s="396">
        <f>I67*'Census 2011_17'!I$86/I$70</f>
        <v>1082991.9000946251</v>
      </c>
      <c r="J71" s="396">
        <f>J67*'Census 2011_17'!J$86/J$70</f>
        <v>90923.646446546758</v>
      </c>
      <c r="K71" s="396">
        <f>K67*'Census 2011_17'!K$86/K$70</f>
        <v>9380.1780474910356</v>
      </c>
      <c r="L71" s="396">
        <f>L67*'Census 2011_17'!L$86/L$70</f>
        <v>6145.3043823193539</v>
      </c>
      <c r="M71" s="396">
        <f>M67*'Census 2011_17'!M$86/M$70</f>
        <v>114009.41142623939</v>
      </c>
      <c r="N71" s="394"/>
      <c r="O71" s="394"/>
      <c r="P71" s="394"/>
      <c r="Q71" s="394"/>
      <c r="R71" s="394"/>
      <c r="S71" s="382">
        <f>SUM(F71:P71)</f>
        <v>5636524.7020204719</v>
      </c>
      <c r="T71" s="85"/>
      <c r="U71" s="85"/>
    </row>
    <row r="72" spans="1:21">
      <c r="A72" s="392">
        <v>2017</v>
      </c>
      <c r="B72" s="85" t="s">
        <v>803</v>
      </c>
      <c r="C72" s="395" t="s">
        <v>24</v>
      </c>
      <c r="D72" s="85" t="s">
        <v>62</v>
      </c>
      <c r="E72" s="85"/>
      <c r="F72" s="396">
        <f>F68*'Census 2011_17'!F$86/F$70</f>
        <v>4330003.8871854963</v>
      </c>
      <c r="G72" s="396">
        <f>G68*'Census 2011_17'!G$86/G$70</f>
        <v>56947.213581894255</v>
      </c>
      <c r="H72" s="396">
        <f>H68*'Census 2011_17'!H$86/H$70</f>
        <v>458701.69125717034</v>
      </c>
      <c r="I72" s="396">
        <f>I68*'Census 2011_17'!I$86/I$70</f>
        <v>779631.50960832636</v>
      </c>
      <c r="J72" s="396">
        <f>J68*'Census 2011_17'!J$86/J$70</f>
        <v>90485.213371330203</v>
      </c>
      <c r="K72" s="396">
        <f>K68*'Census 2011_17'!K$86/K$70</f>
        <v>6981.0921771362237</v>
      </c>
      <c r="L72" s="396">
        <f>L68*'Census 2011_17'!L$86/L$70</f>
        <v>6604.331222885532</v>
      </c>
      <c r="M72" s="396">
        <f>M68*'Census 2011_17'!M$86/M$70</f>
        <v>91206.183197190287</v>
      </c>
      <c r="N72" s="394"/>
      <c r="O72" s="394"/>
      <c r="P72" s="394"/>
      <c r="Q72" s="394"/>
      <c r="R72" s="394"/>
      <c r="S72" s="382">
        <f>SUM(F72:P72)</f>
        <v>5820561.1216014288</v>
      </c>
      <c r="T72" s="85"/>
      <c r="U72" s="85"/>
    </row>
    <row r="73" spans="1:21">
      <c r="A73" s="392">
        <v>2017</v>
      </c>
      <c r="B73" s="85" t="s">
        <v>803</v>
      </c>
      <c r="C73" s="395" t="s">
        <v>25</v>
      </c>
      <c r="D73" s="85" t="s">
        <v>62</v>
      </c>
      <c r="E73" s="85"/>
      <c r="F73" s="396">
        <f>F69*'Census 2011_17'!F$86/F$70</f>
        <v>5518286.3283909857</v>
      </c>
      <c r="G73" s="396">
        <f>G69*'Census 2011_17'!G$86/G$70</f>
        <v>184985.14708074392</v>
      </c>
      <c r="H73" s="396">
        <f>H69*'Census 2011_17'!H$86/H$70</f>
        <v>178512.91083420179</v>
      </c>
      <c r="I73" s="396">
        <f>I69*'Census 2011_17'!I$86/I$70</f>
        <v>169802.15572319145</v>
      </c>
      <c r="J73" s="396">
        <f>J69*'Census 2011_17'!J$86/J$70</f>
        <v>30814.658598929418</v>
      </c>
      <c r="K73" s="396">
        <f>K69*'Census 2011_17'!K$86/K$70</f>
        <v>2141.3109102272792</v>
      </c>
      <c r="L73" s="396">
        <f>L69*'Census 2011_17'!L$86/L$70</f>
        <v>12961.667281391132</v>
      </c>
      <c r="M73" s="396">
        <f>M69*'Census 2011_17'!M$86/M$70</f>
        <v>120361.99727970127</v>
      </c>
      <c r="N73" s="394"/>
      <c r="O73" s="394"/>
      <c r="P73" s="394"/>
      <c r="Q73" s="394"/>
      <c r="R73" s="394"/>
      <c r="S73" s="382">
        <f>SUM(F73:P73)</f>
        <v>6217866.1760993721</v>
      </c>
      <c r="T73" s="85"/>
      <c r="U73" s="85"/>
    </row>
    <row r="74" spans="1:21">
      <c r="A74" s="392">
        <v>2017</v>
      </c>
      <c r="B74" s="85" t="s">
        <v>803</v>
      </c>
      <c r="C74" s="395" t="s">
        <v>22</v>
      </c>
      <c r="D74" s="85" t="s">
        <v>62</v>
      </c>
      <c r="E74" s="85"/>
      <c r="F74" s="394">
        <f>F71*'Census 2011_17'!$H3/$S71</f>
        <v>5066527.908723888</v>
      </c>
      <c r="G74" s="394">
        <f>G71*'Census 2011_17'!$H3/$S71</f>
        <v>74166.204516087615</v>
      </c>
      <c r="H74" s="394">
        <f>H71*'Census 2011_17'!$H3/$S71</f>
        <v>764714.22002643603</v>
      </c>
      <c r="I74" s="394">
        <f>I71*'Census 2011_17'!$H3/$S71</f>
        <v>1475975.0250121371</v>
      </c>
      <c r="J74" s="394">
        <f>J71*'Census 2011_17'!$H3/$S71</f>
        <v>123916.92987400082</v>
      </c>
      <c r="K74" s="394">
        <f>K71*'Census 2011_17'!$H3/$S71</f>
        <v>12783.944669442308</v>
      </c>
      <c r="L74" s="394">
        <f>L71*'Census 2011_17'!$H3/$S71</f>
        <v>8375.2388070570942</v>
      </c>
      <c r="M74" s="394">
        <f>M71*'Census 2011_17'!$H3/$S71</f>
        <v>155379.78064910724</v>
      </c>
      <c r="N74" s="394">
        <f>N71*'Census 2011_17'!$H3/$S71</f>
        <v>0</v>
      </c>
      <c r="O74" s="394">
        <f>O71*'Census 2011_17'!$H3/$S71</f>
        <v>0</v>
      </c>
      <c r="P74" s="394">
        <f>P71*'Census 2011_17'!$H3/$S71</f>
        <v>0</v>
      </c>
      <c r="Q74" s="394"/>
      <c r="R74" s="394"/>
      <c r="S74" s="382">
        <f>SUM(F74:M74)</f>
        <v>7681839.2522781566</v>
      </c>
      <c r="T74" s="85"/>
      <c r="U74" s="85"/>
    </row>
    <row r="75" spans="1:21">
      <c r="A75" s="392">
        <v>2017</v>
      </c>
      <c r="B75" s="85" t="s">
        <v>803</v>
      </c>
      <c r="C75" s="395" t="s">
        <v>24</v>
      </c>
      <c r="D75" s="85" t="s">
        <v>62</v>
      </c>
      <c r="E75" s="85"/>
      <c r="F75" s="394">
        <f>F72*'Census 2011_17'!$H4/$S72</f>
        <v>4145916.0296913343</v>
      </c>
      <c r="G75" s="394">
        <f>G72*'Census 2011_17'!$H4/$S72</f>
        <v>54526.132490124735</v>
      </c>
      <c r="H75" s="394">
        <f>H72*'Census 2011_17'!$H4/$S72</f>
        <v>439200.22803161002</v>
      </c>
      <c r="I75" s="394">
        <f>I72*'Census 2011_17'!$H4/$S72</f>
        <v>746485.88249619352</v>
      </c>
      <c r="J75" s="394">
        <f>J72*'Census 2011_17'!$H4/$S72</f>
        <v>86638.281706043068</v>
      </c>
      <c r="K75" s="394">
        <f>K72*'Census 2011_17'!$H4/$S72</f>
        <v>6684.294683336836</v>
      </c>
      <c r="L75" s="394">
        <f>L72*'Census 2011_17'!$H4/$S72</f>
        <v>6323.5515246037721</v>
      </c>
      <c r="M75" s="394">
        <f>M72*'Census 2011_17'!$H4/$S72</f>
        <v>87328.599875687942</v>
      </c>
      <c r="N75" s="394">
        <f>N72*'Census 2011_17'!$H4/$S72</f>
        <v>0</v>
      </c>
      <c r="O75" s="394">
        <f>O72*'Census 2011_17'!$H4/$S72</f>
        <v>0</v>
      </c>
      <c r="P75" s="394">
        <f>P72*'Census 2011_17'!$H4/$S72</f>
        <v>0</v>
      </c>
      <c r="Q75" s="394"/>
      <c r="R75" s="394"/>
      <c r="S75" s="382">
        <f>SUM(F75:M75)</f>
        <v>5573103.0004989356</v>
      </c>
      <c r="T75" s="85"/>
      <c r="U75" s="85"/>
    </row>
    <row r="76" spans="1:21">
      <c r="A76" s="392">
        <v>2017</v>
      </c>
      <c r="B76" s="85" t="s">
        <v>803</v>
      </c>
      <c r="C76" s="395" t="s">
        <v>25</v>
      </c>
      <c r="D76" s="85" t="s">
        <v>62</v>
      </c>
      <c r="E76" s="85"/>
      <c r="F76" s="394">
        <f>F73*'Census 2011_17'!$H5/$S73</f>
        <v>3706211.6418459048</v>
      </c>
      <c r="G76" s="394">
        <f>G73*'Census 2011_17'!$H5/$S73</f>
        <v>124240.40089256018</v>
      </c>
      <c r="H76" s="394">
        <f>H73*'Census 2011_17'!$H5/$S73</f>
        <v>119893.49391850585</v>
      </c>
      <c r="I76" s="394">
        <f>I73*'Census 2011_17'!$H5/$S73</f>
        <v>114043.14471940792</v>
      </c>
      <c r="J76" s="394">
        <f>J73*'Census 2011_17'!$H5/$S73</f>
        <v>20695.853684011203</v>
      </c>
      <c r="K76" s="394">
        <f>K73*'Census 2011_17'!$H5/$S73</f>
        <v>1438.1550633691031</v>
      </c>
      <c r="L76" s="394">
        <f>L73*'Census 2011_17'!$H5/$S73</f>
        <v>8705.362374705197</v>
      </c>
      <c r="M76" s="394">
        <f>M73*'Census 2011_17'!$H5/$S73</f>
        <v>80837.964724444348</v>
      </c>
      <c r="N76" s="394">
        <f>N73*'Census 2011_17'!$H5/$S73</f>
        <v>0</v>
      </c>
      <c r="O76" s="394">
        <f>O73*'Census 2011_17'!$H5/$S73</f>
        <v>0</v>
      </c>
      <c r="P76" s="394">
        <f>P73*'Census 2011_17'!$H5/$S73</f>
        <v>0</v>
      </c>
      <c r="Q76" s="394"/>
      <c r="R76" s="394"/>
      <c r="S76" s="382">
        <f>SUM(F76:M76)</f>
        <v>4176066.0172229093</v>
      </c>
      <c r="T76" s="85"/>
      <c r="U76" s="85"/>
    </row>
    <row r="77" spans="1:21">
      <c r="A77" s="392">
        <v>2017</v>
      </c>
      <c r="B77" s="85" t="s">
        <v>803</v>
      </c>
      <c r="C77" s="395"/>
      <c r="D77" s="85" t="s">
        <v>62</v>
      </c>
      <c r="E77" s="85"/>
      <c r="F77" s="383">
        <f t="shared" ref="F77:M77" si="20">SUM(F74:F76)/SUM($F$27:$M$29)</f>
        <v>0.74113071258735208</v>
      </c>
      <c r="G77" s="383">
        <f t="shared" si="20"/>
        <v>1.4510505300722489E-2</v>
      </c>
      <c r="H77" s="383">
        <f t="shared" si="20"/>
        <v>7.5945574775207886E-2</v>
      </c>
      <c r="I77" s="383">
        <f t="shared" si="20"/>
        <v>0.13404296619198025</v>
      </c>
      <c r="J77" s="383">
        <f t="shared" si="20"/>
        <v>1.3266648818132602E-2</v>
      </c>
      <c r="K77" s="383">
        <f t="shared" si="20"/>
        <v>1.1993795248281553E-3</v>
      </c>
      <c r="L77" s="383">
        <f t="shared" si="20"/>
        <v>1.3426734899005394E-3</v>
      </c>
      <c r="M77" s="383">
        <f t="shared" si="20"/>
        <v>1.8561539311875937E-2</v>
      </c>
      <c r="N77" s="394"/>
      <c r="O77" s="394"/>
      <c r="P77" s="394"/>
      <c r="Q77" s="394"/>
      <c r="R77" s="394"/>
      <c r="S77" s="382"/>
      <c r="T77" s="85"/>
      <c r="U77" s="85"/>
    </row>
    <row r="78" spans="1:21">
      <c r="A78" s="392" t="s">
        <v>816</v>
      </c>
      <c r="B78" s="85" t="s">
        <v>803</v>
      </c>
      <c r="C78" s="395" t="s">
        <v>22</v>
      </c>
      <c r="D78" s="85" t="s">
        <v>62</v>
      </c>
      <c r="E78" s="85"/>
      <c r="F78" s="397">
        <f t="shared" ref="F78:M80" si="21">F74/SUM($F74:$M74)</f>
        <v>0.65954620271718634</v>
      </c>
      <c r="G78" s="397">
        <f t="shared" si="21"/>
        <v>9.6547457035230967E-3</v>
      </c>
      <c r="H78" s="397">
        <f t="shared" si="21"/>
        <v>9.954832363872354E-2</v>
      </c>
      <c r="I78" s="397">
        <f t="shared" si="21"/>
        <v>0.19213823363648441</v>
      </c>
      <c r="J78" s="397">
        <f t="shared" si="21"/>
        <v>1.6131153725620011E-2</v>
      </c>
      <c r="K78" s="397">
        <f t="shared" si="21"/>
        <v>1.6641775816450533E-3</v>
      </c>
      <c r="L78" s="397">
        <f t="shared" si="21"/>
        <v>1.0902647832123408E-3</v>
      </c>
      <c r="M78" s="397">
        <f t="shared" si="21"/>
        <v>2.0226898213605186E-2</v>
      </c>
      <c r="N78" s="394"/>
      <c r="O78" s="394"/>
      <c r="P78" s="394"/>
      <c r="Q78" s="394"/>
      <c r="R78" s="394"/>
      <c r="S78" s="384">
        <f>SUM(F78:O78)</f>
        <v>1</v>
      </c>
      <c r="T78" s="85"/>
      <c r="U78" s="85"/>
    </row>
    <row r="79" spans="1:21">
      <c r="A79" s="392" t="s">
        <v>816</v>
      </c>
      <c r="B79" s="85" t="s">
        <v>803</v>
      </c>
      <c r="C79" s="395" t="s">
        <v>24</v>
      </c>
      <c r="D79" s="85" t="s">
        <v>62</v>
      </c>
      <c r="E79" s="85"/>
      <c r="F79" s="397">
        <f t="shared" si="21"/>
        <v>0.74391519936383166</v>
      </c>
      <c r="G79" s="397">
        <f t="shared" si="21"/>
        <v>9.7838013195240148E-3</v>
      </c>
      <c r="H79" s="397">
        <f t="shared" si="21"/>
        <v>7.8807125580182227E-2</v>
      </c>
      <c r="I79" s="397">
        <f t="shared" si="21"/>
        <v>0.13394439012330545</v>
      </c>
      <c r="J79" s="397">
        <f t="shared" si="21"/>
        <v>1.5545788710218835E-2</v>
      </c>
      <c r="K79" s="397">
        <f t="shared" si="21"/>
        <v>1.1993847382218523E-3</v>
      </c>
      <c r="L79" s="397">
        <f t="shared" si="21"/>
        <v>1.1346554197971313E-3</v>
      </c>
      <c r="M79" s="397">
        <f t="shared" si="21"/>
        <v>1.5669654744918549E-2</v>
      </c>
      <c r="N79" s="394"/>
      <c r="O79" s="394"/>
      <c r="P79" s="394"/>
      <c r="Q79" s="394"/>
      <c r="R79" s="394"/>
      <c r="S79" s="384">
        <f t="shared" ref="S79:S80" si="22">SUM(F78:O78)</f>
        <v>1</v>
      </c>
      <c r="T79" s="85"/>
      <c r="U79" s="85"/>
    </row>
    <row r="80" spans="1:21">
      <c r="A80" s="392" t="s">
        <v>816</v>
      </c>
      <c r="B80" s="85" t="s">
        <v>803</v>
      </c>
      <c r="C80" s="395" t="s">
        <v>25</v>
      </c>
      <c r="D80" s="85" t="s">
        <v>62</v>
      </c>
      <c r="E80" s="85"/>
      <c r="F80" s="397">
        <f t="shared" si="21"/>
        <v>0.88748875773533431</v>
      </c>
      <c r="G80" s="397">
        <f t="shared" si="21"/>
        <v>2.9750583534879138E-2</v>
      </c>
      <c r="H80" s="397">
        <f t="shared" si="21"/>
        <v>2.8709673990794621E-2</v>
      </c>
      <c r="I80" s="397">
        <f t="shared" si="21"/>
        <v>2.730875044816624E-2</v>
      </c>
      <c r="J80" s="397">
        <f t="shared" si="21"/>
        <v>4.9558253146998812E-3</v>
      </c>
      <c r="K80" s="397">
        <f t="shared" si="21"/>
        <v>3.4438034682351086E-4</v>
      </c>
      <c r="L80" s="397">
        <f t="shared" si="21"/>
        <v>2.0845844722766804E-3</v>
      </c>
      <c r="M80" s="397">
        <f t="shared" si="21"/>
        <v>1.9357444157025498E-2</v>
      </c>
      <c r="N80" s="394"/>
      <c r="O80" s="394"/>
      <c r="P80" s="394"/>
      <c r="Q80" s="394"/>
      <c r="R80" s="394"/>
      <c r="S80" s="384">
        <f t="shared" si="22"/>
        <v>0.99999999999999978</v>
      </c>
      <c r="T80" s="85"/>
      <c r="U80" s="85"/>
    </row>
    <row r="82" spans="8:8">
      <c r="H82" t="s">
        <v>813</v>
      </c>
    </row>
    <row r="83" spans="8:8">
      <c r="H83" t="s">
        <v>814</v>
      </c>
    </row>
  </sheetData>
  <pageMargins left="0.7" right="0.7" top="0.75" bottom="0.75" header="0.3" footer="0.3"/>
  <pageSetup paperSize="0"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4" filterMode="1"/>
  <dimension ref="A1:AV197"/>
  <sheetViews>
    <sheetView topLeftCell="B49" zoomScale="110" zoomScaleNormal="110" workbookViewId="0">
      <selection activeCell="I112" sqref="I112"/>
    </sheetView>
  </sheetViews>
  <sheetFormatPr defaultColWidth="8.85546875" defaultRowHeight="12.75" outlineLevelRow="3"/>
  <cols>
    <col min="1" max="1" width="4.42578125" customWidth="1"/>
    <col min="2" max="2" width="15.140625" customWidth="1"/>
    <col min="3" max="3" width="13.28515625" customWidth="1"/>
    <col min="4" max="4" width="8.7109375" customWidth="1"/>
    <col min="5" max="5" width="16.28515625" customWidth="1"/>
    <col min="6" max="6" width="11.85546875" customWidth="1"/>
    <col min="7" max="7" width="13.42578125" customWidth="1"/>
    <col min="8" max="8" width="15.42578125" customWidth="1"/>
    <col min="9" max="9" width="8.42578125" customWidth="1"/>
    <col min="10" max="10" width="10.28515625" customWidth="1"/>
    <col min="11" max="11" width="8.7109375" customWidth="1"/>
    <col min="12" max="12" width="8.140625" customWidth="1"/>
    <col min="13" max="23" width="11.42578125" customWidth="1"/>
    <col min="24" max="24" width="18" customWidth="1"/>
    <col min="25" max="25" width="11.7109375" customWidth="1"/>
    <col min="26" max="26" width="8.85546875" customWidth="1"/>
    <col min="27" max="34" width="13.42578125" customWidth="1"/>
    <col min="35" max="35" width="8.28515625" customWidth="1"/>
    <col min="36" max="36" width="26.42578125" customWidth="1"/>
    <col min="37" max="37" width="19.42578125" customWidth="1"/>
    <col min="38" max="38" width="16.85546875" customWidth="1"/>
    <col min="39" max="39" width="13.42578125" customWidth="1"/>
    <col min="40" max="40" width="11.85546875" customWidth="1"/>
    <col min="41" max="41" width="13.7109375" customWidth="1"/>
    <col min="42" max="42" width="14.140625" customWidth="1"/>
    <col min="43" max="43" width="11.28515625" customWidth="1"/>
    <col min="44" max="44" width="16.28515625" customWidth="1"/>
    <col min="47" max="47" width="6.7109375" customWidth="1"/>
  </cols>
  <sheetData>
    <row r="1" spans="2:40">
      <c r="B1" s="627" t="s">
        <v>459</v>
      </c>
      <c r="C1" s="246"/>
      <c r="D1" s="246" t="s">
        <v>425</v>
      </c>
      <c r="E1" s="289" t="s">
        <v>17</v>
      </c>
      <c r="F1" s="290">
        <v>0.67856555411775232</v>
      </c>
      <c r="G1" s="1" t="s">
        <v>562</v>
      </c>
    </row>
    <row r="2" spans="2:40">
      <c r="B2" s="627"/>
      <c r="C2" s="246"/>
      <c r="D2" s="246"/>
      <c r="E2" s="289" t="s">
        <v>42</v>
      </c>
      <c r="F2" s="290">
        <v>0.8987980685965391</v>
      </c>
      <c r="G2" s="1" t="s">
        <v>11</v>
      </c>
      <c r="O2" s="1" t="s">
        <v>929</v>
      </c>
      <c r="R2">
        <v>2017</v>
      </c>
    </row>
    <row r="3" spans="2:40">
      <c r="B3" s="246"/>
      <c r="C3" s="246"/>
      <c r="D3" s="246"/>
      <c r="E3" s="289" t="s">
        <v>9</v>
      </c>
      <c r="F3" s="290">
        <v>1.2823586786458017</v>
      </c>
      <c r="O3" s="1" t="s">
        <v>919</v>
      </c>
      <c r="P3" s="1" t="s">
        <v>920</v>
      </c>
      <c r="Q3" s="1" t="s">
        <v>921</v>
      </c>
      <c r="R3" s="1" t="s">
        <v>922</v>
      </c>
      <c r="S3" s="1" t="s">
        <v>923</v>
      </c>
      <c r="T3" s="1" t="s">
        <v>924</v>
      </c>
    </row>
    <row r="4" spans="2:40">
      <c r="B4" s="246"/>
      <c r="C4" s="246"/>
      <c r="D4" s="246"/>
      <c r="E4" s="289" t="s">
        <v>21</v>
      </c>
      <c r="F4" s="290">
        <v>0.52953517812284667</v>
      </c>
      <c r="N4" s="272" t="s">
        <v>11</v>
      </c>
      <c r="O4">
        <v>7.0035116705491545</v>
      </c>
      <c r="P4">
        <v>3.8523532698061858</v>
      </c>
      <c r="Q4">
        <v>4.1840772523036245</v>
      </c>
      <c r="R4" s="8">
        <v>8547623.5964407809</v>
      </c>
      <c r="S4">
        <v>0.57052007320621978</v>
      </c>
      <c r="T4">
        <f>'Census 2011_17'!H6/(SUM('Census 2011_17'!H5:H7))</f>
        <v>0.39420696370024866</v>
      </c>
      <c r="U4">
        <f>T4*$R$7</f>
        <v>5906072.2015780341</v>
      </c>
    </row>
    <row r="5" spans="2:40">
      <c r="B5" s="246"/>
      <c r="C5" s="246"/>
      <c r="D5" s="246"/>
      <c r="E5" s="289" t="s">
        <v>39</v>
      </c>
      <c r="F5" s="290">
        <v>1.0250206502476364</v>
      </c>
      <c r="N5" s="115" t="s">
        <v>12</v>
      </c>
      <c r="O5">
        <v>13.056735652128177</v>
      </c>
      <c r="P5">
        <v>6.9810030742832314</v>
      </c>
      <c r="Q5">
        <v>5.7635292789785195</v>
      </c>
      <c r="R5" s="8">
        <v>3763703.1718794019</v>
      </c>
      <c r="S5">
        <v>0.25121230303604358</v>
      </c>
      <c r="T5">
        <f>'Census 2011_17'!H7/SUM('Census 2011_17'!H5:H7)</f>
        <v>0.32611655634622533</v>
      </c>
      <c r="U5">
        <f t="shared" ref="U5:U6" si="0">T5*$R$7</f>
        <v>4885930.7553363321</v>
      </c>
    </row>
    <row r="6" spans="2:40">
      <c r="N6" s="236" t="s">
        <v>13</v>
      </c>
      <c r="O6">
        <v>1.3594789445171969</v>
      </c>
      <c r="P6">
        <v>2.5911253057692276</v>
      </c>
      <c r="Q6">
        <v>1.6057296407944959</v>
      </c>
      <c r="R6" s="8">
        <v>2670834.2420798191</v>
      </c>
      <c r="S6">
        <v>0.17826762375773667</v>
      </c>
      <c r="T6">
        <f>'Census 2011_17'!H5/SUM('Census 2011_17'!H5:H7)</f>
        <v>0.27967647995352607</v>
      </c>
      <c r="U6">
        <f t="shared" si="0"/>
        <v>4190158.0534856357</v>
      </c>
    </row>
    <row r="7" spans="2:40">
      <c r="N7" s="236" t="s">
        <v>14</v>
      </c>
      <c r="O7">
        <v>2.9043196883502378</v>
      </c>
      <c r="P7">
        <v>15.341413149732672</v>
      </c>
      <c r="Q7">
        <v>39.655230495441124</v>
      </c>
      <c r="R7">
        <f>SUM(R4:R6)</f>
        <v>14982161.010400001</v>
      </c>
      <c r="V7">
        <f>Q7/SUM(Q4:Q9)</f>
        <v>0.53632975835073371</v>
      </c>
    </row>
    <row r="8" spans="2:40">
      <c r="F8" s="1" t="s">
        <v>236</v>
      </c>
      <c r="G8" s="3" t="s">
        <v>238</v>
      </c>
      <c r="H8" s="482" t="s">
        <v>237</v>
      </c>
      <c r="I8" s="3" t="s">
        <v>239</v>
      </c>
      <c r="J8" s="3" t="s">
        <v>240</v>
      </c>
      <c r="K8" s="484" t="s">
        <v>168</v>
      </c>
      <c r="N8" s="1" t="s">
        <v>15</v>
      </c>
      <c r="O8">
        <v>15.647920637288827</v>
      </c>
      <c r="P8">
        <v>9.1199492949970029</v>
      </c>
      <c r="Q8">
        <v>9.053503739006608</v>
      </c>
    </row>
    <row r="9" spans="2:40">
      <c r="B9" t="s">
        <v>833</v>
      </c>
      <c r="F9" s="321">
        <v>155.08799999999999</v>
      </c>
      <c r="G9" s="321">
        <v>11.815</v>
      </c>
      <c r="H9" s="483">
        <v>1.1930000000000001</v>
      </c>
      <c r="I9" s="321">
        <v>131.37</v>
      </c>
      <c r="J9" s="321">
        <v>12.473000000000001</v>
      </c>
      <c r="K9" s="485"/>
      <c r="N9" s="236" t="s">
        <v>41</v>
      </c>
      <c r="O9">
        <v>10.568149456540745</v>
      </c>
      <c r="P9">
        <v>11.066724918355078</v>
      </c>
      <c r="Q9">
        <v>13.676080289019398</v>
      </c>
    </row>
    <row r="10" spans="2:40">
      <c r="B10" t="s">
        <v>834</v>
      </c>
      <c r="F10" s="321">
        <v>172.33199999999999</v>
      </c>
      <c r="G10" s="321">
        <v>9.64</v>
      </c>
      <c r="H10" s="483">
        <v>17.97</v>
      </c>
      <c r="I10" s="321">
        <v>83.766999999999996</v>
      </c>
      <c r="J10" s="321">
        <v>15.617000000000001</v>
      </c>
      <c r="K10" s="483">
        <v>0.22</v>
      </c>
      <c r="L10">
        <v>0.22</v>
      </c>
    </row>
    <row r="11" spans="2:40">
      <c r="B11" s="1"/>
    </row>
    <row r="12" spans="2:40">
      <c r="B12" s="1"/>
    </row>
    <row r="13" spans="2:40">
      <c r="C13" s="1"/>
      <c r="F13" s="1" t="s">
        <v>397</v>
      </c>
    </row>
    <row r="14" spans="2:40" s="15" customFormat="1" ht="114.75">
      <c r="B14" s="15">
        <v>2017</v>
      </c>
      <c r="C14" s="477"/>
      <c r="D14" s="477" t="s">
        <v>395</v>
      </c>
      <c r="E14" s="477" t="s">
        <v>396</v>
      </c>
      <c r="F14" s="477" t="s">
        <v>42</v>
      </c>
      <c r="G14" s="477" t="s">
        <v>17</v>
      </c>
      <c r="H14" s="477" t="s">
        <v>43</v>
      </c>
      <c r="I14" s="477" t="s">
        <v>7</v>
      </c>
      <c r="J14" s="477" t="s">
        <v>9</v>
      </c>
      <c r="K14" s="477" t="s">
        <v>166</v>
      </c>
      <c r="N14" s="512"/>
      <c r="O14" s="513"/>
      <c r="P14" s="513"/>
      <c r="Q14" s="513" t="s">
        <v>951</v>
      </c>
      <c r="R14" s="513" t="s">
        <v>861</v>
      </c>
      <c r="S14" s="513" t="s">
        <v>952</v>
      </c>
      <c r="T14" s="514"/>
      <c r="U14" s="514"/>
      <c r="V14" s="513" t="s">
        <v>930</v>
      </c>
    </row>
    <row r="15" spans="2:40">
      <c r="B15" s="1" t="s">
        <v>249</v>
      </c>
      <c r="C15" s="1" t="s">
        <v>11</v>
      </c>
      <c r="D15" t="str">
        <f>RIGHT(LEFT(B15,2),1)</f>
        <v>L</v>
      </c>
      <c r="E15" s="3" t="str">
        <f>RIGHT(B15,1)</f>
        <v>L</v>
      </c>
      <c r="F15" s="3">
        <f t="shared" ref="F15:K24" si="1">SUMIFS($I$55:$I$160,$D$55:$D$160,$B15,$C$55:$C$160,F$8)</f>
        <v>5.1436058464979943</v>
      </c>
      <c r="G15" s="3">
        <f t="shared" si="1"/>
        <v>0</v>
      </c>
      <c r="H15" s="3">
        <f t="shared" si="1"/>
        <v>0</v>
      </c>
      <c r="I15" s="3">
        <f t="shared" si="1"/>
        <v>0</v>
      </c>
      <c r="J15" s="3">
        <f t="shared" si="1"/>
        <v>0</v>
      </c>
      <c r="K15" s="3">
        <f t="shared" si="1"/>
        <v>0</v>
      </c>
      <c r="N15" s="515" t="str">
        <f>Energy_Balance!B55</f>
        <v>Electricity</v>
      </c>
      <c r="O15" s="516" t="str">
        <f>Energy_Balance!E55</f>
        <v>Low Income</v>
      </c>
      <c r="P15" s="516" t="str">
        <f>Energy_Balance!F55</f>
        <v>Lighting</v>
      </c>
      <c r="Q15" s="516">
        <v>5.5647070597880148</v>
      </c>
      <c r="R15" s="517">
        <v>3.6888825388965123</v>
      </c>
      <c r="S15" s="518">
        <f>O4/$R$4*$U$4</f>
        <v>4.8391515049962308</v>
      </c>
      <c r="T15" s="518">
        <f>Q15/S15</f>
        <v>1.1499344573201886</v>
      </c>
      <c r="U15" s="518"/>
      <c r="V15" s="516">
        <v>5.5647070597880148</v>
      </c>
    </row>
    <row r="16" spans="2:40">
      <c r="B16" s="1" t="s">
        <v>266</v>
      </c>
      <c r="C16" s="1" t="s">
        <v>11</v>
      </c>
      <c r="D16" t="s">
        <v>78</v>
      </c>
      <c r="E16" s="3" t="s">
        <v>78</v>
      </c>
      <c r="F16" s="3">
        <f t="shared" si="1"/>
        <v>0</v>
      </c>
      <c r="G16" s="3">
        <f t="shared" si="1"/>
        <v>0.36541482196776115</v>
      </c>
      <c r="H16" s="3">
        <f t="shared" si="1"/>
        <v>0</v>
      </c>
      <c r="I16" s="3">
        <f t="shared" si="1"/>
        <v>0</v>
      </c>
      <c r="J16" s="3">
        <f t="shared" si="1"/>
        <v>0</v>
      </c>
      <c r="K16" s="3">
        <f t="shared" si="1"/>
        <v>0</v>
      </c>
      <c r="N16" s="515" t="str">
        <f t="shared" ref="N16:O19" si="2">N15</f>
        <v>Electricity</v>
      </c>
      <c r="O16" s="516" t="str">
        <f t="shared" si="2"/>
        <v>Low Income</v>
      </c>
      <c r="P16" s="519" t="str">
        <f>Energy_Balance!F59</f>
        <v>Cooking</v>
      </c>
      <c r="Q16" s="519">
        <f>V16*$T$15</f>
        <v>11.993301871801412</v>
      </c>
      <c r="R16" s="517">
        <v>10.581932621358369</v>
      </c>
      <c r="S16" s="518">
        <f t="shared" ref="S16:S20" si="3">O5/$R$4*$U$4</f>
        <v>9.0216915389790042</v>
      </c>
      <c r="T16" s="518">
        <f t="shared" ref="T16:T20" si="4">Q16/S16</f>
        <v>1.3293850515707955</v>
      </c>
      <c r="U16" s="518"/>
      <c r="V16" s="519">
        <v>10.429552567500799</v>
      </c>
    </row>
    <row r="17" spans="2:22">
      <c r="B17" s="1" t="s">
        <v>250</v>
      </c>
      <c r="C17" s="1" t="s">
        <v>12</v>
      </c>
      <c r="D17" t="str">
        <f t="shared" ref="D17:D37" si="5">RIGHT(LEFT(B17,2),1)</f>
        <v>L</v>
      </c>
      <c r="E17" s="3" t="str">
        <f t="shared" ref="E17:E37" si="6">RIGHT(B17,1)</f>
        <v>K</v>
      </c>
      <c r="F17" s="3">
        <f t="shared" si="1"/>
        <v>9.6403111585533967</v>
      </c>
      <c r="G17" s="3">
        <f t="shared" si="1"/>
        <v>1.4969403216661288</v>
      </c>
      <c r="H17" s="3">
        <f t="shared" si="1"/>
        <v>1.0540082413086083</v>
      </c>
      <c r="I17" s="3">
        <f t="shared" si="1"/>
        <v>33.542202919333945</v>
      </c>
      <c r="J17" s="3">
        <f t="shared" si="1"/>
        <v>2.1940201359108897</v>
      </c>
      <c r="K17" s="3">
        <f t="shared" si="1"/>
        <v>0</v>
      </c>
      <c r="N17" s="515" t="str">
        <f t="shared" si="2"/>
        <v>Electricity</v>
      </c>
      <c r="O17" s="516" t="str">
        <f t="shared" si="2"/>
        <v>Low Income</v>
      </c>
      <c r="P17" s="520" t="str">
        <f>Energy_Balance!F139</f>
        <v>Space heating</v>
      </c>
      <c r="Q17" s="520">
        <v>1.0727313100437019</v>
      </c>
      <c r="R17" s="517">
        <v>3.0599476608572518</v>
      </c>
      <c r="S17" s="518">
        <f t="shared" si="3"/>
        <v>0.93934655781836296</v>
      </c>
      <c r="T17" s="518">
        <f t="shared" si="4"/>
        <v>1.1419973822389105</v>
      </c>
      <c r="U17" s="518"/>
      <c r="V17" s="520">
        <v>1.0727313100437019</v>
      </c>
    </row>
    <row r="18" spans="2:22">
      <c r="B18" s="1" t="s">
        <v>251</v>
      </c>
      <c r="C18" s="1" t="s">
        <v>317</v>
      </c>
      <c r="D18" t="str">
        <f t="shared" si="5"/>
        <v>L</v>
      </c>
      <c r="E18" s="3" t="str">
        <f t="shared" si="6"/>
        <v>H</v>
      </c>
      <c r="F18" s="3">
        <f t="shared" si="1"/>
        <v>0.97440877504504075</v>
      </c>
      <c r="G18" s="3">
        <f t="shared" si="1"/>
        <v>0.32511472040198852</v>
      </c>
      <c r="H18" s="3">
        <f t="shared" si="1"/>
        <v>8.2195005713241232E-2</v>
      </c>
      <c r="I18" s="3">
        <f t="shared" si="1"/>
        <v>10.185203913611241</v>
      </c>
      <c r="J18" s="3">
        <f t="shared" si="1"/>
        <v>3.5807184128955476</v>
      </c>
      <c r="K18" s="3">
        <f t="shared" si="1"/>
        <v>0</v>
      </c>
      <c r="N18" s="515" t="str">
        <f t="shared" si="2"/>
        <v>Electricity</v>
      </c>
      <c r="O18" s="516" t="str">
        <f t="shared" si="2"/>
        <v>Low Income</v>
      </c>
      <c r="P18" s="520" t="str">
        <f>Energy_Balance!F147</f>
        <v>Water heating</v>
      </c>
      <c r="Q18" s="520">
        <v>2.3470935945922231</v>
      </c>
      <c r="R18" s="517">
        <v>4.592932561831029</v>
      </c>
      <c r="S18" s="518">
        <f t="shared" si="3"/>
        <v>2.0067708389737304</v>
      </c>
      <c r="T18" s="518">
        <f t="shared" si="4"/>
        <v>1.1695872538154555</v>
      </c>
      <c r="U18" s="518"/>
      <c r="V18" s="520">
        <v>2.3470935945922231</v>
      </c>
    </row>
    <row r="19" spans="2:22">
      <c r="B19" s="1" t="s">
        <v>252</v>
      </c>
      <c r="C19" s="1" t="s">
        <v>14</v>
      </c>
      <c r="D19" t="str">
        <f t="shared" si="5"/>
        <v>L</v>
      </c>
      <c r="E19" s="3" t="str">
        <f t="shared" si="6"/>
        <v>W</v>
      </c>
      <c r="F19" s="3">
        <f t="shared" si="1"/>
        <v>2.1694806583192268</v>
      </c>
      <c r="G19" s="3">
        <f t="shared" si="1"/>
        <v>2.8371679818600861</v>
      </c>
      <c r="H19" s="3">
        <f t="shared" si="1"/>
        <v>0.58421574773989327</v>
      </c>
      <c r="I19" s="3">
        <f t="shared" si="1"/>
        <v>9.3904034820075051</v>
      </c>
      <c r="J19" s="3">
        <f t="shared" si="1"/>
        <v>0.55466590619951062</v>
      </c>
      <c r="K19" s="3">
        <f t="shared" si="1"/>
        <v>0</v>
      </c>
      <c r="N19" s="515" t="str">
        <f t="shared" si="2"/>
        <v>Electricity</v>
      </c>
      <c r="O19" s="516" t="str">
        <f t="shared" si="2"/>
        <v>Low Income</v>
      </c>
      <c r="P19" s="521" t="s">
        <v>15</v>
      </c>
      <c r="Q19" s="520">
        <v>11.627317653327299</v>
      </c>
      <c r="R19" s="517">
        <v>6.7346715439472549</v>
      </c>
      <c r="S19" s="518">
        <f t="shared" si="3"/>
        <v>10.812098596254684</v>
      </c>
      <c r="T19" s="518">
        <f t="shared" si="4"/>
        <v>1.0753987812648147</v>
      </c>
      <c r="U19" s="518"/>
      <c r="V19" s="520">
        <v>11.627317653327299</v>
      </c>
    </row>
    <row r="20" spans="2:22">
      <c r="B20" s="1" t="s">
        <v>580</v>
      </c>
      <c r="C20" s="1" t="s">
        <v>14</v>
      </c>
      <c r="D20" t="str">
        <f t="shared" ref="D20" si="7">RIGHT(LEFT(B20,2),1)</f>
        <v>L</v>
      </c>
      <c r="E20" s="3" t="s">
        <v>583</v>
      </c>
      <c r="F20" s="3">
        <f t="shared" si="1"/>
        <v>0</v>
      </c>
      <c r="G20" s="3">
        <f t="shared" si="1"/>
        <v>0</v>
      </c>
      <c r="H20" s="3">
        <f t="shared" si="1"/>
        <v>0</v>
      </c>
      <c r="I20" s="3">
        <f t="shared" si="1"/>
        <v>0</v>
      </c>
      <c r="J20" s="3">
        <f t="shared" si="1"/>
        <v>0</v>
      </c>
      <c r="K20" s="3">
        <f t="shared" si="1"/>
        <v>0</v>
      </c>
      <c r="N20" s="515" t="str">
        <f>N18</f>
        <v>Electricity</v>
      </c>
      <c r="O20" s="516" t="str">
        <f>O18</f>
        <v>Low Income</v>
      </c>
      <c r="P20" s="520" t="str">
        <f>Energy_Balance!F158</f>
        <v>Other</v>
      </c>
      <c r="Q20" s="520">
        <v>7.9061600367087408</v>
      </c>
      <c r="R20" s="517">
        <v>3.4662555015312217</v>
      </c>
      <c r="S20" s="518">
        <f t="shared" si="3"/>
        <v>7.30217621578322</v>
      </c>
      <c r="T20" s="518">
        <f t="shared" si="4"/>
        <v>1.0827128520426617</v>
      </c>
      <c r="U20" s="518"/>
      <c r="V20" s="520">
        <v>7.9061600367087408</v>
      </c>
    </row>
    <row r="21" spans="2:22">
      <c r="B21" s="1" t="s">
        <v>253</v>
      </c>
      <c r="C21" s="1" t="s">
        <v>15</v>
      </c>
      <c r="D21" t="str">
        <f t="shared" si="5"/>
        <v>L</v>
      </c>
      <c r="E21" s="3" t="str">
        <f t="shared" si="6"/>
        <v>R</v>
      </c>
      <c r="F21" s="3">
        <f t="shared" si="1"/>
        <v>10.747437092047381</v>
      </c>
      <c r="G21" s="3">
        <f t="shared" si="1"/>
        <v>0</v>
      </c>
      <c r="H21" s="3">
        <f t="shared" si="1"/>
        <v>0</v>
      </c>
      <c r="I21" s="3">
        <f t="shared" si="1"/>
        <v>0</v>
      </c>
      <c r="J21" s="3">
        <f t="shared" si="1"/>
        <v>0</v>
      </c>
      <c r="K21" s="3">
        <f t="shared" si="1"/>
        <v>0</v>
      </c>
      <c r="N21" s="515" t="str">
        <f>N20</f>
        <v>Electricity</v>
      </c>
      <c r="O21" s="520" t="str">
        <f>Energy_Balance!E124</f>
        <v>Middle Income</v>
      </c>
      <c r="P21" s="520" t="str">
        <f>P15</f>
        <v>Lighting</v>
      </c>
      <c r="Q21" s="516">
        <v>5.2847603981841891</v>
      </c>
      <c r="R21" s="517">
        <v>4.2095865989599845</v>
      </c>
      <c r="S21" s="518">
        <f>P4/$R$5*$U$5</f>
        <v>5.0010137520934235</v>
      </c>
      <c r="T21" s="518"/>
      <c r="U21" s="518"/>
      <c r="V21" s="516">
        <v>5.2847603981841891</v>
      </c>
    </row>
    <row r="22" spans="2:22">
      <c r="B22" s="1" t="s">
        <v>254</v>
      </c>
      <c r="C22" s="1" t="s">
        <v>41</v>
      </c>
      <c r="D22" t="str">
        <f t="shared" si="5"/>
        <v>L</v>
      </c>
      <c r="E22" s="3" t="str">
        <f t="shared" si="6"/>
        <v>O</v>
      </c>
      <c r="F22" s="3">
        <f t="shared" si="1"/>
        <v>7.3078727327855058</v>
      </c>
      <c r="G22" s="3">
        <f t="shared" si="1"/>
        <v>0</v>
      </c>
      <c r="H22" s="3">
        <f t="shared" si="1"/>
        <v>0</v>
      </c>
      <c r="I22" s="3">
        <f t="shared" si="1"/>
        <v>0</v>
      </c>
      <c r="J22" s="3">
        <f t="shared" si="1"/>
        <v>0</v>
      </c>
      <c r="K22" s="3">
        <f t="shared" si="1"/>
        <v>0</v>
      </c>
      <c r="N22" s="515" t="str">
        <f>N21</f>
        <v>Electricity</v>
      </c>
      <c r="O22" s="520" t="str">
        <f>O21</f>
        <v>Middle Income</v>
      </c>
      <c r="P22" s="520" t="str">
        <f>P16</f>
        <v>Cooking</v>
      </c>
      <c r="Q22" s="519">
        <v>8.6733927981600907</v>
      </c>
      <c r="R22" s="517">
        <v>5.8285673905827577</v>
      </c>
      <c r="S22" s="518">
        <f t="shared" ref="S22:S26" si="8">P5/$R$5*$U$5</f>
        <v>9.0625365673313123</v>
      </c>
      <c r="T22" s="518"/>
      <c r="U22" s="518"/>
      <c r="V22" s="519">
        <v>8.6733927981600907</v>
      </c>
    </row>
    <row r="23" spans="2:22">
      <c r="B23" s="1" t="s">
        <v>255</v>
      </c>
      <c r="C23" s="1" t="s">
        <v>11</v>
      </c>
      <c r="D23" t="str">
        <f t="shared" si="5"/>
        <v>M</v>
      </c>
      <c r="E23" s="3" t="str">
        <f t="shared" si="6"/>
        <v>L</v>
      </c>
      <c r="F23" s="3">
        <f t="shared" si="1"/>
        <v>5.2898644663697052</v>
      </c>
      <c r="G23" s="3">
        <f t="shared" si="1"/>
        <v>0</v>
      </c>
      <c r="H23" s="3">
        <f t="shared" si="1"/>
        <v>0</v>
      </c>
      <c r="I23" s="3">
        <f t="shared" si="1"/>
        <v>0</v>
      </c>
      <c r="J23" s="3">
        <f t="shared" si="1"/>
        <v>0</v>
      </c>
      <c r="K23" s="3">
        <f t="shared" si="1"/>
        <v>0</v>
      </c>
      <c r="N23" s="515" t="str">
        <f>N22</f>
        <v>Electricity</v>
      </c>
      <c r="O23" s="520" t="str">
        <f>O22</f>
        <v>Middle Income</v>
      </c>
      <c r="P23" s="520" t="str">
        <f>P17</f>
        <v>Space heating</v>
      </c>
      <c r="Q23" s="520">
        <v>3.5472479537265706</v>
      </c>
      <c r="R23" s="517">
        <v>6.9065613520311508</v>
      </c>
      <c r="S23" s="518">
        <f t="shared" si="8"/>
        <v>3.3637240356726479</v>
      </c>
      <c r="T23" s="518"/>
      <c r="U23" s="518"/>
      <c r="V23" s="520">
        <v>3.5472479537265706</v>
      </c>
    </row>
    <row r="24" spans="2:22">
      <c r="B24" s="1" t="s">
        <v>278</v>
      </c>
      <c r="C24" s="1" t="s">
        <v>11</v>
      </c>
      <c r="D24" t="str">
        <f t="shared" si="5"/>
        <v>M</v>
      </c>
      <c r="E24" s="3" t="str">
        <f t="shared" si="6"/>
        <v>L</v>
      </c>
      <c r="F24" s="3">
        <f t="shared" si="1"/>
        <v>0</v>
      </c>
      <c r="G24" s="3">
        <f t="shared" si="1"/>
        <v>0.71482186957706251</v>
      </c>
      <c r="H24" s="3">
        <f t="shared" si="1"/>
        <v>0</v>
      </c>
      <c r="I24" s="3">
        <f t="shared" si="1"/>
        <v>0</v>
      </c>
      <c r="J24" s="3">
        <f t="shared" si="1"/>
        <v>0</v>
      </c>
      <c r="K24" s="3">
        <f t="shared" si="1"/>
        <v>0</v>
      </c>
      <c r="N24" s="515" t="str">
        <f>N23</f>
        <v>Electricity</v>
      </c>
      <c r="O24" s="520" t="str">
        <f>O23</f>
        <v>Middle Income</v>
      </c>
      <c r="P24" s="520" t="str">
        <f>P18</f>
        <v>Water heating</v>
      </c>
      <c r="Q24" s="520">
        <v>7.4080340663885371</v>
      </c>
      <c r="R24" s="517">
        <v>18.007339974445149</v>
      </c>
      <c r="S24" s="518">
        <f t="shared" si="8"/>
        <v>19.915779463865196</v>
      </c>
      <c r="T24" s="518"/>
      <c r="U24" s="518"/>
      <c r="V24" s="520">
        <v>7.4080340663885371</v>
      </c>
    </row>
    <row r="25" spans="2:22">
      <c r="B25" t="s">
        <v>256</v>
      </c>
      <c r="C25" s="1" t="s">
        <v>12</v>
      </c>
      <c r="D25" t="str">
        <f t="shared" si="5"/>
        <v>M</v>
      </c>
      <c r="E25" s="3" t="str">
        <f t="shared" si="6"/>
        <v>K</v>
      </c>
      <c r="F25" s="3">
        <f t="shared" ref="F25:K37" si="9">SUMIFS($I$55:$I$160,$D$55:$D$160,$B25,$C$55:$C$160,F$8)</f>
        <v>8.6817696373932929</v>
      </c>
      <c r="G25" s="3">
        <f t="shared" si="9"/>
        <v>0.20615414115615299</v>
      </c>
      <c r="H25" s="3">
        <f t="shared" si="9"/>
        <v>0.57692644375234903</v>
      </c>
      <c r="I25" s="3">
        <f t="shared" si="9"/>
        <v>16.951093019503173</v>
      </c>
      <c r="J25" s="3">
        <f t="shared" si="9"/>
        <v>1.6572312557292754</v>
      </c>
      <c r="K25" s="3">
        <f t="shared" si="9"/>
        <v>0</v>
      </c>
      <c r="N25" s="515" t="str">
        <f>N24</f>
        <v>Electricity</v>
      </c>
      <c r="O25" s="520" t="str">
        <f>O24</f>
        <v>Middle Income</v>
      </c>
      <c r="P25" s="521" t="s">
        <v>15</v>
      </c>
      <c r="Q25" s="520">
        <v>11.078811330003377</v>
      </c>
      <c r="R25" s="517">
        <v>7.3192909763665144</v>
      </c>
      <c r="S25" s="518">
        <f t="shared" si="8"/>
        <v>11.839254774515876</v>
      </c>
      <c r="T25" s="518"/>
      <c r="U25" s="518"/>
      <c r="V25" s="520">
        <v>11.078811330003377</v>
      </c>
    </row>
    <row r="26" spans="2:22">
      <c r="B26" t="s">
        <v>257</v>
      </c>
      <c r="C26" s="1" t="s">
        <v>317</v>
      </c>
      <c r="D26" t="str">
        <f t="shared" si="5"/>
        <v>M</v>
      </c>
      <c r="E26" s="3" t="str">
        <f t="shared" si="6"/>
        <v>H</v>
      </c>
      <c r="F26" s="3">
        <f t="shared" si="9"/>
        <v>3.5506739170744979</v>
      </c>
      <c r="G26" s="3">
        <f t="shared" si="9"/>
        <v>0.74689579765915792</v>
      </c>
      <c r="H26" s="3">
        <f t="shared" si="9"/>
        <v>0.72640689006309955</v>
      </c>
      <c r="I26" s="3">
        <f t="shared" si="9"/>
        <v>5.1512463307387257</v>
      </c>
      <c r="J26" s="3">
        <f t="shared" si="9"/>
        <v>5.1822659916246563</v>
      </c>
      <c r="K26" s="3">
        <f t="shared" si="9"/>
        <v>0</v>
      </c>
      <c r="N26" s="515" t="str">
        <f>N24</f>
        <v>Electricity</v>
      </c>
      <c r="O26" s="520" t="str">
        <f>O24</f>
        <v>Middle Income</v>
      </c>
      <c r="P26" s="520" t="str">
        <f>P20</f>
        <v>Other</v>
      </c>
      <c r="Q26" s="520">
        <v>13.197168630893984</v>
      </c>
      <c r="R26" s="517">
        <v>11.049842054668675</v>
      </c>
      <c r="S26" s="518">
        <f t="shared" si="8"/>
        <v>14.366502662439663</v>
      </c>
      <c r="T26" s="518"/>
      <c r="U26" s="518"/>
      <c r="V26" s="520">
        <v>13.197168630893984</v>
      </c>
    </row>
    <row r="27" spans="2:22">
      <c r="B27" t="s">
        <v>258</v>
      </c>
      <c r="C27" s="1" t="s">
        <v>14</v>
      </c>
      <c r="D27" t="str">
        <f t="shared" si="5"/>
        <v>M</v>
      </c>
      <c r="E27" s="3" t="str">
        <f t="shared" si="6"/>
        <v>W</v>
      </c>
      <c r="F27" s="3">
        <f t="shared" si="9"/>
        <v>1.2137812589445078</v>
      </c>
      <c r="G27" s="3">
        <f t="shared" si="9"/>
        <v>2.0981351412120754</v>
      </c>
      <c r="H27" s="3">
        <f t="shared" si="9"/>
        <v>2.2949532423457586</v>
      </c>
      <c r="I27" s="3">
        <f t="shared" si="9"/>
        <v>6.1152168202815496</v>
      </c>
      <c r="J27" s="3">
        <f t="shared" si="9"/>
        <v>0.97280809955558833</v>
      </c>
      <c r="K27" s="3">
        <f t="shared" si="9"/>
        <v>0</v>
      </c>
      <c r="N27" s="515" t="str">
        <f>N26</f>
        <v>Electricity</v>
      </c>
      <c r="O27" s="520" t="str">
        <f>Energy_Balance!E150</f>
        <v>High Income</v>
      </c>
      <c r="P27" s="520" t="str">
        <f>P21</f>
        <v>Lighting</v>
      </c>
      <c r="Q27" s="516">
        <v>5.8942134825324617</v>
      </c>
      <c r="R27" s="517">
        <v>5.3705442281752562</v>
      </c>
      <c r="S27" s="518">
        <f>Q4/$R$6*$U$6</f>
        <v>6.5642205416288544</v>
      </c>
      <c r="T27" s="518"/>
      <c r="U27" s="518"/>
      <c r="V27" s="516">
        <v>5.8942134825324617</v>
      </c>
    </row>
    <row r="28" spans="2:22">
      <c r="B28" s="1" t="s">
        <v>581</v>
      </c>
      <c r="C28" s="1" t="s">
        <v>14</v>
      </c>
      <c r="D28" t="str">
        <f t="shared" si="5"/>
        <v>M</v>
      </c>
      <c r="E28" s="3" t="s">
        <v>583</v>
      </c>
      <c r="F28" s="3">
        <f t="shared" si="9"/>
        <v>6.1957821991814717</v>
      </c>
      <c r="G28" s="3">
        <f t="shared" si="9"/>
        <v>0</v>
      </c>
      <c r="H28" s="3">
        <f t="shared" si="9"/>
        <v>0</v>
      </c>
      <c r="I28" s="3">
        <f t="shared" si="9"/>
        <v>0</v>
      </c>
      <c r="J28" s="3">
        <f t="shared" si="9"/>
        <v>0</v>
      </c>
      <c r="K28" s="3">
        <f t="shared" si="9"/>
        <v>0</v>
      </c>
      <c r="N28" s="515" t="str">
        <f>N27</f>
        <v>Electricity</v>
      </c>
      <c r="O28" s="520" t="str">
        <f>O27</f>
        <v>High Income</v>
      </c>
      <c r="P28" s="520" t="str">
        <f>P22</f>
        <v>Cooking</v>
      </c>
      <c r="Q28" s="519">
        <v>8.229006728119062</v>
      </c>
      <c r="R28" s="517">
        <v>5.8719127831048485</v>
      </c>
      <c r="S28" s="518">
        <f t="shared" ref="S28:S32" si="10">Q5/$R$6*$U$6</f>
        <v>9.0421555348961125</v>
      </c>
      <c r="T28" s="518"/>
      <c r="U28" s="518"/>
      <c r="V28" s="519">
        <v>8.229006728119062</v>
      </c>
    </row>
    <row r="29" spans="2:22">
      <c r="B29" s="1" t="s">
        <v>259</v>
      </c>
      <c r="C29" s="1" t="s">
        <v>15</v>
      </c>
      <c r="D29" t="str">
        <f t="shared" si="5"/>
        <v>M</v>
      </c>
      <c r="E29" s="3" t="str">
        <f t="shared" si="6"/>
        <v>R</v>
      </c>
      <c r="F29" s="3">
        <f t="shared" si="9"/>
        <v>11.089511343661943</v>
      </c>
      <c r="G29" s="3">
        <f t="shared" si="9"/>
        <v>0</v>
      </c>
      <c r="H29" s="3">
        <f t="shared" si="9"/>
        <v>0</v>
      </c>
      <c r="I29" s="3">
        <f t="shared" si="9"/>
        <v>0</v>
      </c>
      <c r="J29" s="3">
        <f t="shared" si="9"/>
        <v>0</v>
      </c>
      <c r="K29" s="3">
        <f t="shared" si="9"/>
        <v>0</v>
      </c>
      <c r="N29" s="515" t="str">
        <f>N28</f>
        <v>Electricity</v>
      </c>
      <c r="O29" s="520" t="str">
        <f>O28</f>
        <v>High Income</v>
      </c>
      <c r="P29" s="520" t="str">
        <f>P23</f>
        <v>Space heating</v>
      </c>
      <c r="Q29" s="520">
        <v>2.2621322245231945</v>
      </c>
      <c r="R29" s="517">
        <v>6.9583200653008186</v>
      </c>
      <c r="S29" s="518">
        <f t="shared" si="10"/>
        <v>2.5191608225212265</v>
      </c>
      <c r="T29" s="518"/>
      <c r="U29" s="518"/>
      <c r="V29" s="520">
        <v>2.2621322245231945</v>
      </c>
    </row>
    <row r="30" spans="2:22">
      <c r="B30" t="s">
        <v>260</v>
      </c>
      <c r="C30" s="1" t="s">
        <v>41</v>
      </c>
      <c r="D30" t="str">
        <f t="shared" si="5"/>
        <v>M</v>
      </c>
      <c r="E30" s="3" t="str">
        <f t="shared" si="6"/>
        <v>O</v>
      </c>
      <c r="F30" s="3">
        <f t="shared" si="9"/>
        <v>13.209914572710195</v>
      </c>
      <c r="G30" s="3">
        <f t="shared" si="9"/>
        <v>0</v>
      </c>
      <c r="H30" s="3">
        <f t="shared" si="9"/>
        <v>0</v>
      </c>
      <c r="I30" s="3">
        <f t="shared" si="9"/>
        <v>0</v>
      </c>
      <c r="J30" s="3">
        <f t="shared" si="9"/>
        <v>0</v>
      </c>
      <c r="K30" s="3">
        <f t="shared" si="9"/>
        <v>0</v>
      </c>
      <c r="N30" s="515" t="str">
        <f>N29</f>
        <v>Electricity</v>
      </c>
      <c r="O30" s="520" t="str">
        <f>O29</f>
        <v>High Income</v>
      </c>
      <c r="P30" s="520" t="str">
        <f>P24</f>
        <v>Water heating</v>
      </c>
      <c r="Q30" s="520">
        <v>40.014768265495256</v>
      </c>
      <c r="R30" s="517">
        <v>42.777213597513203</v>
      </c>
      <c r="S30" s="518">
        <f>Q7/$R$6*$U$6</f>
        <v>62.213401642592835</v>
      </c>
      <c r="T30" s="518">
        <f>Q30/SUM(Q27:Q32)</f>
        <v>0.47526287219229146</v>
      </c>
      <c r="U30" s="518">
        <f>S30/SUM(S27:S32)</f>
        <v>0.53632975835073371</v>
      </c>
      <c r="V30" s="520">
        <v>40.014768265495256</v>
      </c>
    </row>
    <row r="31" spans="2:22">
      <c r="B31" t="s">
        <v>261</v>
      </c>
      <c r="C31" s="1" t="s">
        <v>11</v>
      </c>
      <c r="D31" t="str">
        <f t="shared" si="5"/>
        <v>H</v>
      </c>
      <c r="E31" s="3" t="str">
        <f t="shared" si="6"/>
        <v>L</v>
      </c>
      <c r="F31" s="3">
        <f t="shared" si="9"/>
        <v>6.928739896458783</v>
      </c>
      <c r="G31" s="3">
        <f t="shared" si="9"/>
        <v>0</v>
      </c>
      <c r="H31" s="3">
        <f t="shared" si="9"/>
        <v>0</v>
      </c>
      <c r="I31" s="3">
        <f t="shared" si="9"/>
        <v>0</v>
      </c>
      <c r="J31" s="3">
        <f t="shared" si="9"/>
        <v>0</v>
      </c>
      <c r="K31" s="3">
        <f t="shared" si="9"/>
        <v>0</v>
      </c>
      <c r="N31" s="515" t="str">
        <f>N30</f>
        <v>Electricity</v>
      </c>
      <c r="O31" s="520" t="str">
        <f>O30</f>
        <v>High Income</v>
      </c>
      <c r="P31" s="521" t="s">
        <v>15</v>
      </c>
      <c r="Q31" s="520">
        <v>12.088351425410425</v>
      </c>
      <c r="R31" s="517">
        <v>9.2655515179478201</v>
      </c>
      <c r="S31" s="518">
        <f t="shared" si="10"/>
        <v>14.20365629831068</v>
      </c>
      <c r="T31" s="518"/>
      <c r="U31" s="518"/>
      <c r="V31" s="520">
        <v>12.088351425410425</v>
      </c>
    </row>
    <row r="32" spans="2:22">
      <c r="B32" t="s">
        <v>262</v>
      </c>
      <c r="C32" s="1" t="s">
        <v>12</v>
      </c>
      <c r="D32" t="str">
        <f t="shared" si="5"/>
        <v>H</v>
      </c>
      <c r="E32" s="3" t="str">
        <f t="shared" si="6"/>
        <v>K</v>
      </c>
      <c r="F32" s="3">
        <f t="shared" si="9"/>
        <v>9.6733257786328029</v>
      </c>
      <c r="G32" s="3">
        <f t="shared" si="9"/>
        <v>9.2563833924448141E-2</v>
      </c>
      <c r="H32" s="3">
        <f t="shared" si="9"/>
        <v>2.3995866483591111</v>
      </c>
      <c r="I32" s="3">
        <f t="shared" si="9"/>
        <v>0.99354566271501477</v>
      </c>
      <c r="J32" s="3">
        <f t="shared" si="9"/>
        <v>0</v>
      </c>
      <c r="K32" s="3">
        <f t="shared" si="9"/>
        <v>0</v>
      </c>
      <c r="N32" s="515" t="str">
        <f>N30</f>
        <v>Electricity</v>
      </c>
      <c r="O32" s="520" t="str">
        <f>O30</f>
        <v>High Income</v>
      </c>
      <c r="P32" s="520" t="str">
        <f>P26</f>
        <v>Other</v>
      </c>
      <c r="Q32" s="520">
        <v>15.706550474602096</v>
      </c>
      <c r="R32" s="517">
        <v>16.642647032482181</v>
      </c>
      <c r="S32" s="518">
        <f t="shared" si="10"/>
        <v>21.455819706177859</v>
      </c>
      <c r="T32" s="518"/>
      <c r="U32" s="518"/>
      <c r="V32" s="520">
        <v>15.706550474602096</v>
      </c>
    </row>
    <row r="33" spans="2:23">
      <c r="B33" t="s">
        <v>246</v>
      </c>
      <c r="C33" s="1" t="s">
        <v>317</v>
      </c>
      <c r="D33" t="str">
        <f t="shared" si="5"/>
        <v>H</v>
      </c>
      <c r="E33" s="3" t="str">
        <f t="shared" si="6"/>
        <v>H</v>
      </c>
      <c r="F33" s="3">
        <f t="shared" si="9"/>
        <v>2.6591717184265713</v>
      </c>
      <c r="G33" s="3">
        <f t="shared" si="9"/>
        <v>2.5486082730346662E-2</v>
      </c>
      <c r="H33" s="3">
        <f t="shared" si="9"/>
        <v>2.206870457913674</v>
      </c>
      <c r="I33" s="3">
        <f t="shared" si="9"/>
        <v>0.24522190197486701</v>
      </c>
      <c r="J33" s="3">
        <f t="shared" si="9"/>
        <v>1.2379218124175966</v>
      </c>
      <c r="K33" s="3">
        <f t="shared" si="9"/>
        <v>0</v>
      </c>
      <c r="N33" s="518"/>
      <c r="O33" s="518"/>
      <c r="P33" s="518"/>
      <c r="Q33" s="517">
        <f>SUM(Q15:Q32)</f>
        <v>173.89574930430064</v>
      </c>
      <c r="R33" s="518"/>
      <c r="S33" s="523">
        <f>SUM(S15:S32)</f>
        <v>214.46846105485091</v>
      </c>
      <c r="T33" s="518"/>
      <c r="U33" s="518"/>
      <c r="V33" s="517">
        <f>SUM(V15:V32)</f>
        <v>172.33200000000002</v>
      </c>
    </row>
    <row r="34" spans="2:23">
      <c r="B34" t="s">
        <v>263</v>
      </c>
      <c r="C34" s="1" t="s">
        <v>14</v>
      </c>
      <c r="D34" t="str">
        <f t="shared" si="5"/>
        <v>H</v>
      </c>
      <c r="E34" s="3" t="str">
        <f t="shared" si="6"/>
        <v>W</v>
      </c>
      <c r="F34" s="3">
        <f t="shared" si="9"/>
        <v>0</v>
      </c>
      <c r="G34" s="3">
        <f t="shared" si="9"/>
        <v>0.73130528784479287</v>
      </c>
      <c r="H34" s="3">
        <f t="shared" si="9"/>
        <v>8.0448373228042644</v>
      </c>
      <c r="I34" s="3">
        <f t="shared" si="9"/>
        <v>1.1928659498339771</v>
      </c>
      <c r="J34" s="3">
        <f t="shared" si="9"/>
        <v>0.23736838566694082</v>
      </c>
      <c r="K34" s="3">
        <f t="shared" si="9"/>
        <v>0</v>
      </c>
      <c r="L34" s="3"/>
      <c r="M34" s="3">
        <f>H34/SUM(F34:K35)</f>
        <v>0.16018824917076632</v>
      </c>
      <c r="N34" s="3"/>
      <c r="O34" s="3"/>
      <c r="P34" s="3"/>
      <c r="Q34" s="3"/>
      <c r="R34" s="3"/>
      <c r="S34" s="522"/>
      <c r="T34" s="3"/>
      <c r="U34" s="3"/>
      <c r="V34" s="3"/>
      <c r="W34" s="3"/>
    </row>
    <row r="35" spans="2:23">
      <c r="B35" s="1" t="s">
        <v>584</v>
      </c>
      <c r="C35" s="1" t="s">
        <v>14</v>
      </c>
      <c r="D35" t="str">
        <f t="shared" si="5"/>
        <v>H</v>
      </c>
      <c r="E35" s="3" t="s">
        <v>583</v>
      </c>
      <c r="F35" s="3">
        <f t="shared" si="9"/>
        <v>40.014768265495256</v>
      </c>
      <c r="G35" s="3">
        <f t="shared" si="9"/>
        <v>0</v>
      </c>
      <c r="H35" s="3">
        <f t="shared" si="9"/>
        <v>0</v>
      </c>
      <c r="I35" s="3">
        <f t="shared" si="9"/>
        <v>0</v>
      </c>
      <c r="J35" s="3">
        <f t="shared" si="9"/>
        <v>0</v>
      </c>
      <c r="K35" s="3">
        <f t="shared" si="9"/>
        <v>0</v>
      </c>
    </row>
    <row r="36" spans="2:23">
      <c r="B36" s="1" t="s">
        <v>264</v>
      </c>
      <c r="C36" s="1" t="s">
        <v>15</v>
      </c>
      <c r="D36" t="str">
        <f t="shared" si="5"/>
        <v>H</v>
      </c>
      <c r="E36" s="3" t="str">
        <f t="shared" si="6"/>
        <v>R</v>
      </c>
      <c r="F36" s="3">
        <f t="shared" si="9"/>
        <v>14.210045674774101</v>
      </c>
      <c r="G36" s="3">
        <f t="shared" si="9"/>
        <v>0</v>
      </c>
      <c r="H36" s="3">
        <f t="shared" si="9"/>
        <v>0</v>
      </c>
      <c r="I36" s="3">
        <f t="shared" si="9"/>
        <v>0</v>
      </c>
      <c r="J36" s="3">
        <f t="shared" si="9"/>
        <v>0</v>
      </c>
      <c r="K36" s="3">
        <f t="shared" si="9"/>
        <v>0</v>
      </c>
    </row>
    <row r="37" spans="2:23">
      <c r="B37" t="s">
        <v>265</v>
      </c>
      <c r="C37" s="1" t="s">
        <v>41</v>
      </c>
      <c r="D37" t="str">
        <f t="shared" si="5"/>
        <v>H</v>
      </c>
      <c r="E37" s="3" t="str">
        <f t="shared" si="6"/>
        <v>O</v>
      </c>
      <c r="F37" s="3">
        <f t="shared" si="9"/>
        <v>18.463295099783466</v>
      </c>
      <c r="G37" s="3">
        <f t="shared" si="9"/>
        <v>0</v>
      </c>
      <c r="H37" s="3">
        <f t="shared" si="9"/>
        <v>0</v>
      </c>
      <c r="I37" s="3">
        <f t="shared" si="9"/>
        <v>0</v>
      </c>
      <c r="J37" s="3">
        <f t="shared" si="9"/>
        <v>0</v>
      </c>
      <c r="K37" s="3">
        <f t="shared" si="9"/>
        <v>0</v>
      </c>
    </row>
    <row r="38" spans="2:23">
      <c r="E38" s="3"/>
      <c r="F38" s="271">
        <f>SUM(F15:F37)</f>
        <v>177.16376009215514</v>
      </c>
      <c r="G38" s="271">
        <f t="shared" ref="G38:K38" si="11">SUM(G15:G37)</f>
        <v>9.64</v>
      </c>
      <c r="H38" s="271">
        <f t="shared" si="11"/>
        <v>17.97</v>
      </c>
      <c r="I38" s="271">
        <f t="shared" si="11"/>
        <v>83.76700000000001</v>
      </c>
      <c r="J38" s="271">
        <f t="shared" si="11"/>
        <v>15.617000000000004</v>
      </c>
      <c r="K38" s="271">
        <f t="shared" si="11"/>
        <v>0</v>
      </c>
    </row>
    <row r="39" spans="2:23">
      <c r="E39" s="3"/>
      <c r="F39" s="271"/>
      <c r="G39" s="271"/>
      <c r="H39" s="271"/>
      <c r="I39" s="271"/>
      <c r="J39" s="271"/>
      <c r="K39" s="271"/>
    </row>
    <row r="41" spans="2:23">
      <c r="B41" s="1" t="s">
        <v>827</v>
      </c>
      <c r="F41" s="5" t="s">
        <v>42</v>
      </c>
      <c r="G41" s="5" t="s">
        <v>17</v>
      </c>
      <c r="H41" s="5" t="s">
        <v>43</v>
      </c>
      <c r="I41" s="5" t="s">
        <v>7</v>
      </c>
      <c r="J41" s="5" t="s">
        <v>9</v>
      </c>
      <c r="K41" s="5" t="s">
        <v>166</v>
      </c>
    </row>
    <row r="42" spans="2:23">
      <c r="B42" s="1" t="s">
        <v>27</v>
      </c>
      <c r="C42">
        <v>2017</v>
      </c>
      <c r="F42" s="3">
        <f>SUMIF($B$55:$B$159,F14,$L$55:$L$159)</f>
        <v>177.16376009215514</v>
      </c>
      <c r="G42" s="3">
        <f>SUMIF($B$55:$B$160,G14,$L$55:$L$160)</f>
        <v>21.317975332786382</v>
      </c>
      <c r="H42" s="3">
        <f>SUMIF($B$55:$B$160,H14,$L$55:$L$160)</f>
        <v>9.4763523998810157</v>
      </c>
      <c r="I42" s="3">
        <f>SUMIF($B$55:$B$160,I14,$L$55:$L$160)</f>
        <v>136.15378888066724</v>
      </c>
      <c r="J42" s="3">
        <f>SUMIF($B$55:$B$160,J14,$L$55:$L$160)</f>
        <v>6.674196978732307</v>
      </c>
      <c r="K42">
        <f>SUMIF($B$55:$B$160,K14,$L$55:$L$160)</f>
        <v>0</v>
      </c>
      <c r="M42" s="433" t="s">
        <v>863</v>
      </c>
      <c r="N42" s="433"/>
      <c r="O42" s="433"/>
      <c r="P42" s="433"/>
      <c r="Q42" s="433"/>
      <c r="R42" s="433"/>
      <c r="S42" s="433"/>
      <c r="T42" s="433"/>
      <c r="U42" s="433"/>
      <c r="V42" s="433"/>
      <c r="W42" s="433"/>
    </row>
    <row r="43" spans="2:23">
      <c r="B43" s="1" t="s">
        <v>18</v>
      </c>
      <c r="D43" t="s">
        <v>78</v>
      </c>
      <c r="F43" s="3">
        <f t="shared" ref="F43:K45" si="12">SUMIF($D$15:$D$37,$D43,F$15:F$37)</f>
        <v>35.983116263248547</v>
      </c>
      <c r="G43" s="3">
        <f t="shared" si="12"/>
        <v>5.0246378458959651</v>
      </c>
      <c r="H43" s="3">
        <f t="shared" si="12"/>
        <v>1.7204189947617428</v>
      </c>
      <c r="I43" s="3">
        <f t="shared" si="12"/>
        <v>53.117810314952692</v>
      </c>
      <c r="J43" s="3">
        <f t="shared" si="12"/>
        <v>6.3294044550059487</v>
      </c>
      <c r="K43">
        <f t="shared" si="12"/>
        <v>0</v>
      </c>
    </row>
    <row r="44" spans="2:23">
      <c r="B44" s="1" t="s">
        <v>428</v>
      </c>
      <c r="D44" t="s">
        <v>458</v>
      </c>
      <c r="F44" s="3">
        <f t="shared" si="12"/>
        <v>49.231297395335616</v>
      </c>
      <c r="G44" s="3">
        <f t="shared" si="12"/>
        <v>3.7660069496044488</v>
      </c>
      <c r="H44" s="3">
        <f t="shared" si="12"/>
        <v>3.5982865761612071</v>
      </c>
      <c r="I44" s="3">
        <f t="shared" si="12"/>
        <v>28.217556170523448</v>
      </c>
      <c r="J44" s="3">
        <f t="shared" si="12"/>
        <v>7.8123053469095201</v>
      </c>
      <c r="K44">
        <f t="shared" si="12"/>
        <v>0</v>
      </c>
    </row>
    <row r="45" spans="2:23">
      <c r="B45" s="1" t="s">
        <v>59</v>
      </c>
      <c r="D45" t="s">
        <v>79</v>
      </c>
      <c r="F45" s="3">
        <f t="shared" si="12"/>
        <v>91.94934643357098</v>
      </c>
      <c r="G45" s="3">
        <f t="shared" si="12"/>
        <v>0.84935520449958768</v>
      </c>
      <c r="H45" s="3">
        <f>SUMIF($D$15:$D$37,$D45,H$15:H$37)</f>
        <v>12.651294429077049</v>
      </c>
      <c r="I45" s="3">
        <f t="shared" si="12"/>
        <v>2.4316335145238588</v>
      </c>
      <c r="J45" s="3">
        <f t="shared" si="12"/>
        <v>1.4752901980845374</v>
      </c>
      <c r="K45">
        <f t="shared" si="12"/>
        <v>0</v>
      </c>
    </row>
    <row r="46" spans="2:23">
      <c r="F46" s="3"/>
      <c r="G46" s="3"/>
      <c r="H46" s="3"/>
      <c r="I46" s="3"/>
      <c r="J46" s="3"/>
    </row>
    <row r="47" spans="2:23">
      <c r="F47" s="271" t="s">
        <v>42</v>
      </c>
      <c r="G47" s="271" t="s">
        <v>17</v>
      </c>
      <c r="H47" s="271" t="s">
        <v>43</v>
      </c>
      <c r="I47" s="271" t="s">
        <v>7</v>
      </c>
      <c r="J47" s="271" t="s">
        <v>9</v>
      </c>
      <c r="K47" s="5" t="s">
        <v>166</v>
      </c>
    </row>
    <row r="48" spans="2:23">
      <c r="B48" s="1" t="s">
        <v>835</v>
      </c>
      <c r="C48">
        <v>2017</v>
      </c>
      <c r="F48" s="3">
        <v>1</v>
      </c>
      <c r="G48" s="3">
        <f>G10/G42</f>
        <v>0.45220054200803866</v>
      </c>
      <c r="H48" s="3">
        <f>H10/H42</f>
        <v>1.8962992554208546</v>
      </c>
      <c r="I48" s="3">
        <f>I10/I42</f>
        <v>0.61523811190754352</v>
      </c>
      <c r="J48" s="3">
        <f>J10/J42</f>
        <v>2.3399069655517248</v>
      </c>
    </row>
    <row r="49" spans="1:48">
      <c r="B49" s="1" t="s">
        <v>837</v>
      </c>
      <c r="C49" t="s">
        <v>838</v>
      </c>
      <c r="F49" s="3"/>
      <c r="G49" s="3"/>
      <c r="H49" s="3"/>
      <c r="I49" s="3"/>
      <c r="J49" s="3"/>
    </row>
    <row r="50" spans="1:48">
      <c r="C50">
        <v>2017</v>
      </c>
      <c r="F50" s="3">
        <f>SUMIF($B$55:$B$160,F$14,$I$55:$I$160)</f>
        <v>177.16376009215514</v>
      </c>
      <c r="G50" s="3">
        <f>SUMIF($B$55:$B$160,G$14,$I$55:$I$160)</f>
        <v>9.64</v>
      </c>
      <c r="H50" s="3">
        <f>SUMIF($C$55:$C$160,"RESOLP",$I$55:$I$160)</f>
        <v>17.97</v>
      </c>
      <c r="I50" s="3">
        <f>SUMIF($B$55:$B$160,I$14,$I$55:$I$160)</f>
        <v>83.76700000000001</v>
      </c>
      <c r="J50" s="3">
        <f>SUMIF($B$55:$B$160,J$14,$I$55:$I$160)</f>
        <v>15.617000000000004</v>
      </c>
      <c r="K50" s="498">
        <f>SUMIF($B$55:$B$160,K$14,$I$55:$I$160)</f>
        <v>0</v>
      </c>
      <c r="L50" s="14" t="s">
        <v>913</v>
      </c>
    </row>
    <row r="52" spans="1:48" ht="25.5">
      <c r="G52" s="13" t="s">
        <v>221</v>
      </c>
      <c r="H52" s="5" t="s">
        <v>449</v>
      </c>
      <c r="I52" s="313" t="s">
        <v>836</v>
      </c>
      <c r="J52" s="5"/>
      <c r="Q52" s="418"/>
      <c r="R52" s="418"/>
      <c r="S52" s="418"/>
      <c r="T52" s="418"/>
      <c r="U52" s="418"/>
      <c r="V52" s="418"/>
      <c r="W52" s="418"/>
      <c r="X52" s="5"/>
    </row>
    <row r="53" spans="1:48" s="15" customFormat="1" ht="76.5">
      <c r="B53" s="401" t="s">
        <v>0</v>
      </c>
      <c r="C53" s="477" t="s">
        <v>170</v>
      </c>
      <c r="D53" s="477"/>
      <c r="E53" s="477"/>
      <c r="F53" s="477"/>
      <c r="G53" s="13" t="s">
        <v>914</v>
      </c>
      <c r="H53" s="13" t="s">
        <v>915</v>
      </c>
      <c r="I53" s="478" t="s">
        <v>895</v>
      </c>
      <c r="J53" s="478"/>
      <c r="K53" s="478" t="s">
        <v>862</v>
      </c>
      <c r="L53" s="13" t="s">
        <v>894</v>
      </c>
      <c r="M53"/>
      <c r="N53"/>
      <c r="O53"/>
      <c r="P53"/>
      <c r="Q53" s="401"/>
      <c r="R53" s="401"/>
      <c r="S53" s="401"/>
      <c r="T53" s="401"/>
      <c r="U53" s="401"/>
      <c r="V53" s="401"/>
      <c r="W53" s="401"/>
      <c r="AC53"/>
      <c r="AD53"/>
      <c r="AE53"/>
      <c r="AF53"/>
      <c r="AG53"/>
      <c r="AH53"/>
      <c r="AI53"/>
      <c r="AJ53"/>
      <c r="AK53"/>
      <c r="AL53"/>
      <c r="AM53"/>
      <c r="AN53"/>
      <c r="AO53"/>
      <c r="AP53"/>
      <c r="AQ53"/>
      <c r="AR53"/>
      <c r="AS53"/>
      <c r="AT53"/>
      <c r="AU53"/>
      <c r="AV53"/>
    </row>
    <row r="54" spans="1:48">
      <c r="A54" s="70" t="str">
        <f t="shared" ref="A54:A88" si="13">IF(LEFT(B54,1)="\","*","")</f>
        <v>*</v>
      </c>
      <c r="B54" s="262" t="s">
        <v>114</v>
      </c>
      <c r="C54" s="68"/>
      <c r="D54" s="68"/>
      <c r="E54" s="68"/>
      <c r="F54" s="68"/>
      <c r="G54" s="3"/>
      <c r="I54" s="192"/>
      <c r="J54" s="192"/>
      <c r="K54" s="192"/>
    </row>
    <row r="55" spans="1:48" outlineLevel="2">
      <c r="A55" s="70" t="str">
        <f t="shared" si="13"/>
        <v/>
      </c>
      <c r="B55" s="263" t="s">
        <v>42</v>
      </c>
      <c r="C55" s="1" t="s">
        <v>236</v>
      </c>
      <c r="D55" s="1" t="s">
        <v>249</v>
      </c>
      <c r="E55" s="1" t="str">
        <f>'Census 2011_17'!B$111</f>
        <v>Low Income</v>
      </c>
      <c r="F55" t="s">
        <v>11</v>
      </c>
      <c r="G55" s="479"/>
      <c r="H55" s="115">
        <f>'Census 2011_17'!H6</f>
        <v>5886209.3270581374</v>
      </c>
      <c r="I55" s="432">
        <f>IFERROR(IF(B55="paraffin",L55*G$48,IF(B55="electricity",L55*F$48,IF(B55="coal",L55*J$48,IF(B55="Gas",L55*H$48,IF(B55="wood",L55*I$48,L55))))),"")</f>
        <v>5.1436058464979943</v>
      </c>
      <c r="J55" s="432"/>
      <c r="K55" s="432">
        <v>0.87384011690741403</v>
      </c>
      <c r="L55" s="115">
        <f>IFERROR(K55*H55/10^6,0)</f>
        <v>5.1436058464979943</v>
      </c>
    </row>
    <row r="56" spans="1:48" hidden="1" outlineLevel="2">
      <c r="A56" s="70"/>
      <c r="B56" s="263" t="s">
        <v>17</v>
      </c>
      <c r="C56" s="1" t="s">
        <v>238</v>
      </c>
      <c r="D56" s="1" t="s">
        <v>266</v>
      </c>
      <c r="E56" s="1" t="str">
        <f>'Census 2011_17'!B$111</f>
        <v>Low Income</v>
      </c>
      <c r="F56" t="s">
        <v>11</v>
      </c>
      <c r="G56" s="479">
        <v>2.4420000000000002</v>
      </c>
      <c r="H56" s="115">
        <f>SUMIFS('Census 2011_17'!$O$111:$O$238,'Census 2011_17'!$A$111:$A$238,Energy_Balance!F56,'Census 2011_17'!$B$111:$B$238,Energy_Balance!E56,'Census 2011_17'!$C$111:$C$238,Energy_Balance!B56)</f>
        <v>330909.64148083073</v>
      </c>
      <c r="I56" s="432">
        <f>IFERROR(IF(B56="paraffin",L56*G$48,IF(B56="electricity",L56*F$48,IF(B56="coal",L56*J$48,IF(B56="Gas",L56*H$48,IF(B56="wood",L56*I$48,L56))))),"")</f>
        <v>0.36541482196776115</v>
      </c>
      <c r="J56" s="432"/>
      <c r="K56" s="432"/>
      <c r="L56" s="115">
        <f>IFERROR(G56*H56/10^6,0)</f>
        <v>0.80808134449618874</v>
      </c>
    </row>
    <row r="57" spans="1:48" hidden="1" outlineLevel="2">
      <c r="A57" s="70" t="str">
        <f t="shared" si="13"/>
        <v/>
      </c>
      <c r="B57" s="249"/>
      <c r="E57" s="5" t="s">
        <v>455</v>
      </c>
      <c r="F57" s="5" t="s">
        <v>454</v>
      </c>
      <c r="G57" s="480" t="s">
        <v>57</v>
      </c>
      <c r="H57" s="272">
        <f>SUM(H55:H56)</f>
        <v>6217118.9685389679</v>
      </c>
      <c r="I57" s="431"/>
      <c r="J57" s="431"/>
      <c r="K57" s="431"/>
      <c r="L57" s="272"/>
    </row>
    <row r="58" spans="1:48" hidden="1">
      <c r="A58" s="70" t="str">
        <f t="shared" si="13"/>
        <v>*</v>
      </c>
      <c r="B58" s="262" t="s">
        <v>115</v>
      </c>
      <c r="C58" s="68"/>
      <c r="D58" s="68"/>
      <c r="E58" s="1"/>
      <c r="F58" s="68"/>
      <c r="G58" s="479" t="s">
        <v>57</v>
      </c>
      <c r="H58" s="115"/>
      <c r="I58" s="432"/>
      <c r="J58" s="432"/>
      <c r="K58" s="432"/>
      <c r="L58" s="115"/>
    </row>
    <row r="59" spans="1:48" outlineLevel="1">
      <c r="A59" s="70"/>
      <c r="B59" s="263" t="s">
        <v>42</v>
      </c>
      <c r="C59" s="1" t="s">
        <v>236</v>
      </c>
      <c r="D59" s="1" t="s">
        <v>250</v>
      </c>
      <c r="E59" s="1" t="str">
        <f>'Census 2011_17'!B$111</f>
        <v>Low Income</v>
      </c>
      <c r="F59" s="1" t="str">
        <f>'Census 2011_17'!A$111</f>
        <v>Cooking</v>
      </c>
      <c r="G59" s="479"/>
      <c r="H59" s="115">
        <f>H55</f>
        <v>5886209.3270581374</v>
      </c>
      <c r="I59" s="432">
        <f>IFERROR(IF(B59="paraffin",L59*G$48,IF(B59="electricity",L59*F$48,IF(B59="coal",L59*J$48,IF(B59="Gas",L59*H$48,IF(B59="wood",L59*I$48,L59))))),"")</f>
        <v>9.6403111585533967</v>
      </c>
      <c r="J59" s="432"/>
      <c r="K59" s="432">
        <v>1.6377791924996863</v>
      </c>
      <c r="L59" s="115">
        <f>IFERROR(K59*H59/10^6,0)</f>
        <v>9.6403111585533967</v>
      </c>
    </row>
    <row r="60" spans="1:48" hidden="1" outlineLevel="1">
      <c r="A60" s="70" t="str">
        <f t="shared" si="13"/>
        <v/>
      </c>
      <c r="B60" s="263" t="s">
        <v>17</v>
      </c>
      <c r="C60" t="s">
        <v>238</v>
      </c>
      <c r="D60" s="1" t="s">
        <v>250</v>
      </c>
      <c r="E60" s="1" t="str">
        <f>'Census 2011_17'!B$111</f>
        <v>Low Income</v>
      </c>
      <c r="F60" s="1" t="str">
        <f>'Census 2011_17'!A$111</f>
        <v>Cooking</v>
      </c>
      <c r="G60" s="479">
        <v>3.4651260759493665</v>
      </c>
      <c r="H60" s="115">
        <f>SUMIFS('Census 2011_17'!$O$111:$O$238,'Census 2011_17'!$A$111:$A$238,Energy_Balance!F60,'Census 2011_17'!$B$111:$B$238,Energy_Balance!E60,'Census 2011_17'!$C$111:$C$238,Energy_Balance!B60)</f>
        <v>955332.09294816176</v>
      </c>
      <c r="I60" s="432">
        <f>IFERROR(IF(B60="paraffin",L60*G$48,IF(B60="electricity",L60*F$48,IF(B60="coal",L60*J$48,IF(B60="Gas",L60*H$48,IF(B60="wood",L60*I$48,L60))))),"")</f>
        <v>1.4969403216661288</v>
      </c>
      <c r="J60" s="432"/>
      <c r="K60" s="432"/>
      <c r="L60" s="115">
        <f>IFERROR(G60*H60/10^6,0)</f>
        <v>3.3103461464659589</v>
      </c>
    </row>
    <row r="61" spans="1:48" hidden="1" outlineLevel="1">
      <c r="A61" s="70" t="str">
        <f t="shared" si="13"/>
        <v/>
      </c>
      <c r="B61" s="249" t="s">
        <v>43</v>
      </c>
      <c r="C61" t="s">
        <v>237</v>
      </c>
      <c r="D61" s="1" t="s">
        <v>250</v>
      </c>
      <c r="E61" s="1" t="str">
        <f>'Census 2011_17'!B$111</f>
        <v>Low Income</v>
      </c>
      <c r="F61" s="1" t="str">
        <f>'Census 2011_17'!A$111</f>
        <v>Cooking</v>
      </c>
      <c r="G61" s="479">
        <v>2.2049215049504953</v>
      </c>
      <c r="H61" s="115">
        <f>SUMIFS('Census 2011_17'!$O$111:$O$238,'Census 2011_17'!$A$111:$A$238,Energy_Balance!F61,'Census 2011_17'!$B$111:$B$238,Energy_Balance!E61,'Census 2011_17'!$C$111:$C$238,Energy_Balance!B61)</f>
        <v>252083.25552862149</v>
      </c>
      <c r="I61" s="432">
        <f>IFERROR(IF(B61="paraffin",L61*G$48,IF(B61="electricity",L61*F$48,IF(B61="coal",L61*J$48,IF(B61="Gas",L61*H$48,IF(B61="wood",L61*I$48,L61))))),"")</f>
        <v>1.0540082413086083</v>
      </c>
      <c r="J61" s="432"/>
      <c r="K61" s="432"/>
      <c r="L61" s="115">
        <f>IFERROR(G61*H61/10^6,0)</f>
        <v>0.5558237911529883</v>
      </c>
    </row>
    <row r="62" spans="1:48" hidden="1" outlineLevel="1">
      <c r="A62" s="70" t="str">
        <f t="shared" si="13"/>
        <v/>
      </c>
      <c r="B62" s="263" t="s">
        <v>7</v>
      </c>
      <c r="C62" t="s">
        <v>239</v>
      </c>
      <c r="D62" s="1" t="s">
        <v>250</v>
      </c>
      <c r="E62" s="1" t="str">
        <f>'Census 2011_17'!B$111</f>
        <v>Low Income</v>
      </c>
      <c r="F62" s="1" t="str">
        <f>'Census 2011_17'!A$111</f>
        <v>Cooking</v>
      </c>
      <c r="G62" s="479">
        <v>39.726959999999991</v>
      </c>
      <c r="H62" s="115">
        <f>SUMIFS('Census 2011_17'!$O$111:$O$238,'Census 2011_17'!$A$111:$A$238,Energy_Balance!F62,'Census 2011_17'!$B$111:$B$238,Energy_Balance!E62,'Census 2011_17'!$C$111:$C$238,Energy_Balance!B62)</f>
        <v>1372344.095683275</v>
      </c>
      <c r="I62" s="432">
        <f>IFERROR(IF(B62="paraffin",L62*G$48,IF(B62="electricity",L62*F$48,IF(B62="coal",L62*J$48,IF(B62="Gas",L62*H$48,IF(B62="wood",L62*I$48,L62))))),"")</f>
        <v>33.542202919333945</v>
      </c>
      <c r="J62" s="432"/>
      <c r="K62" s="432"/>
      <c r="L62" s="115">
        <f>IFERROR(G62*H62/10^6,0)</f>
        <v>54.519058995445626</v>
      </c>
    </row>
    <row r="63" spans="1:48" hidden="1" outlineLevel="1">
      <c r="A63" s="70" t="str">
        <f t="shared" si="13"/>
        <v/>
      </c>
      <c r="B63" s="249" t="s">
        <v>9</v>
      </c>
      <c r="C63" t="s">
        <v>240</v>
      </c>
      <c r="D63" s="1" t="s">
        <v>250</v>
      </c>
      <c r="E63" s="1" t="str">
        <f>'Census 2011_17'!B$111</f>
        <v>Low Income</v>
      </c>
      <c r="F63" s="1" t="str">
        <f>'Census 2011_17'!A$111</f>
        <v>Cooking</v>
      </c>
      <c r="G63" s="479">
        <v>23.327999999999999</v>
      </c>
      <c r="H63" s="115">
        <f>SUMIFS('Census 2011_17'!$O$111:$O$238,'Census 2011_17'!$A$111:$A$238,Energy_Balance!F63,'Census 2011_17'!$B$111:$B$238,Energy_Balance!E63,'Census 2011_17'!$C$111:$C$238,Energy_Balance!B63)</f>
        <v>40194.30393457281</v>
      </c>
      <c r="I63" s="432">
        <f>IFERROR(IF(B63="paraffin",L63*G$48,IF(B63="electricity",L63*F$48,IF(B63="coal",L63*J$48,IF(B63="Gas",L63*H$48,IF(B63="wood",L63*I$48,L63))))),"")</f>
        <v>2.1940201359108897</v>
      </c>
      <c r="J63" s="432"/>
      <c r="K63" s="432"/>
      <c r="L63" s="115">
        <f>IFERROR(G63*H63/10^6,0)</f>
        <v>0.93765272218571449</v>
      </c>
    </row>
    <row r="64" spans="1:48" hidden="1" outlineLevel="1">
      <c r="A64" s="70" t="str">
        <f t="shared" si="13"/>
        <v/>
      </c>
      <c r="B64" s="263" t="s">
        <v>166</v>
      </c>
      <c r="C64" t="s">
        <v>168</v>
      </c>
      <c r="D64" s="1" t="s">
        <v>250</v>
      </c>
      <c r="E64" s="1" t="str">
        <f>'Census 2011_17'!B$111</f>
        <v>Low Income</v>
      </c>
      <c r="F64" s="1" t="str">
        <f>'Census 2011_17'!A$111</f>
        <v>Cooking</v>
      </c>
      <c r="G64" s="479" t="s">
        <v>57</v>
      </c>
      <c r="H64" s="115"/>
      <c r="I64" s="432"/>
      <c r="J64" s="432"/>
      <c r="K64" s="432"/>
      <c r="L64" s="115"/>
    </row>
    <row r="65" spans="1:30" hidden="1" outlineLevel="1">
      <c r="A65" s="70" t="str">
        <f t="shared" si="13"/>
        <v/>
      </c>
      <c r="B65" s="249"/>
      <c r="E65" s="5" t="s">
        <v>455</v>
      </c>
      <c r="F65" s="5" t="s">
        <v>450</v>
      </c>
      <c r="G65" s="480">
        <v>9.3661080950465532E-6</v>
      </c>
      <c r="H65" s="481">
        <f>SUM(H59:H64)</f>
        <v>8506163.0751527678</v>
      </c>
      <c r="I65" s="431"/>
      <c r="J65" s="431"/>
      <c r="K65" s="431"/>
      <c r="L65" s="481"/>
    </row>
    <row r="66" spans="1:30" hidden="1">
      <c r="A66" s="70" t="str">
        <f t="shared" si="13"/>
        <v>*</v>
      </c>
      <c r="B66" s="262" t="s">
        <v>116</v>
      </c>
      <c r="C66" s="68"/>
      <c r="D66" s="68"/>
      <c r="E66" s="1"/>
      <c r="F66" s="68"/>
      <c r="G66" s="479" t="s">
        <v>57</v>
      </c>
      <c r="H66" s="115"/>
      <c r="I66" s="432"/>
      <c r="J66" s="432"/>
      <c r="K66" s="432"/>
      <c r="L66" s="115"/>
    </row>
    <row r="67" spans="1:30" outlineLevel="1">
      <c r="A67" s="70" t="str">
        <f t="shared" si="13"/>
        <v/>
      </c>
      <c r="B67" s="263" t="s">
        <v>42</v>
      </c>
      <c r="C67" s="1" t="s">
        <v>236</v>
      </c>
      <c r="D67" s="1" t="s">
        <v>251</v>
      </c>
      <c r="E67" s="1" t="str">
        <f>'Census 2011_17'!B$111</f>
        <v>Low Income</v>
      </c>
      <c r="F67" s="1" t="str">
        <f>'Census 2011_17'!A$142</f>
        <v>Space heating</v>
      </c>
      <c r="G67" s="479"/>
      <c r="H67" s="115">
        <f>SUMIFS('Census 2011_17'!$O$111:$O$238,'Census 2011_17'!$A$111:$A$238,Energy_Balance!F67,'Census 2011_17'!$B$111:$B$238,Energy_Balance!E67,'Census 2011_17'!$C$111:$C$238,Energy_Balance!B67)</f>
        <v>4291349.1386891333</v>
      </c>
      <c r="I67" s="432">
        <f t="shared" ref="I67:I72" si="14">IFERROR(IF(B67="paraffin",L67*G$48,IF(B67="electricity",L67*F$48,IF(B67="coal",L67*J$48,IF(B67="Gas",L67*H$48,IF(B67="wood",L67*I$48,L67))))),"")</f>
        <v>0.97440877504504075</v>
      </c>
      <c r="J67" s="432"/>
      <c r="K67" s="432">
        <v>0.22706350463544217</v>
      </c>
      <c r="L67" s="115">
        <f>IFERROR(K67*H67/10^6,0)</f>
        <v>0.97440877504504075</v>
      </c>
    </row>
    <row r="68" spans="1:30" hidden="1" outlineLevel="1">
      <c r="A68" s="70" t="str">
        <f t="shared" si="13"/>
        <v/>
      </c>
      <c r="B68" s="263" t="s">
        <v>17</v>
      </c>
      <c r="C68" s="1" t="s">
        <v>238</v>
      </c>
      <c r="D68" s="1" t="s">
        <v>251</v>
      </c>
      <c r="E68" s="1" t="str">
        <f>'Census 2011_17'!B$111</f>
        <v>Low Income</v>
      </c>
      <c r="F68" s="1" t="str">
        <f>'Census 2011_17'!A$142</f>
        <v>Space heating</v>
      </c>
      <c r="G68" s="479">
        <v>1.1100000000000001</v>
      </c>
      <c r="H68" s="115">
        <f>SUMIFS('Census 2011_17'!$O$111:$O$238,'Census 2011_17'!$A$111:$A$238,Energy_Balance!F68,'Census 2011_17'!$B$111:$B$238,Energy_Balance!E68,'Census 2011_17'!$C$111:$C$238,Energy_Balance!B68)</f>
        <v>647712.94436239137</v>
      </c>
      <c r="I68" s="432">
        <f t="shared" si="14"/>
        <v>0.32511472040198852</v>
      </c>
      <c r="J68" s="432"/>
      <c r="K68" s="432"/>
      <c r="L68" s="115">
        <f>IFERROR(G68*H68/10^6,0)</f>
        <v>0.71896136824225443</v>
      </c>
    </row>
    <row r="69" spans="1:30" hidden="1" outlineLevel="1">
      <c r="A69" s="70" t="str">
        <f t="shared" si="13"/>
        <v/>
      </c>
      <c r="B69" s="249" t="s">
        <v>43</v>
      </c>
      <c r="C69" s="1" t="s">
        <v>237</v>
      </c>
      <c r="D69" s="1" t="s">
        <v>251</v>
      </c>
      <c r="E69" s="1" t="str">
        <f>'Census 2011_17'!B$111</f>
        <v>Low Income</v>
      </c>
      <c r="F69" s="1" t="str">
        <f>'Census 2011_17'!A$142</f>
        <v>Space heating</v>
      </c>
      <c r="G69" s="479">
        <v>0.69</v>
      </c>
      <c r="H69" s="115">
        <f>SUMIFS('Census 2011_17'!$O$111:$O$238,'Census 2011_17'!$A$111:$A$238,Energy_Balance!F69,'Census 2011_17'!$B$111:$B$238,Energy_Balance!E69,'Census 2011_17'!$C$111:$C$238,Energy_Balance!B69)</f>
        <v>62818.775225126206</v>
      </c>
      <c r="I69" s="432">
        <f t="shared" si="14"/>
        <v>8.2195005713241232E-2</v>
      </c>
      <c r="J69" s="432"/>
      <c r="K69" s="432"/>
      <c r="L69" s="115">
        <f>IFERROR(G69*H69/10^6,0)</f>
        <v>4.3344954905337081E-2</v>
      </c>
    </row>
    <row r="70" spans="1:30" hidden="1" outlineLevel="1">
      <c r="A70" s="70" t="str">
        <f t="shared" si="13"/>
        <v/>
      </c>
      <c r="B70" s="263" t="s">
        <v>7</v>
      </c>
      <c r="C70" s="1" t="s">
        <v>239</v>
      </c>
      <c r="D70" s="1" t="s">
        <v>251</v>
      </c>
      <c r="E70" s="1" t="str">
        <f>'Census 2011_17'!B$111</f>
        <v>Low Income</v>
      </c>
      <c r="F70" s="1" t="str">
        <f>'Census 2011_17'!A$142</f>
        <v>Space heating</v>
      </c>
      <c r="G70" s="479">
        <v>13.242320000000001</v>
      </c>
      <c r="H70" s="115">
        <f>SUMIFS('Census 2011_17'!$O$111:$O$238,'Census 2011_17'!$A$111:$A$238,Energy_Balance!F70,'Census 2011_17'!$B$111:$B$238,Energy_Balance!E70,'Census 2011_17'!$C$111:$C$238,Energy_Balance!B70)</f>
        <v>1250150.8461852802</v>
      </c>
      <c r="I70" s="432">
        <f t="shared" si="14"/>
        <v>10.185203913611241</v>
      </c>
      <c r="J70" s="432"/>
      <c r="K70" s="432"/>
      <c r="L70" s="115">
        <f>IFERROR(G70*H70/10^6,0)</f>
        <v>16.554897553456261</v>
      </c>
    </row>
    <row r="71" spans="1:30" hidden="1" outlineLevel="1">
      <c r="A71" s="70" t="str">
        <f t="shared" si="13"/>
        <v/>
      </c>
      <c r="B71" s="249" t="s">
        <v>9</v>
      </c>
      <c r="C71" s="1" t="s">
        <v>240</v>
      </c>
      <c r="D71" s="1" t="s">
        <v>251</v>
      </c>
      <c r="E71" s="1" t="str">
        <f>'Census 2011_17'!B$111</f>
        <v>Low Income</v>
      </c>
      <c r="F71" s="1" t="str">
        <f>'Census 2011_17'!A$142</f>
        <v>Space heating</v>
      </c>
      <c r="G71" s="479">
        <v>14.58</v>
      </c>
      <c r="H71" s="115">
        <f>SUMIFS('Census 2011_17'!$O$111:$O$238,'Census 2011_17'!$A$111:$A$238,Energy_Balance!F71,'Census 2011_17'!$B$111:$B$238,Energy_Balance!E71,'Census 2011_17'!$C$111:$C$238,Energy_Balance!B71)</f>
        <v>104957.6396032787</v>
      </c>
      <c r="I71" s="432">
        <f t="shared" si="14"/>
        <v>3.5807184128955476</v>
      </c>
      <c r="J71" s="432"/>
      <c r="K71" s="432"/>
      <c r="L71" s="115">
        <f>IFERROR(G71*H71/10^6,0)</f>
        <v>1.5302823854158034</v>
      </c>
    </row>
    <row r="72" spans="1:30" hidden="1" outlineLevel="1">
      <c r="A72" s="70" t="str">
        <f t="shared" si="13"/>
        <v/>
      </c>
      <c r="B72" s="263" t="s">
        <v>166</v>
      </c>
      <c r="C72" s="1" t="s">
        <v>168</v>
      </c>
      <c r="D72" s="1" t="s">
        <v>251</v>
      </c>
      <c r="E72" s="1" t="str">
        <f>'Census 2011_17'!B$111</f>
        <v>Low Income</v>
      </c>
      <c r="F72" s="1" t="str">
        <f>'Census 2011_17'!A$142</f>
        <v>Space heating</v>
      </c>
      <c r="G72" s="479" t="s">
        <v>57</v>
      </c>
      <c r="H72" s="115">
        <f>SUMIFS('Census 2011_17'!$O$111:$O$238,'Census 2011_17'!$A$111:$A$238,Energy_Balance!F72,'Census 2011_17'!$B$111:$B$238,Energy_Balance!E72,'Census 2011_17'!$C$111:$C$238,Energy_Balance!B72)</f>
        <v>0</v>
      </c>
      <c r="I72" s="432">
        <f t="shared" si="14"/>
        <v>0</v>
      </c>
      <c r="J72" s="432"/>
      <c r="K72" s="432"/>
      <c r="L72" s="115">
        <f>IFERROR(G72*H72/10^6,0)</f>
        <v>0</v>
      </c>
      <c r="AD72" s="2"/>
    </row>
    <row r="73" spans="1:30" hidden="1" outlineLevel="1">
      <c r="A73" s="70" t="str">
        <f t="shared" si="13"/>
        <v/>
      </c>
      <c r="B73" s="249"/>
      <c r="E73" s="5" t="s">
        <v>455</v>
      </c>
      <c r="F73" s="5" t="s">
        <v>451</v>
      </c>
      <c r="G73" s="480" t="s">
        <v>57</v>
      </c>
      <c r="H73" s="272"/>
      <c r="I73" s="431"/>
      <c r="J73" s="431"/>
      <c r="K73" s="431"/>
      <c r="L73" s="272"/>
    </row>
    <row r="74" spans="1:30" hidden="1">
      <c r="A74" s="70" t="str">
        <f t="shared" si="13"/>
        <v>*</v>
      </c>
      <c r="B74" s="264" t="s">
        <v>117</v>
      </c>
      <c r="C74" s="69"/>
      <c r="D74" s="69"/>
      <c r="E74" s="1"/>
      <c r="F74" s="69"/>
      <c r="G74" s="479" t="s">
        <v>57</v>
      </c>
      <c r="H74" s="115"/>
      <c r="I74" s="432"/>
      <c r="J74" s="432"/>
      <c r="K74" s="432"/>
      <c r="L74" s="115"/>
    </row>
    <row r="75" spans="1:30" outlineLevel="1">
      <c r="A75" s="70" t="str">
        <f t="shared" si="13"/>
        <v/>
      </c>
      <c r="B75" s="263" t="s">
        <v>42</v>
      </c>
      <c r="C75" s="1" t="s">
        <v>236</v>
      </c>
      <c r="D75" t="s">
        <v>252</v>
      </c>
      <c r="E75" s="1" t="str">
        <f>'Census 2011_17'!B$111</f>
        <v>Low Income</v>
      </c>
      <c r="F75" t="s">
        <v>14</v>
      </c>
      <c r="G75" s="479"/>
      <c r="H75" s="115">
        <v>0</v>
      </c>
      <c r="I75" s="432">
        <f t="shared" ref="I75:I80" si="15">IFERROR(IF(B75="paraffin",L75*G$48,IF(B75="electricity",L75*F$48,IF(B75="coal",L75*J$48,IF(B75="Gas",L75*H$48,IF(B75="wood",L75*I$48,L75))))),"")</f>
        <v>0</v>
      </c>
      <c r="J75" s="432"/>
      <c r="K75" s="432">
        <v>0</v>
      </c>
      <c r="L75" s="115">
        <f>IFERROR(G75*H75/10^6,0)</f>
        <v>0</v>
      </c>
    </row>
    <row r="76" spans="1:30" outlineLevel="1">
      <c r="A76" s="70"/>
      <c r="B76" s="263" t="s">
        <v>42</v>
      </c>
      <c r="C76" s="1" t="s">
        <v>236</v>
      </c>
      <c r="D76" t="s">
        <v>252</v>
      </c>
      <c r="E76" s="1" t="str">
        <f>'Census 2011_17'!B$111</f>
        <v>Low Income</v>
      </c>
      <c r="F76" t="s">
        <v>14</v>
      </c>
      <c r="G76" s="479">
        <v>0.88502825012617625</v>
      </c>
      <c r="H76" s="115">
        <f>H59</f>
        <v>5886209.3270581374</v>
      </c>
      <c r="I76" s="432">
        <f t="shared" si="15"/>
        <v>2.1694806583192268</v>
      </c>
      <c r="J76" s="432"/>
      <c r="K76" s="432">
        <v>0.36857008267551866</v>
      </c>
      <c r="L76" s="115">
        <f>IFERROR(K76*H76/10^6,0)</f>
        <v>2.1694806583192268</v>
      </c>
    </row>
    <row r="77" spans="1:30" hidden="1" outlineLevel="1">
      <c r="A77" s="70" t="str">
        <f t="shared" si="13"/>
        <v/>
      </c>
      <c r="B77" s="263" t="s">
        <v>17</v>
      </c>
      <c r="C77" s="1" t="s">
        <v>238</v>
      </c>
      <c r="D77" s="1" t="s">
        <v>252</v>
      </c>
      <c r="E77" s="1" t="str">
        <f>'Census 2011_17'!B$111</f>
        <v>Low Income</v>
      </c>
      <c r="F77" t="s">
        <v>14</v>
      </c>
      <c r="G77" s="479">
        <v>7.6434257965442498</v>
      </c>
      <c r="H77" s="115">
        <f>SUMIFS('Census 2011_17'!$O$111:$O$238,'Census 2011_17'!$A$111:$A$238,Energy_Balance!F77,'Census 2011_17'!$B$111:$B$238,Energy_Balance!E77,'Census 2011_17'!$C$111:$C$238,Energy_Balance!B77)</f>
        <v>820853.99802213954</v>
      </c>
      <c r="I77" s="432">
        <f t="shared" si="15"/>
        <v>2.8371679818600861</v>
      </c>
      <c r="J77" s="432"/>
      <c r="K77" s="432"/>
      <c r="L77" s="115">
        <f>IFERROR(G77*H77/10^6,0)</f>
        <v>6.2741366236789045</v>
      </c>
    </row>
    <row r="78" spans="1:30" hidden="1" outlineLevel="1">
      <c r="A78" s="70" t="str">
        <f t="shared" si="13"/>
        <v/>
      </c>
      <c r="B78" s="249" t="s">
        <v>43</v>
      </c>
      <c r="C78" s="1" t="s">
        <v>237</v>
      </c>
      <c r="D78" s="1" t="s">
        <v>252</v>
      </c>
      <c r="E78" s="1" t="str">
        <f>'Census 2011_17'!B$111</f>
        <v>Low Income</v>
      </c>
      <c r="F78" t="s">
        <v>14</v>
      </c>
      <c r="G78" s="479">
        <v>1.3874205241251938</v>
      </c>
      <c r="H78" s="115">
        <f>SUMIFS('Census 2011_17'!$O$111:$O$238,'Census 2011_17'!$A$111:$A$238,Energy_Balance!F78,'Census 2011_17'!$B$111:$B$238,Energy_Balance!E78,'Census 2011_17'!$C$111:$C$238,Energy_Balance!B78)</f>
        <v>222053.8309117771</v>
      </c>
      <c r="I78" s="432">
        <f t="shared" si="15"/>
        <v>0.58421574773989327</v>
      </c>
      <c r="J78" s="432"/>
      <c r="K78" s="432"/>
      <c r="L78" s="115">
        <f>IFERROR(G78*H78/10^6,0)</f>
        <v>0.30808204246762494</v>
      </c>
    </row>
    <row r="79" spans="1:30" hidden="1" outlineLevel="1">
      <c r="A79" s="70" t="str">
        <f t="shared" si="13"/>
        <v/>
      </c>
      <c r="B79" s="263" t="s">
        <v>7</v>
      </c>
      <c r="C79" s="1" t="s">
        <v>239</v>
      </c>
      <c r="D79" s="1" t="s">
        <v>252</v>
      </c>
      <c r="E79" s="1" t="str">
        <f>'Census 2011_17'!B$111</f>
        <v>Low Income</v>
      </c>
      <c r="F79" t="s">
        <v>14</v>
      </c>
      <c r="G79" s="479">
        <v>11.361849157025235</v>
      </c>
      <c r="H79" s="115">
        <f>SUMIFS('Census 2011_17'!$O$111:$O$238,'Census 2011_17'!$A$111:$A$238,Energy_Balance!F79,'Census 2011_17'!$B$111:$B$238,Energy_Balance!E79,'Census 2011_17'!$C$111:$C$238,Energy_Balance!B79)</f>
        <v>1343358.7342037922</v>
      </c>
      <c r="I79" s="432">
        <f t="shared" si="15"/>
        <v>9.3904034820075051</v>
      </c>
      <c r="J79" s="432"/>
      <c r="K79" s="432"/>
      <c r="L79" s="115">
        <f>IFERROR(G79*H79/10^6,0)</f>
        <v>15.263039301795843</v>
      </c>
    </row>
    <row r="80" spans="1:30" hidden="1" outlineLevel="1">
      <c r="A80" s="70" t="str">
        <f t="shared" si="13"/>
        <v/>
      </c>
      <c r="B80" s="249" t="s">
        <v>9</v>
      </c>
      <c r="C80" s="1" t="s">
        <v>240</v>
      </c>
      <c r="D80" s="1" t="s">
        <v>252</v>
      </c>
      <c r="E80" s="1" t="str">
        <f>'Census 2011_17'!B$111</f>
        <v>Low Income</v>
      </c>
      <c r="F80" t="s">
        <v>14</v>
      </c>
      <c r="G80" s="479">
        <v>5.8319999999999999</v>
      </c>
      <c r="H80" s="115">
        <f>SUMIFS('Census 2011_17'!$O$111:$O$238,'Census 2011_17'!$A$111:$A$238,Energy_Balance!F80,'Census 2011_17'!$B$111:$B$238,Energy_Balance!E80,'Census 2011_17'!$C$111:$C$238,Energy_Balance!B80)</f>
        <v>40645.77102283053</v>
      </c>
      <c r="I80" s="432">
        <f t="shared" si="15"/>
        <v>0.55466590619951062</v>
      </c>
      <c r="J80" s="432"/>
      <c r="K80" s="432"/>
      <c r="L80" s="115">
        <f>IFERROR(G80*H80/10^6,0)</f>
        <v>0.23704613660514764</v>
      </c>
    </row>
    <row r="81" spans="1:33" hidden="1" outlineLevel="1">
      <c r="A81" s="70" t="str">
        <f t="shared" si="13"/>
        <v/>
      </c>
      <c r="B81" s="263" t="s">
        <v>166</v>
      </c>
      <c r="C81" s="1" t="s">
        <v>168</v>
      </c>
      <c r="D81" s="1" t="s">
        <v>252</v>
      </c>
      <c r="E81" s="1" t="str">
        <f>'Census 2011_17'!B$111</f>
        <v>Low Income</v>
      </c>
      <c r="F81" t="s">
        <v>14</v>
      </c>
      <c r="G81" s="479" t="s">
        <v>57</v>
      </c>
      <c r="H81" s="115">
        <f>SUMIFS('Census 2011_17'!$O$111:$O$238,'Census 2011_17'!$A$111:$A$238,Energy_Balance!F81,'Census 2011_17'!$B$111:$B$238,Energy_Balance!E81,'Census 2011_17'!$C$111:$C$238,Energy_Balance!B81)</f>
        <v>0</v>
      </c>
      <c r="I81" s="432"/>
      <c r="J81" s="432"/>
      <c r="K81" s="432"/>
      <c r="L81" s="115">
        <f>IFERROR(G81*H81/10^6,0)</f>
        <v>0</v>
      </c>
    </row>
    <row r="82" spans="1:33" hidden="1" outlineLevel="1">
      <c r="A82" s="70" t="str">
        <f t="shared" si="13"/>
        <v/>
      </c>
      <c r="B82" s="249"/>
      <c r="E82" s="5" t="s">
        <v>455</v>
      </c>
      <c r="F82" s="5" t="s">
        <v>452</v>
      </c>
      <c r="G82" s="480" t="s">
        <v>57</v>
      </c>
      <c r="H82" s="272">
        <f>SUM(H75:H81)</f>
        <v>8313121.6612186767</v>
      </c>
      <c r="I82" s="431"/>
      <c r="J82" s="431"/>
      <c r="K82" s="431"/>
      <c r="L82" s="272"/>
    </row>
    <row r="83" spans="1:33" hidden="1">
      <c r="A83" s="70" t="str">
        <f t="shared" si="13"/>
        <v>*</v>
      </c>
      <c r="B83" s="264" t="s">
        <v>118</v>
      </c>
      <c r="C83" s="69"/>
      <c r="G83" s="479" t="s">
        <v>57</v>
      </c>
      <c r="H83" s="115"/>
      <c r="I83" s="432"/>
      <c r="J83" s="432"/>
      <c r="K83" s="432"/>
      <c r="L83" s="115"/>
    </row>
    <row r="84" spans="1:33" outlineLevel="1">
      <c r="A84" s="70" t="str">
        <f t="shared" si="13"/>
        <v/>
      </c>
      <c r="B84" s="263" t="s">
        <v>42</v>
      </c>
      <c r="C84" s="1" t="s">
        <v>236</v>
      </c>
      <c r="D84" s="1" t="s">
        <v>253</v>
      </c>
      <c r="E84" s="1" t="str">
        <f>'Census 2011_17'!B$111</f>
        <v>Low Income</v>
      </c>
      <c r="F84" t="s">
        <v>15</v>
      </c>
      <c r="G84" s="479"/>
      <c r="H84" s="115">
        <f>'Census 2011_17'!H6</f>
        <v>5886209.3270581374</v>
      </c>
      <c r="I84" s="432">
        <f>IFERROR(IF(B84="paraffin",L84*G$48,IF(B84="electricity",L84*F$48,IF(B84="coal",L84*J$48,IF(B84="Gas",L84*H$48,IF(B84="wood",L84*I$48,L84))))),"")</f>
        <v>10.747437092047381</v>
      </c>
      <c r="J84" s="432"/>
      <c r="K84" s="432">
        <v>1.8258672933432407</v>
      </c>
      <c r="L84" s="115">
        <f>IFERROR(K84*H84/10^6,0)</f>
        <v>10.747437092047381</v>
      </c>
      <c r="AG84" t="s">
        <v>57</v>
      </c>
    </row>
    <row r="85" spans="1:33" hidden="1" outlineLevel="1">
      <c r="A85" s="70"/>
      <c r="B85" s="263"/>
      <c r="C85" s="1"/>
      <c r="D85" s="1"/>
      <c r="E85" s="1"/>
      <c r="G85" s="479"/>
      <c r="H85" s="115"/>
      <c r="I85" s="432"/>
      <c r="J85" s="432"/>
      <c r="K85" s="432"/>
      <c r="L85" s="115"/>
    </row>
    <row r="86" spans="1:33" hidden="1" outlineLevel="1">
      <c r="A86" s="70" t="str">
        <f t="shared" si="13"/>
        <v/>
      </c>
      <c r="B86" s="249"/>
      <c r="E86" s="1" t="str">
        <f>'Census 2011_17'!B$111</f>
        <v>Low Income</v>
      </c>
      <c r="G86" s="479" t="s">
        <v>57</v>
      </c>
      <c r="H86" s="115"/>
      <c r="I86" s="432"/>
      <c r="J86" s="432"/>
      <c r="K86" s="432"/>
      <c r="L86" s="115"/>
    </row>
    <row r="87" spans="1:33" hidden="1">
      <c r="A87" s="70" t="str">
        <f t="shared" si="13"/>
        <v>*</v>
      </c>
      <c r="B87" s="264" t="s">
        <v>119</v>
      </c>
      <c r="C87" s="69"/>
      <c r="D87" s="69"/>
      <c r="E87" s="1" t="str">
        <f>'Census 2011_17'!B$111</f>
        <v>Low Income</v>
      </c>
      <c r="F87" s="69"/>
      <c r="G87" s="479" t="s">
        <v>57</v>
      </c>
      <c r="H87" s="115"/>
      <c r="I87" s="432"/>
      <c r="J87" s="432"/>
      <c r="K87" s="432"/>
      <c r="L87" s="115"/>
    </row>
    <row r="88" spans="1:33" outlineLevel="1">
      <c r="A88" s="70" t="str">
        <f t="shared" si="13"/>
        <v/>
      </c>
      <c r="B88" s="263" t="s">
        <v>42</v>
      </c>
      <c r="C88" s="1" t="s">
        <v>236</v>
      </c>
      <c r="D88" s="1" t="s">
        <v>254</v>
      </c>
      <c r="E88" s="1" t="str">
        <f>'Census 2011_17'!B$111</f>
        <v>Low Income</v>
      </c>
      <c r="F88" t="s">
        <v>41</v>
      </c>
      <c r="G88" s="479">
        <v>0.58087621647837218</v>
      </c>
      <c r="H88" s="115">
        <f>'Census 2011_17'!H6</f>
        <v>5886209.3270581374</v>
      </c>
      <c r="I88" s="432">
        <f>IFERROR(IF(B88="paraffin",L88*G$48,IF(B88="electricity",L88*F$48,IF(B88="coal",L88*J$48,IF(B88="Gas",L88*H$48,IF(B88="wood",L88*I$48,L88))))),"")</f>
        <v>7.3078727327855058</v>
      </c>
      <c r="J88" s="432"/>
      <c r="K88" s="432">
        <v>1.2415244390294051</v>
      </c>
      <c r="L88" s="115">
        <f>IFERROR(K88*H88/10^6,0)</f>
        <v>7.3078727327855058</v>
      </c>
      <c r="AD88" s="1"/>
    </row>
    <row r="89" spans="1:33" hidden="1" outlineLevel="1">
      <c r="A89" s="70" t="str">
        <f t="shared" ref="A89:A122" si="16">IF(LEFT(B89,1)="\","*","")</f>
        <v/>
      </c>
      <c r="B89" s="263" t="s">
        <v>17</v>
      </c>
      <c r="C89" s="1" t="s">
        <v>238</v>
      </c>
      <c r="D89" s="1" t="s">
        <v>294</v>
      </c>
      <c r="E89" s="1" t="str">
        <f>'Census 2011_17'!B$111</f>
        <v>Low Income</v>
      </c>
      <c r="F89" t="s">
        <v>41</v>
      </c>
      <c r="G89" s="479"/>
      <c r="H89" s="115"/>
      <c r="I89" s="432"/>
      <c r="J89" s="432"/>
      <c r="K89" s="432"/>
      <c r="L89" s="115"/>
    </row>
    <row r="90" spans="1:33" hidden="1" outlineLevel="1">
      <c r="A90" s="70" t="str">
        <f t="shared" si="16"/>
        <v/>
      </c>
      <c r="E90" s="5" t="s">
        <v>455</v>
      </c>
      <c r="F90" s="5" t="s">
        <v>453</v>
      </c>
      <c r="G90" s="480" t="s">
        <v>57</v>
      </c>
      <c r="H90" s="272"/>
      <c r="I90" s="431"/>
      <c r="J90" s="431"/>
      <c r="K90" s="431"/>
      <c r="L90" s="272"/>
    </row>
    <row r="91" spans="1:33" hidden="1">
      <c r="A91" s="70" t="str">
        <f t="shared" si="16"/>
        <v>*</v>
      </c>
      <c r="B91" s="69" t="s">
        <v>443</v>
      </c>
      <c r="C91" s="69"/>
      <c r="D91" s="69"/>
      <c r="E91" s="69"/>
      <c r="F91" s="69"/>
      <c r="G91" s="480" t="s">
        <v>57</v>
      </c>
      <c r="H91" s="272"/>
      <c r="I91" s="431"/>
      <c r="J91" s="431"/>
      <c r="K91" s="431"/>
      <c r="L91" s="272"/>
    </row>
    <row r="92" spans="1:33" outlineLevel="1">
      <c r="A92" s="70" t="str">
        <f t="shared" si="16"/>
        <v/>
      </c>
      <c r="B92" s="1" t="s">
        <v>42</v>
      </c>
      <c r="C92" s="1" t="s">
        <v>236</v>
      </c>
      <c r="D92" s="1" t="s">
        <v>255</v>
      </c>
      <c r="E92" s="1" t="str">
        <f>'Census 2011_17'!B$121</f>
        <v>Middle Income</v>
      </c>
      <c r="F92" t="s">
        <v>11</v>
      </c>
      <c r="G92" s="479">
        <v>2.1509514043776004</v>
      </c>
      <c r="H92" s="115">
        <f>'Census 2011_17'!H7</f>
        <v>4869498.7466859436</v>
      </c>
      <c r="I92" s="432">
        <f>IFERROR(IF(B92="paraffin",L92*G$48,IF(B92="electricity",L92*F$48,IF(B92="coal",L92*J$48,IF(B92="Gas",L92*H$48,IF(B92="wood",L92*I$48,L92))))),"")</f>
        <v>5.2898644663697052</v>
      </c>
      <c r="J92" s="432"/>
      <c r="K92" s="432">
        <v>1.0863262815232988</v>
      </c>
      <c r="L92" s="115">
        <f>IFERROR(K92*H92/10^6,0)</f>
        <v>5.2898644663697052</v>
      </c>
    </row>
    <row r="93" spans="1:33" hidden="1" outlineLevel="1">
      <c r="A93" s="70"/>
      <c r="B93" s="1" t="s">
        <v>17</v>
      </c>
      <c r="C93" s="1" t="s">
        <v>238</v>
      </c>
      <c r="D93" s="1" t="s">
        <v>278</v>
      </c>
      <c r="E93" s="1" t="str">
        <f>'Census 2011_17'!B$121</f>
        <v>Middle Income</v>
      </c>
      <c r="F93" t="s">
        <v>11</v>
      </c>
      <c r="G93" s="479">
        <v>3.1080000000000001</v>
      </c>
      <c r="H93" s="115">
        <f>SUMIFS('Census 2011_17'!$O$111:$O$238,'Census 2011_17'!$A$111:$A$238,Energy_Balance!F93,'Census 2011_17'!$B$111:$B$238,Energy_Balance!E93,'Census 2011_17'!$C$111:$C$238,Energy_Balance!B93)</f>
        <v>508610.99261242774</v>
      </c>
      <c r="I93" s="432">
        <f>IFERROR(IF(B93="paraffin",L93*G$48,IF(B93="electricity",L93*F$48,IF(B93="coal",L93*J$48,IF(B93="Gas",L93*H$48,IF(B93="wood",L93*I$48,L93))))),"")</f>
        <v>0.71482186957706251</v>
      </c>
      <c r="J93" s="432"/>
      <c r="K93" s="432"/>
      <c r="L93" s="115">
        <f>IFERROR(G93*H93/10^6,0)</f>
        <v>1.5807629650394255</v>
      </c>
    </row>
    <row r="94" spans="1:33" hidden="1" outlineLevel="1">
      <c r="A94" s="70" t="str">
        <f t="shared" si="16"/>
        <v/>
      </c>
      <c r="E94" s="5" t="s">
        <v>427</v>
      </c>
      <c r="F94" s="5" t="s">
        <v>454</v>
      </c>
      <c r="G94" s="480" t="s">
        <v>57</v>
      </c>
      <c r="H94" s="272">
        <f>H92</f>
        <v>4869498.7466859436</v>
      </c>
      <c r="I94" s="431"/>
      <c r="J94" s="431"/>
      <c r="K94" s="431"/>
      <c r="L94" s="272"/>
    </row>
    <row r="95" spans="1:33" hidden="1">
      <c r="A95" s="70" t="str">
        <f t="shared" si="16"/>
        <v>*</v>
      </c>
      <c r="B95" s="69" t="s">
        <v>442</v>
      </c>
      <c r="C95" s="69"/>
      <c r="D95" s="69"/>
      <c r="E95" s="1"/>
      <c r="F95" s="69"/>
      <c r="G95" s="479" t="s">
        <v>57</v>
      </c>
      <c r="H95" s="115"/>
      <c r="I95" s="432"/>
      <c r="J95" s="432"/>
      <c r="K95" s="432"/>
      <c r="L95" s="115"/>
    </row>
    <row r="96" spans="1:33" outlineLevel="1">
      <c r="A96" s="70" t="str">
        <f t="shared" si="16"/>
        <v/>
      </c>
      <c r="B96" t="s">
        <v>42</v>
      </c>
      <c r="C96" s="1" t="s">
        <v>236</v>
      </c>
      <c r="D96" s="1" t="s">
        <v>256</v>
      </c>
      <c r="E96" s="1" t="str">
        <f>'Census 2011_17'!B$121</f>
        <v>Middle Income</v>
      </c>
      <c r="F96" s="1" t="str">
        <f>'Census 2011_17'!A$111</f>
        <v>Cooking</v>
      </c>
      <c r="G96" s="479"/>
      <c r="H96" s="115">
        <f>H92</f>
        <v>4869498.7466859436</v>
      </c>
      <c r="I96" s="432">
        <f>IFERROR(IF(B96="paraffin",L96*G$48,IF(B96="electricity",L96*F$48,IF(B96="coal",L96*J$48,IF(B96="Gas",L96*H$48,IF(B96="wood",L96*I$48,L96))))),"")</f>
        <v>8.6817696373932929</v>
      </c>
      <c r="J96" s="432"/>
      <c r="K96" s="432">
        <v>1.7828877445141316</v>
      </c>
      <c r="L96" s="115">
        <f>IFERROR(K96*H96/10^6,0)</f>
        <v>8.6817696373932929</v>
      </c>
    </row>
    <row r="97" spans="1:23" hidden="1" outlineLevel="1">
      <c r="A97" s="70" t="str">
        <f t="shared" si="16"/>
        <v/>
      </c>
      <c r="B97" t="s">
        <v>17</v>
      </c>
      <c r="C97" s="1" t="s">
        <v>238</v>
      </c>
      <c r="D97" s="1" t="s">
        <v>256</v>
      </c>
      <c r="E97" s="1" t="str">
        <f>'Census 2011_17'!B$121</f>
        <v>Middle Income</v>
      </c>
      <c r="F97" s="1" t="str">
        <f>'Census 2011_17'!A$111</f>
        <v>Cooking</v>
      </c>
      <c r="G97" s="479">
        <v>1.0618559999999999</v>
      </c>
      <c r="H97" s="115">
        <f>SUMIFS('Census 2011_17'!$O$111:$O$238,'Census 2011_17'!$A$111:$A$238,Energy_Balance!F97,'Census 2011_17'!$B$111:$B$238,Energy_Balance!E97,'Census 2011_17'!$C$111:$C$238,Energy_Balance!B97)</f>
        <v>429334.07571922371</v>
      </c>
      <c r="I97" s="432">
        <f>IFERROR(IF(B97="paraffin",L97*G$48,IF(B97="electricity",L97*F$48,IF(B97="coal",L97*J$48,IF(B97="Gas",L97*H$48,IF(B97="wood",L97*I$48,L97))))),"")</f>
        <v>0.20615414115615299</v>
      </c>
      <c r="J97" s="432"/>
      <c r="K97" s="432"/>
      <c r="L97" s="115">
        <f>IFERROR(G97*H97/10^6,0)</f>
        <v>0.45589096430691195</v>
      </c>
    </row>
    <row r="98" spans="1:23" hidden="1" outlineLevel="1">
      <c r="A98" s="70" t="str">
        <f t="shared" si="16"/>
        <v/>
      </c>
      <c r="B98" t="s">
        <v>43</v>
      </c>
      <c r="C98" s="1" t="s">
        <v>237</v>
      </c>
      <c r="D98" s="1" t="s">
        <v>256</v>
      </c>
      <c r="E98" s="1" t="str">
        <f>'Census 2011_17'!B$121</f>
        <v>Middle Income</v>
      </c>
      <c r="F98" s="1" t="str">
        <f>'Census 2011_17'!A$111</f>
        <v>Cooking</v>
      </c>
      <c r="G98" s="479">
        <v>1.480896</v>
      </c>
      <c r="H98" s="115">
        <f>SUMIFS('Census 2011_17'!$O$111:$O$238,'Census 2011_17'!$A$111:$A$238,Energy_Balance!F98,'Census 2011_17'!$B$111:$B$238,Energy_Balance!E98,'Census 2011_17'!$C$111:$C$238,Energy_Balance!B98)</f>
        <v>205441.89434393408</v>
      </c>
      <c r="I98" s="432">
        <f>IFERROR(IF(B98="paraffin",L98*G$48,IF(B98="electricity",L98*F$48,IF(B98="coal",L98*J$48,IF(B98="Gas",L98*H$48,IF(B98="wood",L98*I$48,L98))))),"")</f>
        <v>0.57692644375234903</v>
      </c>
      <c r="J98" s="432"/>
      <c r="K98" s="432">
        <f>G98</f>
        <v>1.480896</v>
      </c>
      <c r="L98" s="115">
        <f>IFERROR(K98*H98/10^6,0)</f>
        <v>0.30423807956635462</v>
      </c>
    </row>
    <row r="99" spans="1:23" hidden="1" outlineLevel="1">
      <c r="A99" s="70" t="str">
        <f t="shared" si="16"/>
        <v/>
      </c>
      <c r="B99" s="1" t="s">
        <v>7</v>
      </c>
      <c r="C99" s="1" t="s">
        <v>239</v>
      </c>
      <c r="D99" s="1" t="s">
        <v>256</v>
      </c>
      <c r="E99" s="1" t="str">
        <f>'Census 2011_17'!B$121</f>
        <v>Middle Income</v>
      </c>
      <c r="F99" s="1" t="str">
        <f>'Census 2011_17'!A$111</f>
        <v>Cooking</v>
      </c>
      <c r="G99" s="479">
        <v>39.726959999999991</v>
      </c>
      <c r="H99" s="115">
        <f>SUMIFS('Census 2011_17'!$O$111:$O$238,'Census 2011_17'!$A$111:$A$238,Energy_Balance!F99,'Census 2011_17'!$B$111:$B$238,Energy_Balance!E99,'Census 2011_17'!$C$111:$C$238,Energy_Balance!B99)</f>
        <v>693536.2139641809</v>
      </c>
      <c r="I99" s="432">
        <f>IFERROR(IF(B99="paraffin",L99*G$48,IF(B99="electricity",L99*F$48,IF(B99="coal",L99*J$48,IF(B99="Gas",L99*H$48,IF(B99="wood",L99*I$48,L99))))),"")</f>
        <v>16.951093019503173</v>
      </c>
      <c r="J99" s="432"/>
      <c r="K99" s="432"/>
      <c r="L99" s="115">
        <f>IFERROR(G99*H99/10^6,0)</f>
        <v>27.552085430706448</v>
      </c>
    </row>
    <row r="100" spans="1:23" hidden="1" outlineLevel="1">
      <c r="A100" s="70" t="str">
        <f t="shared" si="16"/>
        <v/>
      </c>
      <c r="B100" s="1" t="s">
        <v>9</v>
      </c>
      <c r="C100" s="1" t="s">
        <v>240</v>
      </c>
      <c r="D100" s="1" t="s">
        <v>256</v>
      </c>
      <c r="E100" s="1" t="str">
        <f>'Census 2011_17'!B$121</f>
        <v>Middle Income</v>
      </c>
      <c r="F100" s="1" t="str">
        <f>'Census 2011_17'!A$111</f>
        <v>Cooking</v>
      </c>
      <c r="G100" s="479">
        <v>23.327999999999999</v>
      </c>
      <c r="H100" s="115">
        <f>SUMIFS('Census 2011_17'!$O$111:$O$238,'Census 2011_17'!$A$111:$A$238,Energy_Balance!F100,'Census 2011_17'!$B$111:$B$238,Energy_Balance!E100,'Census 2011_17'!$C$111:$C$238,Energy_Balance!B100)</f>
        <v>30360.367114407229</v>
      </c>
      <c r="I100" s="432">
        <f>IFERROR(IF(B100="paraffin",L100*G$48,IF(B100="electricity",L100*F$48,IF(B100="coal",L100*J$48,IF(B100="Gas",L100*H$48,IF(B100="wood",L100*I$48,L100))))),"")</f>
        <v>1.6572312557292754</v>
      </c>
      <c r="J100" s="432"/>
      <c r="K100" s="432"/>
      <c r="L100" s="115">
        <f>IFERROR(G100*H100/10^6,0)</f>
        <v>0.70824664404489179</v>
      </c>
    </row>
    <row r="101" spans="1:23" hidden="1" outlineLevel="1">
      <c r="A101" s="70" t="str">
        <f t="shared" si="16"/>
        <v/>
      </c>
      <c r="B101" t="s">
        <v>166</v>
      </c>
      <c r="C101" s="1" t="s">
        <v>168</v>
      </c>
      <c r="D101" s="1" t="s">
        <v>256</v>
      </c>
      <c r="E101" s="1" t="str">
        <f>'Census 2011_17'!B$121</f>
        <v>Middle Income</v>
      </c>
      <c r="F101" s="1" t="str">
        <f>'Census 2011_17'!A$111</f>
        <v>Cooking</v>
      </c>
      <c r="G101" s="479" t="s">
        <v>57</v>
      </c>
      <c r="H101" s="115">
        <f>SUMIFS('Census 2011_17'!$O$111:$O$238,'Census 2011_17'!$A$111:$A$238,Energy_Balance!F101,'Census 2011_17'!$B$111:$B$238,Energy_Balance!E101,'Census 2011_17'!$C$111:$C$238,Energy_Balance!B101)</f>
        <v>0</v>
      </c>
      <c r="I101" s="432"/>
      <c r="J101" s="432"/>
      <c r="K101" s="432"/>
      <c r="L101" s="115">
        <f>IFERROR(G101*H101/10^6,0)</f>
        <v>0</v>
      </c>
    </row>
    <row r="102" spans="1:23" hidden="1" outlineLevel="1">
      <c r="A102" s="70" t="str">
        <f t="shared" si="16"/>
        <v/>
      </c>
      <c r="E102" s="5" t="s">
        <v>427</v>
      </c>
      <c r="F102" s="5" t="s">
        <v>450</v>
      </c>
      <c r="G102" s="480" t="s">
        <v>57</v>
      </c>
      <c r="H102" s="272">
        <f>SUM(H96:H101)</f>
        <v>6228171.297827689</v>
      </c>
      <c r="I102" s="431"/>
      <c r="J102" s="431"/>
      <c r="K102" s="431"/>
      <c r="L102" s="481"/>
    </row>
    <row r="103" spans="1:23" hidden="1">
      <c r="A103" s="70" t="str">
        <f t="shared" si="16"/>
        <v>*</v>
      </c>
      <c r="B103" s="69" t="s">
        <v>444</v>
      </c>
      <c r="C103" s="69"/>
      <c r="D103" s="69"/>
      <c r="G103" s="479" t="s">
        <v>57</v>
      </c>
      <c r="H103" s="115"/>
      <c r="I103" s="432"/>
      <c r="J103" s="432"/>
      <c r="K103" s="432"/>
      <c r="L103" s="115"/>
    </row>
    <row r="104" spans="1:23" outlineLevel="1">
      <c r="A104" s="70" t="str">
        <f t="shared" si="16"/>
        <v/>
      </c>
      <c r="B104" s="1" t="s">
        <v>42</v>
      </c>
      <c r="C104" s="1" t="s">
        <v>236</v>
      </c>
      <c r="D104" s="1" t="s">
        <v>257</v>
      </c>
      <c r="E104" s="1" t="str">
        <f>'Census 2011_17'!B$121</f>
        <v>Middle Income</v>
      </c>
      <c r="F104" s="1" t="str">
        <f>'Census 2011_17'!A$142</f>
        <v>Space heating</v>
      </c>
      <c r="G104" s="479">
        <v>2.0735999999999999</v>
      </c>
      <c r="H104" s="115">
        <f>H96</f>
        <v>4869498.7466859436</v>
      </c>
      <c r="I104" s="432">
        <f t="shared" ref="I104:I109" si="17">IFERROR(IF(B104="paraffin",L104*G$48,IF(B104="electricity",L104*F$48,IF(B104="coal",L104*J$48,IF(B104="Gas",L104*H$48,IF(B104="wood",L104*I$48,L104))))),"")</f>
        <v>3.5506739170744979</v>
      </c>
      <c r="J104" s="432"/>
      <c r="K104" s="432">
        <v>0.72916620411720934</v>
      </c>
      <c r="L104" s="115">
        <f>IFERROR(K104*H104/10^6,0)</f>
        <v>3.5506739170744979</v>
      </c>
    </row>
    <row r="105" spans="1:23" hidden="1" outlineLevel="1">
      <c r="A105" s="70" t="str">
        <f t="shared" si="16"/>
        <v/>
      </c>
      <c r="B105" s="1" t="s">
        <v>17</v>
      </c>
      <c r="C105" s="1" t="s">
        <v>238</v>
      </c>
      <c r="D105" s="1" t="s">
        <v>257</v>
      </c>
      <c r="E105" s="1" t="str">
        <f>'Census 2011_17'!B$121</f>
        <v>Middle Income</v>
      </c>
      <c r="F105" s="1" t="str">
        <f>'Census 2011_17'!A$142</f>
        <v>Space heating</v>
      </c>
      <c r="G105" s="479">
        <v>4.4400000000000004</v>
      </c>
      <c r="H105" s="115">
        <f>SUMIFS('Census 2011_17'!$O$111:$O$238,'Census 2011_17'!$A$111:$A$238,Energy_Balance!F105,'Census 2011_17'!$B$111:$B$238,Energy_Balance!E105,'Census 2011_17'!$C$111:$C$238,Energy_Balance!B105)</f>
        <v>372002.59314277355</v>
      </c>
      <c r="I105" s="432">
        <f t="shared" si="17"/>
        <v>0.74689579765915792</v>
      </c>
      <c r="J105" s="432"/>
      <c r="K105" s="432"/>
      <c r="L105" s="115">
        <f>IFERROR(G105*H105/10^6,0)</f>
        <v>1.6516915135539145</v>
      </c>
    </row>
    <row r="106" spans="1:23" hidden="1" outlineLevel="1">
      <c r="A106" s="70" t="str">
        <f t="shared" si="16"/>
        <v/>
      </c>
      <c r="B106" s="1" t="s">
        <v>43</v>
      </c>
      <c r="C106" s="1" t="s">
        <v>237</v>
      </c>
      <c r="D106" s="1" t="s">
        <v>257</v>
      </c>
      <c r="E106" s="1" t="str">
        <f>'Census 2011_17'!B$121</f>
        <v>Middle Income</v>
      </c>
      <c r="F106" s="1" t="str">
        <f>'Census 2011_17'!A$142</f>
        <v>Space heating</v>
      </c>
      <c r="G106" s="479">
        <v>1.38</v>
      </c>
      <c r="H106" s="115">
        <f>SUMIFS('Census 2011_17'!$O$111:$O$238,'Census 2011_17'!$A$111:$A$238,Energy_Balance!F106,'Census 2011_17'!$B$111:$B$238,Energy_Balance!E106,'Census 2011_17'!$C$111:$C$238,Energy_Balance!B106)</f>
        <v>46183.634219135638</v>
      </c>
      <c r="I106" s="432">
        <f t="shared" si="17"/>
        <v>0.72640689006309955</v>
      </c>
      <c r="J106" s="432"/>
      <c r="K106" s="432">
        <f>G104*4</f>
        <v>8.2943999999999996</v>
      </c>
      <c r="L106" s="115">
        <f>IFERROR(K106*H106/10^6,0)</f>
        <v>0.38306553566719859</v>
      </c>
    </row>
    <row r="107" spans="1:23" hidden="1" outlineLevel="1">
      <c r="A107" s="70" t="str">
        <f t="shared" si="16"/>
        <v/>
      </c>
      <c r="B107" s="1" t="s">
        <v>7</v>
      </c>
      <c r="C107" s="1" t="s">
        <v>239</v>
      </c>
      <c r="D107" s="1" t="s">
        <v>257</v>
      </c>
      <c r="E107" s="1" t="str">
        <f>'Census 2011_17'!B$121</f>
        <v>Middle Income</v>
      </c>
      <c r="F107" s="1" t="str">
        <f>'Census 2011_17'!A$142</f>
        <v>Space heating</v>
      </c>
      <c r="G107" s="479">
        <v>13.242320000000001</v>
      </c>
      <c r="H107" s="115">
        <f>SUMIFS('Census 2011_17'!$O$111:$O$238,'Census 2011_17'!$A$111:$A$238,Energy_Balance!F107,'Census 2011_17'!$B$111:$B$238,Energy_Balance!E107,'Census 2011_17'!$C$111:$C$238,Energy_Balance!B107)</f>
        <v>632273.5424742758</v>
      </c>
      <c r="I107" s="432">
        <f t="shared" si="17"/>
        <v>5.1512463307387257</v>
      </c>
      <c r="J107" s="432"/>
      <c r="K107" s="432"/>
      <c r="L107" s="115">
        <f>IFERROR(G107*H107/10^6,0)</f>
        <v>8.3727685769779523</v>
      </c>
    </row>
    <row r="108" spans="1:23" hidden="1" outlineLevel="1">
      <c r="A108" s="70" t="str">
        <f t="shared" si="16"/>
        <v/>
      </c>
      <c r="B108" t="s">
        <v>9</v>
      </c>
      <c r="C108" s="1" t="s">
        <v>240</v>
      </c>
      <c r="D108" s="1" t="s">
        <v>257</v>
      </c>
      <c r="E108" s="1" t="str">
        <f>'Census 2011_17'!B$121</f>
        <v>Middle Income</v>
      </c>
      <c r="F108" s="1" t="str">
        <f>'Census 2011_17'!A$142</f>
        <v>Space heating</v>
      </c>
      <c r="G108" s="479">
        <v>30.180600000000002</v>
      </c>
      <c r="H108" s="115">
        <f>SUMIFS('Census 2011_17'!$O$111:$O$238,'Census 2011_17'!$A$111:$A$238,Energy_Balance!F108,'Census 2011_17'!$B$111:$B$238,Energy_Balance!E108,'Census 2011_17'!$C$111:$C$238,Energy_Balance!B108)</f>
        <v>73382.624605018456</v>
      </c>
      <c r="I108" s="432">
        <f t="shared" si="17"/>
        <v>5.1822659916246563</v>
      </c>
      <c r="J108" s="432"/>
      <c r="K108" s="432"/>
      <c r="L108" s="115">
        <f>IFERROR(G108*H108/10^6,0)</f>
        <v>2.2147316401542203</v>
      </c>
    </row>
    <row r="109" spans="1:23" hidden="1" outlineLevel="1">
      <c r="A109" s="70" t="str">
        <f t="shared" si="16"/>
        <v/>
      </c>
      <c r="B109" s="1" t="s">
        <v>166</v>
      </c>
      <c r="C109" s="1" t="s">
        <v>168</v>
      </c>
      <c r="D109" s="1" t="s">
        <v>257</v>
      </c>
      <c r="E109" s="1" t="str">
        <f>'Census 2011_17'!B$121</f>
        <v>Middle Income</v>
      </c>
      <c r="F109" s="1" t="str">
        <f>'Census 2011_17'!A$142</f>
        <v>Space heating</v>
      </c>
      <c r="G109" s="479" t="s">
        <v>57</v>
      </c>
      <c r="H109" s="115">
        <f>SUMIFS('Census 2011_17'!$O$111:$O$238,'Census 2011_17'!$A$111:$A$238,Energy_Balance!F109,'Census 2011_17'!$B$111:$B$238,Energy_Balance!E109,'Census 2011_17'!$C$111:$C$238,Energy_Balance!B109)</f>
        <v>0</v>
      </c>
      <c r="I109" s="432">
        <f t="shared" si="17"/>
        <v>0</v>
      </c>
      <c r="J109" s="432"/>
      <c r="K109" s="432"/>
      <c r="L109" s="115">
        <f>IFERROR(G109*H109/10^6,0)</f>
        <v>0</v>
      </c>
    </row>
    <row r="110" spans="1:23" hidden="1" outlineLevel="1">
      <c r="A110" s="70" t="str">
        <f t="shared" si="16"/>
        <v/>
      </c>
      <c r="E110" s="5" t="s">
        <v>427</v>
      </c>
      <c r="F110" s="5" t="s">
        <v>451</v>
      </c>
      <c r="G110" s="479" t="s">
        <v>57</v>
      </c>
      <c r="H110" s="272">
        <f>SUM(H104:H109)</f>
        <v>5993341.1411271477</v>
      </c>
      <c r="I110" s="431"/>
      <c r="J110" s="431"/>
      <c r="K110" s="431"/>
      <c r="L110" s="272"/>
    </row>
    <row r="111" spans="1:23" hidden="1">
      <c r="A111" s="70" t="str">
        <f t="shared" si="16"/>
        <v>*</v>
      </c>
      <c r="B111" s="69" t="s">
        <v>445</v>
      </c>
      <c r="C111" s="69"/>
      <c r="D111" s="69"/>
      <c r="G111" s="479" t="s">
        <v>57</v>
      </c>
      <c r="H111" s="115"/>
      <c r="I111" s="432"/>
      <c r="J111" s="432"/>
      <c r="K111" s="432"/>
      <c r="L111" s="115"/>
    </row>
    <row r="112" spans="1:23" outlineLevel="1">
      <c r="A112" s="70" t="str">
        <f t="shared" si="16"/>
        <v/>
      </c>
      <c r="B112" s="1" t="s">
        <v>42</v>
      </c>
      <c r="C112" s="1" t="s">
        <v>236</v>
      </c>
      <c r="D112" t="s">
        <v>581</v>
      </c>
      <c r="E112" s="1" t="str">
        <f>'Census 2011_17'!B$121</f>
        <v>Middle Income</v>
      </c>
      <c r="F112" t="s">
        <v>14</v>
      </c>
      <c r="G112" s="479">
        <v>7.4070218873126263</v>
      </c>
      <c r="H112" s="115">
        <v>579576.20598266833</v>
      </c>
      <c r="I112" s="432">
        <f t="shared" ref="I112:I117" si="18">IFERROR(IF(B112="paraffin",L112*G$48,IF(B112="electricity",L112*F$48,IF(B112="coal",L112*J$48,IF(B112="Gas",L112*H$48,IF(B112="wood",L112*I$48,L112))))),"")</f>
        <v>6.1957821991814717</v>
      </c>
      <c r="J112" s="432"/>
      <c r="K112" s="432">
        <v>10.690194206086423</v>
      </c>
      <c r="L112" s="115">
        <f>IFERROR(K112*H112/10^6,0)</f>
        <v>6.1957821991814717</v>
      </c>
      <c r="M112" s="7">
        <f>L112+L113</f>
        <v>7.4095634581259793</v>
      </c>
      <c r="N112" s="7"/>
      <c r="O112" s="7"/>
      <c r="P112" s="7"/>
      <c r="Q112" s="7"/>
      <c r="R112" s="7"/>
      <c r="S112" s="7"/>
      <c r="T112" s="7"/>
      <c r="U112" s="7"/>
      <c r="V112" s="7"/>
      <c r="W112" s="7"/>
    </row>
    <row r="113" spans="1:40" outlineLevel="1">
      <c r="A113" s="70"/>
      <c r="B113" s="1" t="s">
        <v>42</v>
      </c>
      <c r="C113" s="1" t="s">
        <v>236</v>
      </c>
      <c r="D113" t="s">
        <v>258</v>
      </c>
      <c r="E113" s="1" t="str">
        <f>'Census 2011_17'!B$121</f>
        <v>Middle Income</v>
      </c>
      <c r="F113" t="s">
        <v>14</v>
      </c>
      <c r="G113" s="479">
        <v>1.1386119079905366</v>
      </c>
      <c r="H113" s="115">
        <f>SUMIFS('Census 2011_17'!$O$111:$O$238,'Census 2011_17'!$A$111:$A$238,Energy_Balance!F113,'Census 2011_17'!$B$111:$B$238,Energy_Balance!E113,'Census 2011_17'!$C$111:$C$238,Energy_Balance!B113)-H112</f>
        <v>3548888.3587567653</v>
      </c>
      <c r="I113" s="432">
        <f t="shared" si="18"/>
        <v>1.2137812589445078</v>
      </c>
      <c r="J113" s="432"/>
      <c r="K113" s="432">
        <v>0.34201731253380868</v>
      </c>
      <c r="L113" s="115">
        <f>IFERROR(K113*H113/10^6,0)</f>
        <v>1.2137812589445078</v>
      </c>
    </row>
    <row r="114" spans="1:40" hidden="1" outlineLevel="1">
      <c r="A114" s="70" t="str">
        <f t="shared" si="16"/>
        <v/>
      </c>
      <c r="B114" s="1" t="s">
        <v>17</v>
      </c>
      <c r="C114" s="1" t="s">
        <v>238</v>
      </c>
      <c r="D114" s="1" t="s">
        <v>258</v>
      </c>
      <c r="E114" s="1" t="str">
        <f>'Census 2011_17'!B$121</f>
        <v>Middle Income</v>
      </c>
      <c r="F114" t="s">
        <v>14</v>
      </c>
      <c r="G114" s="479">
        <v>9.8334664781000871</v>
      </c>
      <c r="H114" s="115">
        <f>SUMIFS('Census 2011_17'!$O$111:$O$238,'Census 2011_17'!$A$111:$A$238,Energy_Balance!F114,'Census 2011_17'!$B$111:$B$238,Energy_Balance!E114,'Census 2011_17'!$C$111:$C$238,Energy_Balance!B114)</f>
        <v>471841.06726770819</v>
      </c>
      <c r="I114" s="432">
        <f t="shared" si="18"/>
        <v>2.0981351412120754</v>
      </c>
      <c r="J114" s="432"/>
      <c r="K114" s="432"/>
      <c r="L114" s="115">
        <f>IFERROR(G114*H114/10^6,0)</f>
        <v>4.6398333179679767</v>
      </c>
    </row>
    <row r="115" spans="1:40" hidden="1" outlineLevel="1">
      <c r="A115" s="70" t="str">
        <f t="shared" si="16"/>
        <v/>
      </c>
      <c r="B115" s="1" t="s">
        <v>43</v>
      </c>
      <c r="C115" s="1" t="s">
        <v>237</v>
      </c>
      <c r="D115" s="1" t="s">
        <v>258</v>
      </c>
      <c r="E115" s="1" t="str">
        <f>'Census 2011_17'!B$121</f>
        <v>Middle Income</v>
      </c>
      <c r="F115" t="s">
        <v>14</v>
      </c>
      <c r="G115" s="479">
        <v>1.78495266104127</v>
      </c>
      <c r="H115" s="115">
        <f>SUMIFS('Census 2011_17'!$O$111:$O$238,'Census 2011_17'!$A$111:$A$238,Energy_Balance!F115,'Census 2011_17'!$B$111:$B$238,Energy_Balance!E115,'Census 2011_17'!$C$111:$C$238,Energy_Balance!B115)</f>
        <v>163389.19727450685</v>
      </c>
      <c r="I115" s="432">
        <f t="shared" si="18"/>
        <v>2.2949532423457586</v>
      </c>
      <c r="J115" s="432"/>
      <c r="K115" s="432">
        <f>G112</f>
        <v>7.4070218873126263</v>
      </c>
      <c r="L115" s="115">
        <f>IFERROR(K115*H115/10^6,0)</f>
        <v>1.2102273603627127</v>
      </c>
    </row>
    <row r="116" spans="1:40" hidden="1" outlineLevel="1">
      <c r="A116" s="70" t="str">
        <f t="shared" si="16"/>
        <v/>
      </c>
      <c r="B116" s="1" t="s">
        <v>7</v>
      </c>
      <c r="C116" s="1" t="s">
        <v>239</v>
      </c>
      <c r="D116" s="1" t="s">
        <v>258</v>
      </c>
      <c r="E116" s="1" t="str">
        <f>'Census 2011_17'!B$121</f>
        <v>Middle Income</v>
      </c>
      <c r="F116" t="s">
        <v>14</v>
      </c>
      <c r="G116" s="479">
        <v>14.617315035013641</v>
      </c>
      <c r="H116" s="115">
        <f>SUMIFS('Census 2011_17'!$O$111:$O$238,'Census 2011_17'!$A$111:$A$238,Energy_Balance!F116,'Census 2011_17'!$B$111:$B$238,Energy_Balance!E116,'Census 2011_17'!$C$111:$C$238,Energy_Balance!B116)</f>
        <v>679987.64546150831</v>
      </c>
      <c r="I116" s="432">
        <f t="shared" si="18"/>
        <v>6.1152168202815496</v>
      </c>
      <c r="J116" s="432"/>
      <c r="K116" s="432"/>
      <c r="L116" s="115">
        <f>IFERROR(G116*H116/10^6,0)</f>
        <v>9.9395936336280304</v>
      </c>
    </row>
    <row r="117" spans="1:40" hidden="1" outlineLevel="1">
      <c r="A117" s="70" t="str">
        <f t="shared" si="16"/>
        <v/>
      </c>
      <c r="B117" t="s">
        <v>9</v>
      </c>
      <c r="C117" s="1" t="s">
        <v>240</v>
      </c>
      <c r="D117" s="1" t="s">
        <v>258</v>
      </c>
      <c r="E117" s="1" t="str">
        <f>'Census 2011_17'!B$121</f>
        <v>Middle Income</v>
      </c>
      <c r="F117" t="s">
        <v>14</v>
      </c>
      <c r="G117" s="479">
        <v>14.617315035013641</v>
      </c>
      <c r="H117" s="115">
        <f>SUMIFS('Census 2011_17'!$O$111:$O$238,'Census 2011_17'!$A$111:$A$238,Energy_Balance!F117,'Census 2011_17'!$B$111:$B$238,Energy_Balance!E117,'Census 2011_17'!$C$111:$C$238,Energy_Balance!B117)</f>
        <v>28442.055566113097</v>
      </c>
      <c r="I117" s="432">
        <f t="shared" si="18"/>
        <v>0.97280809955558833</v>
      </c>
      <c r="J117" s="432"/>
      <c r="K117" s="432"/>
      <c r="L117" s="115">
        <f>IFERROR(G117*H117/10^6,0)</f>
        <v>0.41574648645323842</v>
      </c>
      <c r="AH117" s="3"/>
      <c r="AI117" s="3"/>
      <c r="AJ117" s="3"/>
      <c r="AK117" s="3"/>
      <c r="AL117" s="3"/>
      <c r="AM117" s="3"/>
      <c r="AN117" s="3"/>
    </row>
    <row r="118" spans="1:40" hidden="1" outlineLevel="1">
      <c r="A118" s="70" t="str">
        <f t="shared" si="16"/>
        <v/>
      </c>
      <c r="B118" s="1" t="s">
        <v>166</v>
      </c>
      <c r="C118" s="1" t="s">
        <v>168</v>
      </c>
      <c r="D118" s="1" t="s">
        <v>258</v>
      </c>
      <c r="E118" s="1" t="str">
        <f>'Census 2011_17'!B$121</f>
        <v>Middle Income</v>
      </c>
      <c r="F118" t="s">
        <v>14</v>
      </c>
      <c r="G118" s="479" t="s">
        <v>57</v>
      </c>
      <c r="H118" s="115">
        <f>SUMIFS('Census 2011_17'!$O$111:$O$238,'Census 2011_17'!$A$111:$A$238,Energy_Balance!F118,'Census 2011_17'!$B$111:$B$238,Energy_Balance!E118,'Census 2011_17'!$C$111:$C$238,Energy_Balance!B118)</f>
        <v>0</v>
      </c>
      <c r="I118" s="432"/>
      <c r="J118" s="432"/>
      <c r="K118" s="432"/>
      <c r="L118" s="115">
        <f>IFERROR(G118*H118/10^6,0)</f>
        <v>0</v>
      </c>
      <c r="AH118" s="3"/>
      <c r="AI118" s="3"/>
      <c r="AJ118" s="3"/>
      <c r="AK118" s="3"/>
      <c r="AL118" s="3"/>
      <c r="AM118" s="3"/>
      <c r="AN118" s="3"/>
    </row>
    <row r="119" spans="1:40" hidden="1" outlineLevel="1">
      <c r="A119" s="70" t="str">
        <f t="shared" si="16"/>
        <v/>
      </c>
      <c r="B119" s="1"/>
      <c r="C119" s="1"/>
      <c r="D119" s="1"/>
      <c r="E119" s="5" t="s">
        <v>427</v>
      </c>
      <c r="F119" s="5" t="s">
        <v>452</v>
      </c>
      <c r="G119" s="479" t="s">
        <v>57</v>
      </c>
      <c r="H119" s="272">
        <f>SUM(H112:H118)</f>
        <v>5472124.5303092701</v>
      </c>
      <c r="I119" s="431"/>
      <c r="J119" s="431"/>
      <c r="K119" s="431"/>
      <c r="L119" s="272"/>
      <c r="AH119" s="3"/>
      <c r="AI119" s="3"/>
      <c r="AJ119" s="3"/>
      <c r="AK119" s="3"/>
      <c r="AL119" s="3"/>
      <c r="AM119" s="3"/>
      <c r="AN119" s="3"/>
    </row>
    <row r="120" spans="1:40" hidden="1">
      <c r="A120" s="70" t="str">
        <f t="shared" si="16"/>
        <v>*</v>
      </c>
      <c r="B120" s="69" t="s">
        <v>446</v>
      </c>
      <c r="C120" s="69"/>
      <c r="D120" s="69"/>
      <c r="G120" s="479" t="s">
        <v>57</v>
      </c>
      <c r="H120" s="115"/>
      <c r="I120" s="432"/>
      <c r="J120" s="432"/>
      <c r="K120" s="432"/>
      <c r="L120" s="115"/>
      <c r="AH120" s="3"/>
      <c r="AI120" s="3"/>
      <c r="AJ120" s="3"/>
      <c r="AK120" s="3"/>
      <c r="AL120" s="3"/>
      <c r="AM120" s="3"/>
      <c r="AN120" s="3"/>
    </row>
    <row r="121" spans="1:40" outlineLevel="2">
      <c r="A121" s="70" t="str">
        <f t="shared" si="16"/>
        <v/>
      </c>
      <c r="B121" s="1" t="s">
        <v>42</v>
      </c>
      <c r="C121" s="1" t="s">
        <v>236</v>
      </c>
      <c r="D121" s="1" t="s">
        <v>259</v>
      </c>
      <c r="E121" s="1" t="str">
        <f>'Census 2011_17'!B$121</f>
        <v>Middle Income</v>
      </c>
      <c r="F121" t="s">
        <v>15</v>
      </c>
      <c r="G121" s="479"/>
      <c r="H121" s="115">
        <f>'Census 2011_17'!H7</f>
        <v>4869498.7466859436</v>
      </c>
      <c r="I121" s="432">
        <f>IFERROR(IF(B121="paraffin",L121*G$48,IF(B121="electricity",L121*F$48,IF(B121="coal",L121*J$48,IF(B121="Gas",L121*H$48,IF(B121="wood",L121*I$48,L121))))),"")</f>
        <v>11.089511343661943</v>
      </c>
      <c r="J121" s="432"/>
      <c r="K121" s="432">
        <v>2.2773414514603134</v>
      </c>
      <c r="L121" s="115">
        <f>IFERROR(K121*H121/10^6,0)</f>
        <v>11.089511343661943</v>
      </c>
      <c r="AH121" s="3"/>
      <c r="AI121" s="3"/>
      <c r="AJ121" s="3"/>
      <c r="AK121" s="3"/>
      <c r="AL121" s="3"/>
      <c r="AM121" s="3"/>
      <c r="AN121" s="3"/>
    </row>
    <row r="122" spans="1:40" hidden="1" outlineLevel="2">
      <c r="A122" s="70" t="str">
        <f t="shared" si="16"/>
        <v/>
      </c>
      <c r="C122" s="1"/>
      <c r="D122" s="1"/>
      <c r="E122" s="1"/>
      <c r="F122" s="1"/>
      <c r="G122" s="479" t="s">
        <v>57</v>
      </c>
      <c r="H122" s="115"/>
      <c r="I122" s="432"/>
      <c r="J122" s="432"/>
      <c r="K122" s="432"/>
      <c r="L122" s="115"/>
      <c r="AH122" s="3"/>
      <c r="AI122" s="3"/>
      <c r="AJ122" s="3"/>
      <c r="AK122" s="3"/>
      <c r="AL122" s="3"/>
      <c r="AM122" s="3"/>
      <c r="AN122" s="3"/>
    </row>
    <row r="123" spans="1:40" hidden="1">
      <c r="A123" s="70" t="str">
        <f t="shared" ref="A123:A154" si="19">IF(LEFT(B123,1)="\","*","")</f>
        <v>*</v>
      </c>
      <c r="B123" s="69" t="s">
        <v>447</v>
      </c>
      <c r="C123" s="69"/>
      <c r="D123" s="69"/>
      <c r="E123" s="1"/>
      <c r="F123" s="69"/>
      <c r="G123" s="479" t="s">
        <v>57</v>
      </c>
      <c r="H123" s="115"/>
      <c r="I123" s="432"/>
      <c r="J123" s="432"/>
      <c r="K123" s="432"/>
      <c r="L123" s="115"/>
      <c r="AH123" s="3"/>
      <c r="AI123" s="3"/>
      <c r="AJ123" s="3"/>
      <c r="AK123" s="3"/>
      <c r="AL123" s="3"/>
      <c r="AM123" s="3"/>
      <c r="AN123" s="3"/>
    </row>
    <row r="124" spans="1:40" outlineLevel="2">
      <c r="A124" s="70" t="str">
        <f t="shared" si="19"/>
        <v/>
      </c>
      <c r="B124" s="1" t="s">
        <v>42</v>
      </c>
      <c r="C124" s="1" t="s">
        <v>236</v>
      </c>
      <c r="D124" s="1" t="s">
        <v>260</v>
      </c>
      <c r="E124" s="1" t="str">
        <f>'Census 2011_17'!B$121</f>
        <v>Middle Income</v>
      </c>
      <c r="F124" t="s">
        <v>41</v>
      </c>
      <c r="G124" s="479"/>
      <c r="H124" s="115">
        <f>'Census 2011_17'!H7</f>
        <v>4869498.7466859436</v>
      </c>
      <c r="I124" s="432">
        <f>IFERROR(IF(B124="paraffin",L124*G$48,IF(B124="electricity",L124*F$48,IF(B124="coal",L124*J$48,IF(B124="Gas",L124*H$48,IF(B124="wood",L124*I$48,L124))))),"")</f>
        <v>13.209914572710195</v>
      </c>
      <c r="J124" s="432"/>
      <c r="K124" s="432">
        <v>2.7127873442211121</v>
      </c>
      <c r="L124" s="115">
        <f>IFERROR(K124*H124/10^6,0)</f>
        <v>13.209914572710195</v>
      </c>
      <c r="AD124" s="1"/>
      <c r="AH124" s="3"/>
      <c r="AI124" s="3"/>
      <c r="AJ124" s="3"/>
      <c r="AK124" s="3"/>
      <c r="AL124" s="3"/>
      <c r="AM124" s="3"/>
      <c r="AN124" s="3"/>
    </row>
    <row r="125" spans="1:40" hidden="1" outlineLevel="2">
      <c r="A125" s="70" t="str">
        <f t="shared" si="19"/>
        <v/>
      </c>
      <c r="B125" s="1" t="s">
        <v>17</v>
      </c>
      <c r="C125" s="1" t="s">
        <v>238</v>
      </c>
      <c r="D125" s="1" t="s">
        <v>295</v>
      </c>
      <c r="E125" s="1" t="str">
        <f>'Census 2011_17'!B$121</f>
        <v>Middle Income</v>
      </c>
      <c r="F125" t="s">
        <v>41</v>
      </c>
      <c r="G125" s="479" t="s">
        <v>57</v>
      </c>
      <c r="H125" s="115">
        <v>0</v>
      </c>
      <c r="I125" s="432"/>
      <c r="J125" s="432"/>
      <c r="K125" s="432"/>
      <c r="L125" s="115"/>
      <c r="AH125" s="3"/>
      <c r="AI125" s="3"/>
      <c r="AJ125" s="3"/>
      <c r="AK125" s="3"/>
      <c r="AL125" s="3"/>
      <c r="AM125" s="3"/>
      <c r="AN125" s="3"/>
    </row>
    <row r="126" spans="1:40" hidden="1" outlineLevel="2">
      <c r="A126" s="70" t="str">
        <f t="shared" si="19"/>
        <v/>
      </c>
      <c r="C126" s="1"/>
      <c r="D126" s="1"/>
      <c r="E126" s="5" t="s">
        <v>427</v>
      </c>
      <c r="F126" s="5" t="s">
        <v>453</v>
      </c>
      <c r="G126" s="479" t="s">
        <v>57</v>
      </c>
      <c r="H126" s="272"/>
      <c r="I126" s="431"/>
      <c r="J126" s="431"/>
      <c r="K126" s="431"/>
      <c r="L126" s="272"/>
    </row>
    <row r="127" spans="1:40" hidden="1">
      <c r="A127" s="70" t="str">
        <f t="shared" si="19"/>
        <v>*</v>
      </c>
      <c r="B127" s="258" t="s">
        <v>121</v>
      </c>
      <c r="C127" s="69"/>
      <c r="D127" s="69"/>
      <c r="G127" s="479" t="s">
        <v>57</v>
      </c>
      <c r="H127" s="115"/>
      <c r="I127" s="432"/>
      <c r="J127" s="432"/>
      <c r="K127" s="432"/>
      <c r="L127" s="115"/>
    </row>
    <row r="128" spans="1:40" outlineLevel="1">
      <c r="A128" s="70" t="str">
        <f t="shared" si="19"/>
        <v/>
      </c>
      <c r="B128" s="259" t="s">
        <v>42</v>
      </c>
      <c r="C128" s="1" t="s">
        <v>236</v>
      </c>
      <c r="D128" s="1" t="s">
        <v>261</v>
      </c>
      <c r="E128" s="1" t="str">
        <f>'Census 2011_17'!B$131</f>
        <v>High Income</v>
      </c>
      <c r="F128" t="s">
        <v>11</v>
      </c>
      <c r="G128" s="479"/>
      <c r="H128" s="115">
        <f>'Census 2011_17'!H5</f>
        <v>4176066.0172229088</v>
      </c>
      <c r="I128" s="432">
        <f>IFERROR(IF(B128="paraffin",L128*G$48,IF(B128="electricity",L128*F$48,IF(B128="coal",L128*J$48,IF(B128="Gas",L128*H$48,IF(B128="wood",L128*I$48,L128))))),"")</f>
        <v>6.928739896458783</v>
      </c>
      <c r="J128" s="432"/>
      <c r="K128" s="432">
        <v>1.6591547805717897</v>
      </c>
      <c r="L128" s="115">
        <f>IFERROR(K128*H128/10^6,0)</f>
        <v>6.928739896458783</v>
      </c>
    </row>
    <row r="129" spans="1:12" hidden="1" outlineLevel="1">
      <c r="A129" s="70" t="str">
        <f t="shared" si="19"/>
        <v/>
      </c>
      <c r="B129" s="260"/>
      <c r="E129" s="5" t="s">
        <v>25</v>
      </c>
      <c r="F129" s="5" t="s">
        <v>454</v>
      </c>
      <c r="G129" s="480" t="s">
        <v>57</v>
      </c>
      <c r="H129" s="272">
        <f>H128</f>
        <v>4176066.0172229088</v>
      </c>
      <c r="I129" s="431"/>
      <c r="J129" s="431"/>
      <c r="K129" s="431"/>
      <c r="L129" s="272"/>
    </row>
    <row r="130" spans="1:12" hidden="1">
      <c r="A130" s="70" t="str">
        <f t="shared" si="19"/>
        <v>*</v>
      </c>
      <c r="B130" s="258" t="s">
        <v>441</v>
      </c>
      <c r="C130" s="69"/>
      <c r="D130" s="69"/>
      <c r="E130" s="1"/>
      <c r="F130" s="69"/>
      <c r="G130" s="479" t="s">
        <v>57</v>
      </c>
      <c r="H130" s="115"/>
      <c r="I130" s="432"/>
      <c r="J130" s="432"/>
      <c r="K130" s="432"/>
      <c r="L130" s="115"/>
    </row>
    <row r="131" spans="1:12" outlineLevel="1">
      <c r="A131" s="70" t="str">
        <f t="shared" si="19"/>
        <v/>
      </c>
      <c r="B131" s="260" t="s">
        <v>42</v>
      </c>
      <c r="C131" s="1" t="s">
        <v>236</v>
      </c>
      <c r="D131" s="1" t="s">
        <v>262</v>
      </c>
      <c r="E131" s="1" t="str">
        <f>'Census 2011_17'!B$131</f>
        <v>High Income</v>
      </c>
      <c r="F131" s="1" t="str">
        <f>'Census 2011_17'!A$111</f>
        <v>Cooking</v>
      </c>
      <c r="G131" s="479"/>
      <c r="H131" s="115">
        <f>H128</f>
        <v>4176066.0172229088</v>
      </c>
      <c r="I131" s="432">
        <f t="shared" ref="I131:I136" si="20">IFERROR(IF(B131="paraffin",L131*G$48,IF(B131="electricity",L131*F$48,IF(B131="coal",L131*J$48,IF(B131="Gas",L131*H$48,IF(B131="wood",L131*I$48,L131))))),"")</f>
        <v>9.6733257786328029</v>
      </c>
      <c r="J131" s="432"/>
      <c r="K131" s="432">
        <v>2.3163728108555097</v>
      </c>
      <c r="L131" s="115">
        <f>IFERROR(K131*H131/10^6,0)</f>
        <v>9.6733257786328029</v>
      </c>
    </row>
    <row r="132" spans="1:12" hidden="1" outlineLevel="1">
      <c r="A132" s="70" t="str">
        <f t="shared" si="19"/>
        <v/>
      </c>
      <c r="B132" s="260" t="s">
        <v>17</v>
      </c>
      <c r="C132" s="1" t="s">
        <v>238</v>
      </c>
      <c r="D132" s="1" t="s">
        <v>262</v>
      </c>
      <c r="E132" s="1" t="str">
        <f>'Census 2011_17'!B$131</f>
        <v>High Income</v>
      </c>
      <c r="F132" s="1" t="str">
        <f>'Census 2011_17'!A$111</f>
        <v>Cooking</v>
      </c>
      <c r="G132" s="479">
        <v>3.8435040000000011</v>
      </c>
      <c r="H132" s="115">
        <f>SUMIFS('Census 2011_17'!$O$111:$O$238,'Census 2011_17'!$A$111:$A$238,Energy_Balance!F132,'Census 2011_17'!$B$111:$B$238,Energy_Balance!E132,'Census 2011_17'!$C$111:$C$238,Energy_Balance!B132)</f>
        <v>53257.762733822565</v>
      </c>
      <c r="I132" s="432">
        <f t="shared" si="20"/>
        <v>9.2563833924448141E-2</v>
      </c>
      <c r="J132" s="432"/>
      <c r="K132" s="432"/>
      <c r="L132" s="115">
        <f>IFERROR(G132*H132/10^6,0)</f>
        <v>0.204696424098498</v>
      </c>
    </row>
    <row r="133" spans="1:12" hidden="1" outlineLevel="1">
      <c r="A133" s="70" t="str">
        <f t="shared" si="19"/>
        <v/>
      </c>
      <c r="B133" s="259" t="s">
        <v>43</v>
      </c>
      <c r="C133" s="1" t="s">
        <v>237</v>
      </c>
      <c r="D133" s="1" t="s">
        <v>262</v>
      </c>
      <c r="E133" s="1" t="str">
        <f>'Census 2011_17'!B$131</f>
        <v>High Income</v>
      </c>
      <c r="F133" s="1" t="str">
        <f>'Census 2011_17'!A$111</f>
        <v>Cooking</v>
      </c>
      <c r="G133" s="479">
        <v>3.214512</v>
      </c>
      <c r="H133" s="115">
        <f>SUMIFS('Census 2011_17'!$O$111:$O$238,'Census 2011_17'!$A$111:$A$238,Energy_Balance!F133,'Census 2011_17'!$B$111:$B$238,Energy_Balance!E133,'Census 2011_17'!$C$111:$C$238,Energy_Balance!B133)</f>
        <v>329232.13998518517</v>
      </c>
      <c r="I133" s="432">
        <f t="shared" si="20"/>
        <v>2.3995866483591111</v>
      </c>
      <c r="J133" s="432"/>
      <c r="K133" s="432">
        <f>G132</f>
        <v>3.8435040000000011</v>
      </c>
      <c r="L133" s="115">
        <f>IFERROR(K133*H133/10^6,0)</f>
        <v>1.2654050469616196</v>
      </c>
    </row>
    <row r="134" spans="1:12" hidden="1" outlineLevel="1">
      <c r="A134" s="70" t="str">
        <f t="shared" si="19"/>
        <v/>
      </c>
      <c r="B134" s="260" t="s">
        <v>7</v>
      </c>
      <c r="C134" s="1" t="s">
        <v>239</v>
      </c>
      <c r="D134" s="1" t="s">
        <v>262</v>
      </c>
      <c r="E134" s="1" t="str">
        <f>'Census 2011_17'!B$131</f>
        <v>High Income</v>
      </c>
      <c r="F134" s="1" t="str">
        <f>'Census 2011_17'!A$111</f>
        <v>Cooking</v>
      </c>
      <c r="G134" s="479">
        <v>21.283149999999999</v>
      </c>
      <c r="H134" s="115">
        <f>SUMIFS('Census 2011_17'!$O$111:$O$238,'Census 2011_17'!$A$111:$A$238,Energy_Balance!F134,'Census 2011_17'!$B$111:$B$238,Energy_Balance!E134,'Census 2011_17'!$C$111:$C$238,Energy_Balance!B134)</f>
        <v>75876.745559416202</v>
      </c>
      <c r="I134" s="432">
        <f t="shared" si="20"/>
        <v>0.99354566271501477</v>
      </c>
      <c r="J134" s="432"/>
      <c r="K134" s="432"/>
      <c r="L134" s="115">
        <f>IFERROR(G134*H134/10^6,0)</f>
        <v>1.6148961572528888</v>
      </c>
    </row>
    <row r="135" spans="1:12" hidden="1" outlineLevel="1">
      <c r="A135" s="70" t="str">
        <f t="shared" si="19"/>
        <v/>
      </c>
      <c r="B135" s="260" t="s">
        <v>9</v>
      </c>
      <c r="C135" s="1" t="s">
        <v>240</v>
      </c>
      <c r="D135" s="1" t="s">
        <v>262</v>
      </c>
      <c r="E135" s="1" t="str">
        <f>'Census 2011_17'!B$131</f>
        <v>High Income</v>
      </c>
      <c r="F135" s="1" t="str">
        <f>'Census 2011_17'!A$111</f>
        <v>Cooking</v>
      </c>
      <c r="G135" s="479" t="s">
        <v>57</v>
      </c>
      <c r="H135" s="115">
        <f>SUMIFS('Census 2011_17'!$O$111:$O$238,'Census 2011_17'!$A$111:$A$238,Energy_Balance!F135,'Census 2011_17'!$B$111:$B$238,Energy_Balance!E135,'Census 2011_17'!$C$111:$C$238,Energy_Balance!B135)</f>
        <v>6167.8527309642832</v>
      </c>
      <c r="I135" s="432">
        <f t="shared" si="20"/>
        <v>0</v>
      </c>
      <c r="J135" s="432"/>
      <c r="K135" s="432"/>
      <c r="L135" s="115">
        <f>IFERROR(G135*H135/10^6,0)</f>
        <v>0</v>
      </c>
    </row>
    <row r="136" spans="1:12" hidden="1" outlineLevel="1">
      <c r="A136" s="70" t="str">
        <f t="shared" si="19"/>
        <v/>
      </c>
      <c r="B136" s="260" t="s">
        <v>166</v>
      </c>
      <c r="C136" s="1" t="s">
        <v>168</v>
      </c>
      <c r="D136" s="1" t="s">
        <v>262</v>
      </c>
      <c r="E136" s="1" t="str">
        <f>'Census 2011_17'!B$131</f>
        <v>High Income</v>
      </c>
      <c r="F136" s="1" t="str">
        <f>'Census 2011_17'!A$111</f>
        <v>Cooking</v>
      </c>
      <c r="G136" s="479" t="s">
        <v>57</v>
      </c>
      <c r="H136" s="115">
        <f>SUMIFS('Census 2011_17'!$O$111:$O$238,'Census 2011_17'!$A$111:$A$238,Energy_Balance!F136,'Census 2011_17'!$B$111:$B$238,Energy_Balance!E136,'Census 2011_17'!$C$111:$C$238,Energy_Balance!B136)</f>
        <v>0</v>
      </c>
      <c r="I136" s="432">
        <f t="shared" si="20"/>
        <v>0</v>
      </c>
      <c r="J136" s="432"/>
      <c r="K136" s="432"/>
      <c r="L136" s="115">
        <f>IFERROR(G136*H136/10^6,0)</f>
        <v>0</v>
      </c>
    </row>
    <row r="137" spans="1:12" hidden="1" outlineLevel="1">
      <c r="A137" s="70" t="str">
        <f t="shared" si="19"/>
        <v/>
      </c>
      <c r="B137" s="260"/>
      <c r="E137" s="5" t="s">
        <v>25</v>
      </c>
      <c r="F137" s="5" t="s">
        <v>450</v>
      </c>
      <c r="G137" s="480" t="s">
        <v>57</v>
      </c>
      <c r="H137" s="272">
        <f>SUM(H131:H136)</f>
        <v>4640600.5182322962</v>
      </c>
      <c r="I137" s="431"/>
      <c r="J137" s="431"/>
      <c r="K137" s="431"/>
      <c r="L137" s="272"/>
    </row>
    <row r="138" spans="1:12" hidden="1">
      <c r="A138" s="70" t="str">
        <f t="shared" si="19"/>
        <v>*</v>
      </c>
      <c r="B138" s="258" t="s">
        <v>122</v>
      </c>
      <c r="C138" s="69"/>
      <c r="D138" s="69"/>
      <c r="G138" s="479" t="s">
        <v>57</v>
      </c>
      <c r="H138" s="115"/>
      <c r="I138" s="432"/>
      <c r="J138" s="432"/>
      <c r="K138" s="432"/>
      <c r="L138" s="115"/>
    </row>
    <row r="139" spans="1:12" outlineLevel="1">
      <c r="A139" s="70" t="str">
        <f t="shared" si="19"/>
        <v/>
      </c>
      <c r="B139" s="259" t="s">
        <v>42</v>
      </c>
      <c r="C139" s="1" t="s">
        <v>236</v>
      </c>
      <c r="D139" s="1" t="s">
        <v>246</v>
      </c>
      <c r="E139" s="1" t="str">
        <f>'Census 2011_17'!B$131</f>
        <v>High Income</v>
      </c>
      <c r="F139" s="1" t="str">
        <f>'Census 2011_17'!A$142</f>
        <v>Space heating</v>
      </c>
      <c r="G139" s="479">
        <v>2.7648000000000001</v>
      </c>
      <c r="H139" s="115">
        <f>H131</f>
        <v>4176066.0172229088</v>
      </c>
      <c r="I139" s="432">
        <f t="shared" ref="I139:I144" si="21">IFERROR(IF(B139="paraffin",L139*G$48,IF(B139="electricity",L139*F$48,IF(B139="coal",L139*J$48,IF(B139="Gas",L139*H$48,IF(B139="wood",L139*I$48,L139))))),"")</f>
        <v>2.6591717184265713</v>
      </c>
      <c r="J139" s="432"/>
      <c r="K139" s="432">
        <v>0.63676477035076307</v>
      </c>
      <c r="L139" s="115">
        <f>IFERROR(K139*H139/10^6,0)</f>
        <v>2.6591717184265713</v>
      </c>
    </row>
    <row r="140" spans="1:12" hidden="1" outlineLevel="1">
      <c r="A140" s="70" t="str">
        <f t="shared" si="19"/>
        <v/>
      </c>
      <c r="B140" s="259" t="s">
        <v>17</v>
      </c>
      <c r="C140" s="1" t="s">
        <v>238</v>
      </c>
      <c r="D140" s="1" t="s">
        <v>246</v>
      </c>
      <c r="E140" s="1" t="str">
        <f>'Census 2011_17'!B$131</f>
        <v>High Income</v>
      </c>
      <c r="F140" s="1" t="str">
        <f>'Census 2011_17'!A$142</f>
        <v>Space heating</v>
      </c>
      <c r="G140" s="479">
        <v>0.55500000000000005</v>
      </c>
      <c r="H140" s="115">
        <f>SUMIFS('Census 2011_17'!$O$111:$O$238,'Census 2011_17'!$A$111:$A$238,Energy_Balance!F140,'Census 2011_17'!$B$111:$B$238,Energy_Balance!E140,'Census 2011_17'!$C$111:$C$238,Energy_Balance!B140)</f>
        <v>101549.78934897445</v>
      </c>
      <c r="I140" s="432">
        <f t="shared" si="21"/>
        <v>2.5486082730346662E-2</v>
      </c>
      <c r="J140" s="432"/>
      <c r="K140" s="432"/>
      <c r="L140" s="115">
        <f>IFERROR(G140*H140/10^6,0)</f>
        <v>5.6360133088680819E-2</v>
      </c>
    </row>
    <row r="141" spans="1:12" hidden="1" outlineLevel="1">
      <c r="A141" s="70" t="str">
        <f t="shared" si="19"/>
        <v/>
      </c>
      <c r="B141" s="259" t="s">
        <v>43</v>
      </c>
      <c r="C141" s="1" t="s">
        <v>237</v>
      </c>
      <c r="D141" s="1" t="s">
        <v>246</v>
      </c>
      <c r="E141" s="1" t="str">
        <f>'Census 2011_17'!B$131</f>
        <v>High Income</v>
      </c>
      <c r="F141" s="1" t="str">
        <f>'Census 2011_17'!A$142</f>
        <v>Space heating</v>
      </c>
      <c r="G141" s="479">
        <v>2.0699999999999998</v>
      </c>
      <c r="H141" s="115">
        <f>SUMIFS('Census 2011_17'!$O$111:$O$238,'Census 2011_17'!$A$111:$A$238,Energy_Balance!F141,'Census 2011_17'!$B$111:$B$238,Energy_Balance!E141,'Census 2011_17'!$C$111:$C$238,Energy_Balance!B141)</f>
        <v>105231.61955599848</v>
      </c>
      <c r="I141" s="432">
        <f t="shared" si="21"/>
        <v>2.206870457913674</v>
      </c>
      <c r="J141" s="432"/>
      <c r="K141" s="432">
        <f>G139*4</f>
        <v>11.059200000000001</v>
      </c>
      <c r="L141" s="115">
        <f>IFERROR(K141*H141/10^6,0)</f>
        <v>1.1637775269936985</v>
      </c>
    </row>
    <row r="142" spans="1:12" hidden="1" outlineLevel="1">
      <c r="A142" s="70" t="str">
        <f t="shared" si="19"/>
        <v/>
      </c>
      <c r="B142" s="259" t="s">
        <v>7</v>
      </c>
      <c r="C142" s="1" t="s">
        <v>239</v>
      </c>
      <c r="D142" s="1" t="s">
        <v>246</v>
      </c>
      <c r="E142" s="1" t="str">
        <f>'Census 2011_17'!B$131</f>
        <v>High Income</v>
      </c>
      <c r="F142" s="1" t="str">
        <f>'Census 2011_17'!A$142</f>
        <v>Space heating</v>
      </c>
      <c r="G142" s="479">
        <v>4.1263249999999996</v>
      </c>
      <c r="H142" s="115">
        <f>SUMIFS('Census 2011_17'!$O$111:$O$238,'Census 2011_17'!$A$111:$A$238,Energy_Balance!F142,'Census 2011_17'!$B$111:$B$238,Energy_Balance!E142,'Census 2011_17'!$C$111:$C$238,Energy_Balance!B142)</f>
        <v>96594.543577338511</v>
      </c>
      <c r="I142" s="432">
        <f t="shared" si="21"/>
        <v>0.24522190197486701</v>
      </c>
      <c r="J142" s="432"/>
      <c r="K142" s="432"/>
      <c r="L142" s="115">
        <f>IFERROR(G142*H142/10^6,0)</f>
        <v>0.39858048002676133</v>
      </c>
    </row>
    <row r="143" spans="1:12" hidden="1" outlineLevel="1">
      <c r="A143" s="70" t="str">
        <f t="shared" si="19"/>
        <v/>
      </c>
      <c r="B143" s="260" t="s">
        <v>9</v>
      </c>
      <c r="C143" s="1" t="s">
        <v>240</v>
      </c>
      <c r="D143" s="1" t="s">
        <v>246</v>
      </c>
      <c r="E143" s="1" t="str">
        <f>'Census 2011_17'!B$131</f>
        <v>High Income</v>
      </c>
      <c r="F143" s="1" t="str">
        <f>'Census 2011_17'!A$142</f>
        <v>Space heating</v>
      </c>
      <c r="G143" s="479">
        <v>30.180600000000002</v>
      </c>
      <c r="H143" s="115">
        <f>SUMIFS('Census 2011_17'!$O$111:$O$238,'Census 2011_17'!$A$111:$A$238,Energy_Balance!F143,'Census 2011_17'!$B$111:$B$238,Energy_Balance!E143,'Census 2011_17'!$C$111:$C$238,Energy_Balance!B143)</f>
        <v>17529.388070357491</v>
      </c>
      <c r="I143" s="432">
        <f t="shared" si="21"/>
        <v>1.2379218124175966</v>
      </c>
      <c r="J143" s="432"/>
      <c r="K143" s="432"/>
      <c r="L143" s="115">
        <f>IFERROR(G143*H143/10^6,0)</f>
        <v>0.52904744959623129</v>
      </c>
    </row>
    <row r="144" spans="1:12" hidden="1" outlineLevel="1">
      <c r="A144" s="70" t="str">
        <f t="shared" si="19"/>
        <v/>
      </c>
      <c r="B144" s="259" t="s">
        <v>166</v>
      </c>
      <c r="C144" s="1" t="s">
        <v>168</v>
      </c>
      <c r="D144" s="1" t="s">
        <v>246</v>
      </c>
      <c r="E144" s="1" t="str">
        <f>'Census 2011_17'!B$131</f>
        <v>High Income</v>
      </c>
      <c r="F144" s="1" t="str">
        <f>'Census 2011_17'!A$142</f>
        <v>Space heating</v>
      </c>
      <c r="G144" s="479" t="s">
        <v>57</v>
      </c>
      <c r="H144" s="115">
        <f>SUMIFS('Census 2011_17'!$O$111:$O$238,'Census 2011_17'!$A$111:$A$238,Energy_Balance!F144,'Census 2011_17'!$B$111:$B$238,Energy_Balance!E144,'Census 2011_17'!$C$111:$C$238,Energy_Balance!B144)</f>
        <v>0</v>
      </c>
      <c r="I144" s="432">
        <f t="shared" si="21"/>
        <v>0</v>
      </c>
      <c r="J144" s="432"/>
      <c r="K144" s="432"/>
      <c r="L144" s="115">
        <f>IFERROR(G144*H144/10^6,0)</f>
        <v>0</v>
      </c>
    </row>
    <row r="145" spans="1:30" hidden="1" outlineLevel="1">
      <c r="A145" s="70" t="str">
        <f t="shared" si="19"/>
        <v/>
      </c>
      <c r="B145" s="260"/>
      <c r="E145" s="5" t="s">
        <v>25</v>
      </c>
      <c r="F145" s="5" t="s">
        <v>451</v>
      </c>
      <c r="G145" s="480" t="s">
        <v>57</v>
      </c>
      <c r="H145" s="272">
        <f>SUM(H139:H144)</f>
        <v>4496971.3577755773</v>
      </c>
      <c r="I145" s="431"/>
      <c r="J145" s="431"/>
      <c r="K145" s="431"/>
      <c r="L145" s="272"/>
    </row>
    <row r="146" spans="1:30" hidden="1">
      <c r="A146" s="70" t="str">
        <f t="shared" si="19"/>
        <v>*</v>
      </c>
      <c r="B146" s="258" t="s">
        <v>411</v>
      </c>
      <c r="C146" s="69"/>
      <c r="D146" s="69"/>
      <c r="G146" s="479" t="s">
        <v>57</v>
      </c>
      <c r="H146" s="115"/>
      <c r="I146" s="432"/>
      <c r="J146" s="432"/>
      <c r="K146" s="432"/>
      <c r="L146" s="115"/>
    </row>
    <row r="147" spans="1:30" outlineLevel="2">
      <c r="A147" s="70" t="str">
        <f t="shared" si="19"/>
        <v/>
      </c>
      <c r="B147" s="259" t="s">
        <v>42</v>
      </c>
      <c r="C147" s="1" t="s">
        <v>236</v>
      </c>
      <c r="D147" t="s">
        <v>584</v>
      </c>
      <c r="E147" s="1" t="str">
        <f>'Census 2011_17'!B$131</f>
        <v>High Income</v>
      </c>
      <c r="F147" t="s">
        <v>14</v>
      </c>
      <c r="G147" s="479"/>
      <c r="H147" s="115">
        <v>3477936.5174180027</v>
      </c>
      <c r="I147" s="432">
        <f t="shared" ref="I147:I152" si="22">IFERROR(IF(B147="paraffin",L147*G$48,IF(B147="electricity",L147*F$48,IF(B147="coal",L147*J$48,IF(B147="Gas",L147*H$48,IF(B147="wood",L147*I$48,L147))))),"")</f>
        <v>40.014768265495256</v>
      </c>
      <c r="J147" s="432"/>
      <c r="K147" s="432">
        <v>11.50531876159774</v>
      </c>
      <c r="L147" s="115">
        <f>IFERROR(K147*H147/10^6,0)</f>
        <v>40.014768265495256</v>
      </c>
    </row>
    <row r="148" spans="1:30" hidden="1" outlineLevel="2">
      <c r="A148" s="70" t="str">
        <f t="shared" si="19"/>
        <v/>
      </c>
      <c r="B148" s="259" t="s">
        <v>17</v>
      </c>
      <c r="C148" s="1" t="s">
        <v>238</v>
      </c>
      <c r="D148" s="1" t="s">
        <v>263</v>
      </c>
      <c r="E148" s="1" t="str">
        <f>'Census 2011_17'!B$131</f>
        <v>High Income</v>
      </c>
      <c r="F148" t="s">
        <v>14</v>
      </c>
      <c r="G148" s="479">
        <v>12.291833097625108</v>
      </c>
      <c r="H148" s="115">
        <f>SUMIFS('Census 2011_17'!$O$111:$O$238,'Census 2011_17'!$A$111:$A$238,Energy_Balance!F148,'Census 2011_17'!$B$111:$B$238,Energy_Balance!E148,'Census 2011_17'!$C$111:$C$238,Energy_Balance!B148)</f>
        <v>131568.21435853455</v>
      </c>
      <c r="I148" s="432">
        <f t="shared" si="22"/>
        <v>0.73130528784479287</v>
      </c>
      <c r="J148" s="432"/>
      <c r="K148" s="432"/>
      <c r="L148" s="115">
        <f>IFERROR(G148*H148/10^6,0)</f>
        <v>1.6172145318476701</v>
      </c>
    </row>
    <row r="149" spans="1:30" hidden="1" outlineLevel="2">
      <c r="A149" s="70" t="str">
        <f t="shared" si="19"/>
        <v/>
      </c>
      <c r="B149" s="259" t="s">
        <v>43</v>
      </c>
      <c r="C149" s="1" t="s">
        <v>237</v>
      </c>
      <c r="D149" s="1" t="s">
        <v>263</v>
      </c>
      <c r="E149" s="1" t="str">
        <f>'Census 2011_17'!B$131</f>
        <v>High Income</v>
      </c>
      <c r="F149" t="s">
        <v>14</v>
      </c>
      <c r="G149" s="479">
        <v>11.15595413150794</v>
      </c>
      <c r="H149" s="115">
        <f>SUMIFS('Census 2011_17'!$O$111:$O$238,'Census 2011_17'!$A$111:$A$238,Energy_Balance!F149,'Census 2011_17'!$B$111:$B$238,Energy_Balance!E149,'Census 2011_17'!$C$111:$C$238,Energy_Balance!B149)</f>
        <v>380280.16356051847</v>
      </c>
      <c r="I149" s="432">
        <f t="shared" si="22"/>
        <v>8.0448373228042644</v>
      </c>
      <c r="J149" s="432"/>
      <c r="K149" s="432">
        <f>G149</f>
        <v>11.15595413150794</v>
      </c>
      <c r="L149" s="115">
        <f>IFERROR(K149*H149/10^6,0)</f>
        <v>4.2423880618034815</v>
      </c>
    </row>
    <row r="150" spans="1:30" hidden="1" outlineLevel="2">
      <c r="A150" s="70" t="str">
        <f t="shared" si="19"/>
        <v/>
      </c>
      <c r="B150" s="259" t="s">
        <v>7</v>
      </c>
      <c r="C150" s="1" t="s">
        <v>239</v>
      </c>
      <c r="D150" s="1" t="s">
        <v>263</v>
      </c>
      <c r="E150" s="1" t="str">
        <f>'Census 2011_17'!B$131</f>
        <v>High Income</v>
      </c>
      <c r="F150" t="s">
        <v>14</v>
      </c>
      <c r="G150" s="479">
        <v>18.271643793767051</v>
      </c>
      <c r="H150" s="115">
        <f>SUMIFS('Census 2011_17'!$O$111:$O$238,'Census 2011_17'!$A$111:$A$238,Energy_Balance!F150,'Census 2011_17'!$B$111:$B$238,Energy_Balance!E150,'Census 2011_17'!$C$111:$C$238,Energy_Balance!B150)</f>
        <v>106113.53708848105</v>
      </c>
      <c r="I150" s="432">
        <f t="shared" si="22"/>
        <v>1.1928659498339771</v>
      </c>
      <c r="J150" s="432"/>
      <c r="K150" s="432"/>
      <c r="L150" s="115">
        <f>IFERROR(G150*H150/10^6,0)</f>
        <v>1.9388687513774148</v>
      </c>
    </row>
    <row r="151" spans="1:30" hidden="1" outlineLevel="2">
      <c r="A151" s="70" t="str">
        <f t="shared" si="19"/>
        <v/>
      </c>
      <c r="B151" s="260" t="s">
        <v>9</v>
      </c>
      <c r="C151" s="1" t="s">
        <v>240</v>
      </c>
      <c r="D151" s="1" t="s">
        <v>263</v>
      </c>
      <c r="E151" s="1" t="str">
        <f>'Census 2011_17'!B$131</f>
        <v>High Income</v>
      </c>
      <c r="F151" t="s">
        <v>14</v>
      </c>
      <c r="G151" s="479">
        <v>14.617315035013641</v>
      </c>
      <c r="H151" s="115">
        <f>SUMIFS('Census 2011_17'!$O$111:$O$238,'Census 2011_17'!$A$111:$A$238,Energy_Balance!F151,'Census 2011_17'!$B$111:$B$238,Energy_Balance!E151,'Census 2011_17'!$C$111:$C$238,Energy_Balance!B151)</f>
        <v>6939.9553908544667</v>
      </c>
      <c r="I151" s="432">
        <f t="shared" si="22"/>
        <v>0.23736838566694082</v>
      </c>
      <c r="J151" s="432"/>
      <c r="K151" s="432"/>
      <c r="L151" s="115">
        <f>IFERROR(G151*H151/10^6,0)</f>
        <v>0.10144351427706097</v>
      </c>
    </row>
    <row r="152" spans="1:30" hidden="1" outlineLevel="2">
      <c r="A152" s="70" t="str">
        <f t="shared" si="19"/>
        <v/>
      </c>
      <c r="B152" s="259" t="s">
        <v>166</v>
      </c>
      <c r="C152" s="1" t="s">
        <v>168</v>
      </c>
      <c r="D152" s="1" t="s">
        <v>263</v>
      </c>
      <c r="E152" s="1" t="str">
        <f>'Census 2011_17'!B$131</f>
        <v>High Income</v>
      </c>
      <c r="F152" t="s">
        <v>14</v>
      </c>
      <c r="G152" s="479" t="s">
        <v>57</v>
      </c>
      <c r="H152" s="115">
        <f>SUMIFS('Census 2011_17'!$O$111:$O$238,'Census 2011_17'!$A$111:$A$238,Energy_Balance!F152,'Census 2011_17'!$B$111:$B$238,Energy_Balance!E152,'Census 2011_17'!$C$111:$C$238,Energy_Balance!B152)</f>
        <v>0</v>
      </c>
      <c r="I152" s="432">
        <f t="shared" si="22"/>
        <v>0</v>
      </c>
      <c r="J152" s="432"/>
      <c r="K152" s="432"/>
      <c r="L152" s="115">
        <f>IFERROR(G152*H152/10^6,0)</f>
        <v>0</v>
      </c>
    </row>
    <row r="153" spans="1:30" hidden="1" outlineLevel="2">
      <c r="A153" s="70" t="str">
        <f t="shared" si="19"/>
        <v/>
      </c>
      <c r="B153" s="259"/>
      <c r="C153" s="1"/>
      <c r="D153" s="1"/>
      <c r="E153" s="5" t="s">
        <v>25</v>
      </c>
      <c r="F153" s="5" t="s">
        <v>452</v>
      </c>
      <c r="G153" s="480" t="s">
        <v>57</v>
      </c>
      <c r="H153" s="272">
        <f>SUM(H147:H152)</f>
        <v>4102838.3878163914</v>
      </c>
      <c r="I153" s="431"/>
      <c r="J153" s="431"/>
      <c r="K153" s="431"/>
      <c r="L153" s="272"/>
    </row>
    <row r="154" spans="1:30" hidden="1">
      <c r="A154" s="70" t="str">
        <f t="shared" si="19"/>
        <v>*</v>
      </c>
      <c r="B154" s="258" t="s">
        <v>412</v>
      </c>
      <c r="C154" s="69"/>
      <c r="D154" s="69"/>
      <c r="G154" s="479" t="s">
        <v>57</v>
      </c>
      <c r="H154" s="115"/>
      <c r="I154" s="432"/>
      <c r="J154" s="432"/>
      <c r="K154" s="432"/>
      <c r="L154" s="115"/>
    </row>
    <row r="155" spans="1:30" outlineLevel="3">
      <c r="A155" s="70" t="str">
        <f t="shared" ref="A155:A160" si="23">IF(LEFT(B155,1)="\","*","")</f>
        <v/>
      </c>
      <c r="B155" s="259" t="s">
        <v>42</v>
      </c>
      <c r="C155" s="1" t="s">
        <v>236</v>
      </c>
      <c r="D155" s="1" t="s">
        <v>264</v>
      </c>
      <c r="E155" s="1" t="str">
        <f>'Census 2011_17'!B$131</f>
        <v>High Income</v>
      </c>
      <c r="F155" t="s">
        <v>15</v>
      </c>
      <c r="G155" s="479"/>
      <c r="H155" s="115">
        <f>'Census 2011_17'!H5</f>
        <v>4176066.0172229088</v>
      </c>
      <c r="I155" s="432">
        <f>IFERROR(IF(B155="paraffin",L155*G$48,IF(B155="electricity",L155*F$48,IF(B155="coal",L155*J$48,IF(B155="Gas",L155*H$48,IF(B155="wood",L155*I$48,L155))))),"")</f>
        <v>14.210045674774101</v>
      </c>
      <c r="J155" s="432"/>
      <c r="K155" s="432">
        <v>3.4027349223333894</v>
      </c>
      <c r="L155" s="115">
        <f>IFERROR(K155*H155/10^6,0)</f>
        <v>14.210045674774101</v>
      </c>
    </row>
    <row r="156" spans="1:30" hidden="1" outlineLevel="3">
      <c r="A156" s="70" t="str">
        <f t="shared" si="23"/>
        <v/>
      </c>
      <c r="B156" s="260"/>
      <c r="C156" s="1"/>
      <c r="D156" s="1"/>
      <c r="E156" s="1"/>
      <c r="F156" s="1"/>
      <c r="G156" s="479" t="s">
        <v>57</v>
      </c>
      <c r="H156" s="115"/>
      <c r="I156" s="432"/>
      <c r="J156" s="432"/>
      <c r="K156" s="432"/>
      <c r="L156" s="115"/>
    </row>
    <row r="157" spans="1:30" hidden="1">
      <c r="A157" s="70" t="str">
        <f t="shared" si="23"/>
        <v>*</v>
      </c>
      <c r="B157" s="258" t="s">
        <v>123</v>
      </c>
      <c r="C157" s="69"/>
      <c r="D157" s="69"/>
      <c r="E157" s="1"/>
      <c r="F157" s="69"/>
      <c r="G157" s="479" t="s">
        <v>57</v>
      </c>
      <c r="H157" s="115"/>
      <c r="I157" s="432"/>
      <c r="J157" s="432"/>
      <c r="K157" s="432"/>
      <c r="L157" s="115"/>
    </row>
    <row r="158" spans="1:30" outlineLevel="3">
      <c r="A158" s="70" t="str">
        <f t="shared" si="23"/>
        <v/>
      </c>
      <c r="B158" s="259" t="s">
        <v>42</v>
      </c>
      <c r="C158" s="1" t="s">
        <v>236</v>
      </c>
      <c r="D158" s="1" t="s">
        <v>265</v>
      </c>
      <c r="E158" s="1" t="str">
        <f>'Census 2011_17'!B$131</f>
        <v>High Income</v>
      </c>
      <c r="F158" t="s">
        <v>41</v>
      </c>
      <c r="G158" s="479"/>
      <c r="H158" s="142">
        <f>H155</f>
        <v>4176066.0172229088</v>
      </c>
      <c r="I158" s="432">
        <f>IFERROR(IF(B158="paraffin",L158*G$48,IF(B158="electricity",L158*F$48,IF(B158="coal",L158*J$48,IF(B158="Gas",L158*H$48,IF(B158="wood",L158*I$48,L158))))),"")</f>
        <v>18.463295099783466</v>
      </c>
      <c r="J158" s="432"/>
      <c r="K158" s="432">
        <v>4.4212172469585598</v>
      </c>
      <c r="L158" s="115">
        <f>IFERROR(K158*H158/10^6,0)</f>
        <v>18.463295099783466</v>
      </c>
      <c r="AD158" s="1"/>
    </row>
    <row r="159" spans="1:30" hidden="1" outlineLevel="3">
      <c r="A159" s="70" t="str">
        <f t="shared" si="23"/>
        <v/>
      </c>
      <c r="B159" s="259" t="s">
        <v>17</v>
      </c>
      <c r="C159" s="1" t="s">
        <v>238</v>
      </c>
      <c r="D159" s="1" t="s">
        <v>296</v>
      </c>
      <c r="E159" s="1" t="str">
        <f>'Census 2011_17'!B$131</f>
        <v>High Income</v>
      </c>
      <c r="F159" t="s">
        <v>41</v>
      </c>
      <c r="G159" s="2"/>
      <c r="H159" s="115">
        <v>0</v>
      </c>
      <c r="I159" s="432"/>
      <c r="J159" s="432"/>
      <c r="K159" s="432"/>
      <c r="L159" s="115">
        <f>IFERROR(G159*H159/10^6,0)</f>
        <v>0</v>
      </c>
    </row>
    <row r="160" spans="1:30" hidden="1" outlineLevel="3">
      <c r="A160" s="70" t="str">
        <f t="shared" si="23"/>
        <v/>
      </c>
      <c r="C160" s="1"/>
      <c r="D160" s="1"/>
      <c r="E160" s="5" t="s">
        <v>25</v>
      </c>
      <c r="F160" s="5" t="s">
        <v>453</v>
      </c>
      <c r="G160" s="272"/>
      <c r="H160" s="272">
        <f>SUM(H158:H159)</f>
        <v>4176066.0172229088</v>
      </c>
      <c r="I160" s="431"/>
      <c r="J160" s="431"/>
      <c r="K160" s="431"/>
      <c r="L160" s="272"/>
      <c r="M160" s="272"/>
      <c r="N160" s="272"/>
      <c r="O160" s="272"/>
      <c r="P160" s="272"/>
      <c r="Q160" s="272"/>
      <c r="R160" s="272"/>
      <c r="S160" s="272"/>
      <c r="T160" s="272"/>
      <c r="U160" s="272"/>
      <c r="V160" s="272"/>
      <c r="W160" s="272"/>
      <c r="X160" s="272"/>
      <c r="Y160" s="272"/>
      <c r="Z160" s="272"/>
      <c r="AA160" s="272"/>
      <c r="AB160" s="272"/>
      <c r="AC160" s="272"/>
    </row>
    <row r="171" spans="2:11">
      <c r="E171" t="s">
        <v>49</v>
      </c>
    </row>
    <row r="172" spans="2:11">
      <c r="F172" s="5" t="s">
        <v>42</v>
      </c>
      <c r="G172" s="5" t="s">
        <v>17</v>
      </c>
      <c r="H172" s="5" t="s">
        <v>43</v>
      </c>
      <c r="I172" s="5" t="s">
        <v>7</v>
      </c>
      <c r="J172" s="5" t="s">
        <v>9</v>
      </c>
      <c r="K172" s="5" t="s">
        <v>166</v>
      </c>
    </row>
    <row r="173" spans="2:11">
      <c r="B173" t="s">
        <v>78</v>
      </c>
      <c r="E173" t="s">
        <v>29</v>
      </c>
      <c r="F173" s="3">
        <f>SUMIF($D$15:$D$37,$B173,F$15:F$37)</f>
        <v>35.983116263248547</v>
      </c>
      <c r="G173" s="3">
        <f t="shared" ref="G173:K175" ca="1" si="24">SUMIF($D$15:$D$37,$B173,G$15:G$36)</f>
        <v>5.0246378458959651</v>
      </c>
      <c r="H173" s="3">
        <f t="shared" ca="1" si="24"/>
        <v>1.7204189947617428</v>
      </c>
      <c r="I173" s="3">
        <f t="shared" ca="1" si="24"/>
        <v>53.117810314952692</v>
      </c>
      <c r="J173" s="3">
        <f t="shared" ca="1" si="24"/>
        <v>6.3294044550059487</v>
      </c>
      <c r="K173">
        <f t="shared" ca="1" si="24"/>
        <v>0</v>
      </c>
    </row>
    <row r="174" spans="2:11">
      <c r="B174" t="s">
        <v>458</v>
      </c>
      <c r="E174" t="s">
        <v>30</v>
      </c>
      <c r="F174" s="3">
        <f>SUMIF($D$15:$D$37,$B174,F$15:F$37)</f>
        <v>49.231297395335616</v>
      </c>
      <c r="G174" s="3">
        <f t="shared" ca="1" si="24"/>
        <v>3.7660069496044488</v>
      </c>
      <c r="H174" s="3">
        <f t="shared" ca="1" si="24"/>
        <v>3.5982865761612071</v>
      </c>
      <c r="I174" s="3">
        <f t="shared" ca="1" si="24"/>
        <v>28.217556170523448</v>
      </c>
      <c r="J174" s="3">
        <f t="shared" ca="1" si="24"/>
        <v>7.8123053469095201</v>
      </c>
      <c r="K174">
        <f t="shared" ca="1" si="24"/>
        <v>0</v>
      </c>
    </row>
    <row r="175" spans="2:11">
      <c r="B175" t="s">
        <v>79</v>
      </c>
      <c r="E175" t="s">
        <v>31</v>
      </c>
      <c r="F175" s="3">
        <f>SUMIF($D$15:$D$37,$B175,F$15:F$37)</f>
        <v>91.94934643357098</v>
      </c>
      <c r="G175" s="3">
        <f t="shared" ca="1" si="24"/>
        <v>0.84935520449958768</v>
      </c>
      <c r="H175" s="3">
        <f t="shared" ca="1" si="24"/>
        <v>12.651294429077049</v>
      </c>
      <c r="I175" s="3">
        <f t="shared" ca="1" si="24"/>
        <v>2.4316335145238588</v>
      </c>
      <c r="J175" s="3">
        <f t="shared" ca="1" si="24"/>
        <v>1.4752901980845374</v>
      </c>
      <c r="K175">
        <f t="shared" ca="1" si="24"/>
        <v>0</v>
      </c>
    </row>
    <row r="176" spans="2:11">
      <c r="E176" s="1" t="s">
        <v>27</v>
      </c>
      <c r="F176" s="3">
        <f t="shared" ref="F176:K176" si="25">SUM(F173:F175)</f>
        <v>177.16376009215514</v>
      </c>
      <c r="G176" s="3">
        <f t="shared" ca="1" si="25"/>
        <v>9.6400000000000023</v>
      </c>
      <c r="H176" s="3">
        <f t="shared" ca="1" si="25"/>
        <v>17.97</v>
      </c>
      <c r="I176" s="3">
        <f t="shared" ca="1" si="25"/>
        <v>83.766999999999996</v>
      </c>
      <c r="J176" s="3">
        <f t="shared" ca="1" si="25"/>
        <v>15.617000000000004</v>
      </c>
      <c r="K176">
        <f t="shared" ca="1" si="25"/>
        <v>0</v>
      </c>
    </row>
    <row r="178" spans="2:2">
      <c r="B178" t="s">
        <v>860</v>
      </c>
    </row>
    <row r="197" spans="2:2">
      <c r="B197" s="1"/>
    </row>
  </sheetData>
  <autoFilter ref="B54:I160" xr:uid="{00000000-0001-0000-1300-000000000000}">
    <filterColumn colId="0">
      <filters>
        <filter val="Electricity"/>
      </filters>
    </filterColumn>
  </autoFilter>
  <mergeCells count="1">
    <mergeCell ref="B1:B2"/>
  </mergeCells>
  <pageMargins left="0.7" right="0.7" top="0.75" bottom="0.75" header="0.3" footer="0.3"/>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 filterMode="1">
    <tabColor rgb="FF00B050"/>
  </sheetPr>
  <dimension ref="A1:ELC193"/>
  <sheetViews>
    <sheetView tabSelected="1" topLeftCell="A16" zoomScale="90" zoomScaleNormal="90" workbookViewId="0">
      <selection activeCell="M140" sqref="M140"/>
    </sheetView>
  </sheetViews>
  <sheetFormatPr defaultColWidth="8.85546875" defaultRowHeight="12.75" outlineLevelRow="2" outlineLevelCol="1"/>
  <cols>
    <col min="1" max="1" width="54" customWidth="1"/>
    <col min="2" max="2" width="16.7109375" customWidth="1"/>
    <col min="3" max="3" width="11.42578125" customWidth="1"/>
    <col min="4" max="4" width="8.42578125" customWidth="1"/>
    <col min="5" max="5" width="7.28515625" customWidth="1"/>
    <col min="6" max="6" width="7" customWidth="1"/>
    <col min="7" max="7" width="9" customWidth="1"/>
    <col min="8" max="8" width="9.42578125" customWidth="1"/>
    <col min="9" max="9" width="8.28515625" customWidth="1"/>
    <col min="10" max="10" width="9" customWidth="1"/>
    <col min="11" max="11" width="12.28515625" customWidth="1"/>
    <col min="12" max="12" width="11.28515625" customWidth="1"/>
    <col min="13" max="13" width="10.7109375" customWidth="1"/>
    <col min="14" max="15" width="11.28515625" customWidth="1"/>
    <col min="16" max="19" width="9.85546875" customWidth="1"/>
    <col min="20" max="20" width="5.42578125" customWidth="1"/>
    <col min="21" max="21" width="17.42578125" customWidth="1"/>
    <col min="22" max="22" width="13.42578125" customWidth="1"/>
    <col min="23" max="23" width="8.7109375" style="3" customWidth="1"/>
    <col min="24" max="24" width="8.7109375" customWidth="1"/>
    <col min="25" max="29" width="10.5703125" customWidth="1"/>
    <col min="30" max="30" width="8.42578125" customWidth="1"/>
    <col min="31" max="31" width="12.28515625" customWidth="1"/>
    <col min="32" max="38" width="9.7109375" customWidth="1"/>
    <col min="39" max="39" width="7.140625" customWidth="1"/>
    <col min="40" max="40" width="7.85546875" customWidth="1"/>
    <col min="41" max="41" width="4.7109375" customWidth="1" outlineLevel="1"/>
    <col min="42" max="42" width="10.7109375" hidden="1" customWidth="1" outlineLevel="1"/>
    <col min="43" max="44" width="7.7109375" customWidth="1" outlineLevel="1"/>
    <col min="45" max="45" width="7.42578125" customWidth="1" outlineLevel="1"/>
    <col min="46" max="46" width="13.140625" customWidth="1" outlineLevel="1"/>
    <col min="47" max="47" width="7.7109375" customWidth="1" outlineLevel="1"/>
    <col min="48" max="48" width="7" customWidth="1"/>
    <col min="49" max="49" width="9.140625" customWidth="1"/>
    <col min="50" max="50" width="10" customWidth="1"/>
    <col min="51" max="51" width="6" customWidth="1"/>
    <col min="52" max="52" width="10" customWidth="1"/>
    <col min="53" max="53" width="11.85546875" customWidth="1"/>
    <col min="54" max="68" width="10" customWidth="1"/>
  </cols>
  <sheetData>
    <row r="1" spans="1:182">
      <c r="A1" s="120" t="s">
        <v>74</v>
      </c>
      <c r="B1" s="20" t="s">
        <v>75</v>
      </c>
      <c r="C1" s="20"/>
      <c r="D1" s="20"/>
      <c r="E1" s="20"/>
      <c r="F1" s="237"/>
      <c r="G1" s="237"/>
      <c r="H1" s="120"/>
      <c r="I1" s="20"/>
      <c r="J1" s="120">
        <v>10</v>
      </c>
      <c r="K1" s="21">
        <v>11</v>
      </c>
      <c r="L1" s="120">
        <v>12</v>
      </c>
      <c r="M1" s="21">
        <v>13</v>
      </c>
      <c r="N1" s="120">
        <v>14</v>
      </c>
      <c r="O1" s="21">
        <v>15</v>
      </c>
      <c r="P1" s="21"/>
      <c r="Q1" s="21"/>
      <c r="R1" s="21"/>
      <c r="S1" s="21"/>
      <c r="T1" s="21"/>
      <c r="U1" s="265">
        <v>16</v>
      </c>
      <c r="V1" s="120"/>
      <c r="W1" s="120">
        <v>18</v>
      </c>
      <c r="X1" s="120">
        <v>18</v>
      </c>
      <c r="Y1" s="21">
        <v>19</v>
      </c>
      <c r="Z1" s="120">
        <v>18</v>
      </c>
      <c r="AA1" s="120">
        <v>20</v>
      </c>
      <c r="AB1" s="120">
        <v>18</v>
      </c>
      <c r="AC1" s="21">
        <v>21</v>
      </c>
      <c r="AD1" s="120">
        <v>22</v>
      </c>
      <c r="AE1" s="120"/>
      <c r="AF1" s="21">
        <v>25</v>
      </c>
      <c r="AG1" s="120">
        <v>18</v>
      </c>
      <c r="AH1" s="120">
        <v>26</v>
      </c>
      <c r="AI1" s="120">
        <v>18</v>
      </c>
      <c r="AJ1" s="21">
        <v>27</v>
      </c>
      <c r="AK1" s="120">
        <v>18</v>
      </c>
      <c r="AL1" s="120">
        <v>28</v>
      </c>
      <c r="AM1" s="21">
        <v>29</v>
      </c>
      <c r="AN1" s="21"/>
      <c r="AO1" s="21"/>
      <c r="AP1" s="21"/>
      <c r="BE1" s="21">
        <v>89</v>
      </c>
      <c r="BF1" s="120">
        <v>90</v>
      </c>
      <c r="BG1" s="21">
        <v>91</v>
      </c>
      <c r="BH1" s="120">
        <v>92</v>
      </c>
      <c r="BI1" s="21">
        <v>93</v>
      </c>
      <c r="BJ1" s="21">
        <v>89</v>
      </c>
      <c r="BK1" s="120">
        <v>90</v>
      </c>
      <c r="BL1" s="21">
        <v>91</v>
      </c>
      <c r="BM1" s="120">
        <v>92</v>
      </c>
      <c r="BN1" s="120">
        <v>98</v>
      </c>
      <c r="BO1" s="21">
        <v>99</v>
      </c>
      <c r="BP1" s="120">
        <v>100</v>
      </c>
      <c r="BQ1" s="21">
        <v>101</v>
      </c>
      <c r="BR1" s="120">
        <v>102</v>
      </c>
      <c r="BS1" s="21">
        <v>103</v>
      </c>
      <c r="BT1" s="120">
        <v>104</v>
      </c>
      <c r="BU1" s="21">
        <v>105</v>
      </c>
      <c r="BV1" s="120">
        <v>106</v>
      </c>
      <c r="BW1" s="21">
        <v>107</v>
      </c>
      <c r="BX1" s="120">
        <v>108</v>
      </c>
      <c r="BY1" s="21">
        <v>109</v>
      </c>
      <c r="BZ1" s="120">
        <v>110</v>
      </c>
      <c r="CA1" s="21">
        <v>111</v>
      </c>
      <c r="CB1" s="120">
        <v>112</v>
      </c>
      <c r="CC1" s="21">
        <v>113</v>
      </c>
      <c r="CD1" s="120">
        <v>114</v>
      </c>
      <c r="CE1" s="21">
        <v>115</v>
      </c>
      <c r="CF1" s="120">
        <v>116</v>
      </c>
      <c r="CG1" s="21">
        <v>117</v>
      </c>
      <c r="CH1" s="120">
        <v>118</v>
      </c>
      <c r="CI1" s="21">
        <v>119</v>
      </c>
      <c r="CJ1" s="120">
        <v>120</v>
      </c>
      <c r="CK1" s="21">
        <v>121</v>
      </c>
      <c r="CL1" s="120">
        <v>122</v>
      </c>
      <c r="CM1" s="21">
        <v>123</v>
      </c>
      <c r="CN1" s="120">
        <v>124</v>
      </c>
      <c r="CO1" s="21">
        <v>125</v>
      </c>
      <c r="CP1" s="120">
        <v>126</v>
      </c>
      <c r="CQ1" s="21">
        <v>127</v>
      </c>
      <c r="CR1" s="120">
        <v>128</v>
      </c>
      <c r="CS1" s="21">
        <v>129</v>
      </c>
      <c r="CT1" s="120">
        <v>130</v>
      </c>
      <c r="CU1" s="21">
        <v>131</v>
      </c>
      <c r="CV1" s="120">
        <v>132</v>
      </c>
      <c r="CW1" s="21">
        <v>133</v>
      </c>
      <c r="CX1" s="120">
        <v>134</v>
      </c>
      <c r="CY1" s="21">
        <v>135</v>
      </c>
      <c r="CZ1" s="120">
        <v>136</v>
      </c>
      <c r="DA1" s="21">
        <v>137</v>
      </c>
      <c r="DB1" s="120">
        <v>138</v>
      </c>
      <c r="DC1" s="21">
        <v>139</v>
      </c>
      <c r="DD1" s="120">
        <v>140</v>
      </c>
      <c r="DE1" s="21">
        <v>141</v>
      </c>
      <c r="DF1" s="120">
        <v>142</v>
      </c>
      <c r="DG1" s="21">
        <v>143</v>
      </c>
      <c r="DH1" s="120">
        <v>144</v>
      </c>
      <c r="DI1" s="21">
        <v>145</v>
      </c>
      <c r="DJ1" s="120">
        <v>146</v>
      </c>
      <c r="DK1" s="21">
        <v>147</v>
      </c>
      <c r="DL1" s="120">
        <v>148</v>
      </c>
      <c r="DM1" s="21">
        <v>149</v>
      </c>
      <c r="DN1" s="120">
        <v>150</v>
      </c>
      <c r="DO1" s="21">
        <v>151</v>
      </c>
      <c r="DP1" s="120">
        <v>152</v>
      </c>
      <c r="DQ1" s="21">
        <v>153</v>
      </c>
      <c r="DR1" s="120">
        <v>154</v>
      </c>
      <c r="DS1" s="21">
        <v>155</v>
      </c>
      <c r="DT1" s="120">
        <v>156</v>
      </c>
      <c r="DU1" s="21">
        <v>157</v>
      </c>
      <c r="DV1" s="120">
        <v>158</v>
      </c>
      <c r="DW1" s="21">
        <v>159</v>
      </c>
      <c r="DX1" s="120">
        <v>160</v>
      </c>
      <c r="DY1" s="21">
        <v>161</v>
      </c>
      <c r="DZ1" s="120">
        <v>162</v>
      </c>
      <c r="EA1" s="21">
        <v>163</v>
      </c>
      <c r="EB1" s="120">
        <v>164</v>
      </c>
      <c r="EC1" s="21">
        <v>165</v>
      </c>
      <c r="ED1" s="120">
        <v>166</v>
      </c>
      <c r="EE1" s="21">
        <v>167</v>
      </c>
      <c r="EF1" s="120">
        <v>168</v>
      </c>
      <c r="EG1" s="21">
        <v>169</v>
      </c>
      <c r="EH1" s="120">
        <v>170</v>
      </c>
      <c r="EI1" s="21">
        <v>171</v>
      </c>
      <c r="EJ1" s="120">
        <v>172</v>
      </c>
      <c r="EK1" s="21">
        <v>173</v>
      </c>
      <c r="EL1" s="120">
        <v>174</v>
      </c>
      <c r="EM1" s="21">
        <v>175</v>
      </c>
      <c r="EN1" s="120">
        <v>176</v>
      </c>
      <c r="EO1" s="21">
        <v>177</v>
      </c>
      <c r="EP1" s="120">
        <v>178</v>
      </c>
      <c r="EQ1" s="21">
        <v>179</v>
      </c>
      <c r="ER1" s="120">
        <v>180</v>
      </c>
      <c r="ES1" s="21">
        <v>181</v>
      </c>
      <c r="ET1" s="120">
        <v>182</v>
      </c>
      <c r="EU1" s="21">
        <v>183</v>
      </c>
      <c r="EV1" s="120">
        <v>184</v>
      </c>
      <c r="EW1" s="21">
        <v>185</v>
      </c>
      <c r="EX1" s="120">
        <v>186</v>
      </c>
      <c r="EY1" s="21">
        <v>187</v>
      </c>
      <c r="EZ1" s="120">
        <v>188</v>
      </c>
      <c r="FA1" s="21">
        <v>189</v>
      </c>
      <c r="FB1" s="120">
        <v>190</v>
      </c>
      <c r="FC1" s="21">
        <v>191</v>
      </c>
      <c r="FD1" s="120">
        <v>192</v>
      </c>
      <c r="FE1" s="21">
        <v>193</v>
      </c>
      <c r="FF1" s="120">
        <v>194</v>
      </c>
      <c r="FG1" s="21">
        <v>195</v>
      </c>
      <c r="FH1" s="120">
        <v>196</v>
      </c>
      <c r="FI1" s="21">
        <v>197</v>
      </c>
      <c r="FJ1" s="120">
        <v>198</v>
      </c>
      <c r="FK1" s="21">
        <v>199</v>
      </c>
      <c r="FL1" s="120">
        <v>200</v>
      </c>
      <c r="FM1" s="21">
        <v>201</v>
      </c>
      <c r="FN1" s="120">
        <v>202</v>
      </c>
      <c r="FO1" s="21">
        <v>203</v>
      </c>
      <c r="FP1" s="120">
        <v>204</v>
      </c>
      <c r="FQ1" s="21">
        <v>205</v>
      </c>
      <c r="FR1" s="120">
        <v>206</v>
      </c>
      <c r="FS1" s="21">
        <v>207</v>
      </c>
      <c r="FT1" s="120">
        <v>208</v>
      </c>
      <c r="FU1" s="21">
        <v>209</v>
      </c>
      <c r="FV1" s="120">
        <v>210</v>
      </c>
      <c r="FW1" s="21">
        <v>211</v>
      </c>
      <c r="FX1" s="120">
        <v>212</v>
      </c>
      <c r="FY1" s="21">
        <v>213</v>
      </c>
      <c r="FZ1" s="120">
        <v>214</v>
      </c>
    </row>
    <row r="2" spans="1:182">
      <c r="A2" s="511" t="s">
        <v>931</v>
      </c>
      <c r="B2" s="239"/>
      <c r="C2" s="242"/>
      <c r="D2" s="242"/>
      <c r="E2" s="242"/>
      <c r="F2" s="242"/>
      <c r="G2" s="242"/>
      <c r="U2" s="3"/>
      <c r="W2"/>
    </row>
    <row r="3" spans="1:182">
      <c r="A3" s="511" t="s">
        <v>932</v>
      </c>
      <c r="B3" s="239"/>
      <c r="C3" s="240"/>
      <c r="D3" s="241"/>
      <c r="E3" s="241"/>
      <c r="F3" s="241"/>
      <c r="G3" s="240"/>
      <c r="H3" s="21">
        <v>0</v>
      </c>
      <c r="U3" s="3"/>
      <c r="W3"/>
    </row>
    <row r="4" spans="1:182">
      <c r="C4" s="121"/>
      <c r="D4" s="121"/>
      <c r="E4" s="121"/>
      <c r="F4" s="121"/>
      <c r="G4" s="33"/>
      <c r="H4" s="121"/>
      <c r="I4" s="121"/>
      <c r="J4" s="121"/>
      <c r="K4" s="33"/>
      <c r="L4" s="121"/>
      <c r="M4" s="121"/>
      <c r="N4" s="121"/>
      <c r="O4" s="121"/>
      <c r="P4" s="121"/>
      <c r="Q4" s="121"/>
      <c r="R4" s="121"/>
      <c r="S4" s="121"/>
      <c r="T4" s="121"/>
      <c r="U4" s="266"/>
      <c r="V4" s="51"/>
      <c r="W4" s="51"/>
      <c r="X4" s="51"/>
      <c r="Y4" s="51"/>
      <c r="Z4" s="51"/>
      <c r="AA4" s="51"/>
      <c r="AB4" s="51"/>
      <c r="AC4" s="51"/>
      <c r="AE4" s="51"/>
      <c r="AG4" s="51"/>
      <c r="AI4" s="51"/>
      <c r="AK4" s="51"/>
    </row>
    <row r="5" spans="1:182" s="180" customFormat="1">
      <c r="A5" s="181"/>
      <c r="B5" s="182"/>
      <c r="C5" s="183"/>
      <c r="D5" s="183"/>
      <c r="E5" s="183"/>
      <c r="F5" s="183"/>
      <c r="G5" s="183"/>
      <c r="H5" s="183"/>
      <c r="I5" s="184"/>
      <c r="J5" s="184"/>
      <c r="K5" s="184"/>
      <c r="L5" s="184"/>
      <c r="M5" s="183"/>
      <c r="N5" s="183"/>
      <c r="O5" s="184"/>
      <c r="P5" s="184"/>
      <c r="Q5" s="184"/>
      <c r="R5" s="184"/>
      <c r="S5" s="184"/>
      <c r="T5" s="184"/>
      <c r="U5" s="268"/>
      <c r="V5" s="185"/>
      <c r="W5" s="185"/>
      <c r="X5" s="185"/>
      <c r="Y5" s="185"/>
      <c r="Z5" s="185"/>
      <c r="AA5" s="185"/>
      <c r="AB5" s="185"/>
      <c r="AC5" s="185"/>
      <c r="AE5" s="185"/>
      <c r="AG5" s="185"/>
      <c r="AI5" s="185"/>
      <c r="AK5" s="185"/>
      <c r="AQ5"/>
      <c r="AR5"/>
      <c r="AS5"/>
      <c r="AT5"/>
      <c r="AU5"/>
      <c r="AV5"/>
      <c r="AW5"/>
      <c r="AX5"/>
      <c r="AY5"/>
      <c r="AZ5"/>
      <c r="BA5"/>
      <c r="BB5"/>
      <c r="BC5"/>
      <c r="BD5"/>
    </row>
    <row r="6" spans="1:182">
      <c r="A6" s="33" t="s">
        <v>76</v>
      </c>
      <c r="B6" s="121">
        <v>2017</v>
      </c>
      <c r="C6" s="33"/>
      <c r="D6" s="33"/>
      <c r="E6" s="33"/>
      <c r="F6" s="33"/>
      <c r="G6" s="33"/>
      <c r="H6" s="121"/>
      <c r="I6" s="21"/>
      <c r="J6" s="21"/>
      <c r="K6" s="21"/>
      <c r="L6" s="21"/>
      <c r="M6" s="33"/>
      <c r="N6" s="33"/>
      <c r="O6" s="21"/>
      <c r="P6" s="21"/>
      <c r="Q6" s="21"/>
      <c r="R6" s="21"/>
      <c r="S6" s="21"/>
      <c r="T6" s="21"/>
      <c r="U6" s="267"/>
      <c r="V6" s="1"/>
      <c r="W6" s="1"/>
      <c r="X6" s="1"/>
      <c r="Y6" s="1"/>
      <c r="Z6" s="1"/>
      <c r="AA6" s="1"/>
      <c r="AB6" s="1"/>
      <c r="AC6" s="1"/>
      <c r="AE6" s="1"/>
      <c r="AG6" s="1"/>
      <c r="AI6" s="1"/>
      <c r="AK6" s="1"/>
    </row>
    <row r="7" spans="1:182">
      <c r="A7" s="20"/>
      <c r="B7" s="33"/>
      <c r="C7" s="33" t="s">
        <v>49</v>
      </c>
      <c r="D7" s="33"/>
      <c r="E7" s="33"/>
      <c r="F7" s="33"/>
      <c r="G7" s="33"/>
      <c r="H7" s="121"/>
      <c r="I7" s="493" t="s">
        <v>899</v>
      </c>
      <c r="J7" s="494" t="s">
        <v>900</v>
      </c>
      <c r="K7" s="494" t="s">
        <v>901</v>
      </c>
      <c r="L7" s="21"/>
      <c r="M7" s="33"/>
      <c r="N7" s="33"/>
      <c r="O7" s="21"/>
      <c r="P7" s="21"/>
      <c r="Q7" s="21"/>
      <c r="R7" s="21"/>
      <c r="S7" s="21"/>
      <c r="T7" s="21"/>
      <c r="U7" s="267"/>
      <c r="V7" s="1"/>
      <c r="W7" s="1"/>
      <c r="X7" s="1"/>
      <c r="Y7" s="1"/>
      <c r="Z7" s="1"/>
      <c r="AA7" s="1"/>
      <c r="AB7" s="1"/>
      <c r="AC7" s="1"/>
      <c r="AE7" s="1"/>
      <c r="AG7" s="1"/>
      <c r="AI7" s="1"/>
      <c r="AK7" s="1"/>
    </row>
    <row r="8" spans="1:182">
      <c r="A8" s="20"/>
      <c r="B8" s="33" t="s">
        <v>236</v>
      </c>
      <c r="C8" s="33">
        <f ca="1">OFFSET(Energy_Balance!$E$38,0,RES!$F8)</f>
        <v>177.16376009215514</v>
      </c>
      <c r="D8" s="33"/>
      <c r="E8" s="33"/>
      <c r="F8" s="33">
        <v>1</v>
      </c>
      <c r="G8" s="33"/>
      <c r="H8" s="121" t="s">
        <v>42</v>
      </c>
      <c r="I8" s="491" t="s">
        <v>236</v>
      </c>
      <c r="J8" s="490">
        <f t="shared" ref="J8:J13" si="0">SUMIF($C$39:$C$144,I8,$M$39:$M$144)</f>
        <v>177.16376009215514</v>
      </c>
      <c r="K8" s="492">
        <f>Energy_Balance!F50</f>
        <v>177.16376009215514</v>
      </c>
      <c r="L8" s="21"/>
      <c r="M8" s="33"/>
      <c r="N8" s="33"/>
      <c r="O8" s="21"/>
      <c r="P8" s="21"/>
      <c r="Q8" s="21"/>
      <c r="R8" s="21"/>
      <c r="S8" s="21"/>
      <c r="T8" s="21"/>
      <c r="U8" s="267"/>
      <c r="V8" s="1"/>
      <c r="W8" s="1"/>
      <c r="X8" s="1"/>
      <c r="Y8" s="1"/>
      <c r="Z8" s="1"/>
      <c r="AA8" s="1"/>
      <c r="AB8" s="1"/>
      <c r="AC8" s="1"/>
      <c r="AE8" s="1"/>
      <c r="AG8" s="1"/>
      <c r="AI8" s="1"/>
      <c r="AK8" s="1"/>
    </row>
    <row r="9" spans="1:182">
      <c r="A9" s="20"/>
      <c r="B9" s="33" t="s">
        <v>238</v>
      </c>
      <c r="C9" s="33">
        <f ca="1">OFFSET(Energy_Balance!$E$38,0,RES!$F9)</f>
        <v>9.64</v>
      </c>
      <c r="D9" s="33"/>
      <c r="E9" s="33"/>
      <c r="F9" s="33">
        <v>2</v>
      </c>
      <c r="G9" s="33"/>
      <c r="H9" s="121" t="s">
        <v>20</v>
      </c>
      <c r="I9" s="490" t="s">
        <v>238</v>
      </c>
      <c r="J9" s="490">
        <f>SUMIF($C$39:$C$144,I9,$M$39:$M$144)</f>
        <v>8.9086947121552083</v>
      </c>
      <c r="K9" s="490">
        <f>Energy_Balance!G50</f>
        <v>9.64</v>
      </c>
      <c r="L9" s="25"/>
      <c r="M9" s="33"/>
      <c r="N9" s="33"/>
      <c r="O9" s="21"/>
      <c r="P9" s="21"/>
      <c r="Q9" s="21"/>
      <c r="R9" s="21"/>
      <c r="S9" s="21"/>
      <c r="T9" s="21"/>
      <c r="U9" s="267"/>
      <c r="V9" s="1"/>
      <c r="W9" s="1"/>
      <c r="X9" s="1"/>
      <c r="Y9" s="1"/>
      <c r="Z9" s="1"/>
      <c r="AA9" s="1"/>
      <c r="AB9" s="1"/>
      <c r="AC9" s="1"/>
      <c r="AE9" s="1"/>
      <c r="AG9" s="1"/>
      <c r="AI9" s="1"/>
      <c r="AK9" s="1"/>
    </row>
    <row r="10" spans="1:182">
      <c r="A10" s="20"/>
      <c r="B10" s="33" t="s">
        <v>240</v>
      </c>
      <c r="C10" s="33">
        <f ca="1">OFFSET(Energy_Balance!$E$38,0,RES!$F10)</f>
        <v>17.97</v>
      </c>
      <c r="D10" s="33"/>
      <c r="E10" s="33"/>
      <c r="F10" s="33">
        <v>3</v>
      </c>
      <c r="G10" s="33"/>
      <c r="H10" s="121" t="s">
        <v>933</v>
      </c>
      <c r="I10" s="490" t="s">
        <v>240</v>
      </c>
      <c r="J10" s="490">
        <f>SUMIF($C$39:$C$144,I10,$M$39:$M$144)</f>
        <v>15.379631614333064</v>
      </c>
      <c r="K10" s="490">
        <f>Energy_Balance!J50</f>
        <v>15.617000000000004</v>
      </c>
      <c r="L10" s="25"/>
      <c r="M10" s="33"/>
      <c r="N10" s="33"/>
      <c r="O10" s="21"/>
      <c r="P10" s="21"/>
      <c r="Q10" s="21"/>
      <c r="R10" s="21"/>
      <c r="S10" s="21"/>
      <c r="T10" s="21"/>
      <c r="U10" s="267"/>
      <c r="V10" s="1"/>
      <c r="W10" s="1"/>
      <c r="X10" s="1"/>
      <c r="Y10" s="1"/>
      <c r="Z10" s="1"/>
      <c r="AA10" s="1"/>
      <c r="AB10" s="1"/>
      <c r="AC10" s="1"/>
      <c r="AE10" s="1"/>
      <c r="AG10" s="1"/>
      <c r="AI10" s="1"/>
      <c r="AK10" s="1"/>
    </row>
    <row r="11" spans="1:182">
      <c r="A11" s="20"/>
      <c r="B11" s="33" t="s">
        <v>239</v>
      </c>
      <c r="C11" s="33">
        <f ca="1">OFFSET(Energy_Balance!$E$38,0,RES!$F11)</f>
        <v>83.76700000000001</v>
      </c>
      <c r="D11" s="33"/>
      <c r="E11" s="33"/>
      <c r="F11" s="33">
        <v>4</v>
      </c>
      <c r="G11" s="33"/>
      <c r="H11" s="121" t="s">
        <v>39</v>
      </c>
      <c r="I11" s="490" t="s">
        <v>239</v>
      </c>
      <c r="J11" s="490">
        <f>SUMIF($C$39:$C$144,I11,$M$39:$M$144)</f>
        <v>82.574134050166037</v>
      </c>
      <c r="K11" s="490">
        <f>Energy_Balance!I50</f>
        <v>83.76700000000001</v>
      </c>
      <c r="L11" s="25"/>
      <c r="M11" s="33"/>
      <c r="N11" s="33"/>
      <c r="O11" s="21"/>
      <c r="P11" s="21"/>
      <c r="Q11" s="21"/>
      <c r="R11" s="21"/>
      <c r="S11" s="21"/>
      <c r="T11" s="21"/>
      <c r="U11" s="267"/>
      <c r="V11" s="1"/>
      <c r="W11" s="1"/>
      <c r="X11" s="1"/>
      <c r="Y11" s="1"/>
      <c r="Z11" s="1"/>
      <c r="AA11" s="1"/>
      <c r="AB11" s="1"/>
      <c r="AC11" s="1"/>
      <c r="AE11" s="1"/>
      <c r="AG11" s="1"/>
      <c r="AI11" s="1"/>
      <c r="AK11" s="1"/>
    </row>
    <row r="12" spans="1:182">
      <c r="A12" s="20"/>
      <c r="B12" s="33" t="s">
        <v>237</v>
      </c>
      <c r="C12" s="33">
        <f ca="1">OFFSET(Energy_Balance!$E$38,0,RES!$F12)</f>
        <v>15.617000000000004</v>
      </c>
      <c r="D12" s="33"/>
      <c r="E12" s="33"/>
      <c r="F12" s="33">
        <v>5</v>
      </c>
      <c r="G12" s="33"/>
      <c r="H12" s="121" t="s">
        <v>21</v>
      </c>
      <c r="I12" s="490" t="s">
        <v>237</v>
      </c>
      <c r="J12" s="490">
        <f>SUMIF($C$39:$C$144,I12,$M$39:$M$144)</f>
        <v>9.9251626771957344</v>
      </c>
      <c r="K12" s="490">
        <f>Energy_Balance!H50</f>
        <v>17.97</v>
      </c>
      <c r="L12" s="25"/>
      <c r="M12" s="33"/>
      <c r="N12" s="33"/>
      <c r="O12" s="21"/>
      <c r="P12" s="21"/>
      <c r="Q12" s="21"/>
      <c r="R12" s="21"/>
      <c r="S12" s="21"/>
      <c r="T12" s="21"/>
      <c r="U12" s="267"/>
      <c r="V12" s="1"/>
      <c r="W12" s="1"/>
      <c r="X12" s="1"/>
      <c r="Y12" s="1"/>
      <c r="Z12" s="1"/>
      <c r="AA12" s="1"/>
      <c r="AB12" s="1"/>
      <c r="AC12" s="1"/>
      <c r="AE12" s="1"/>
      <c r="AG12" s="1"/>
      <c r="AI12" s="1"/>
      <c r="AK12" s="1"/>
    </row>
    <row r="13" spans="1:182">
      <c r="A13" s="20"/>
      <c r="B13" s="33" t="s">
        <v>168</v>
      </c>
      <c r="C13" s="33">
        <f ca="1">OFFSET(Energy_Balance!$E$38,0,RES!$F13)</f>
        <v>0</v>
      </c>
      <c r="D13" s="33"/>
      <c r="E13" s="33"/>
      <c r="F13" s="33">
        <v>6</v>
      </c>
      <c r="G13" s="33"/>
      <c r="H13" s="121" t="s">
        <v>934</v>
      </c>
      <c r="I13" s="490" t="s">
        <v>168</v>
      </c>
      <c r="J13" s="490">
        <f t="shared" si="0"/>
        <v>0</v>
      </c>
      <c r="K13" s="490"/>
      <c r="L13" s="1" t="s">
        <v>898</v>
      </c>
      <c r="M13" s="33"/>
      <c r="N13" s="33"/>
      <c r="O13" s="21"/>
      <c r="P13" s="21"/>
      <c r="Q13" s="21"/>
      <c r="R13" s="21"/>
      <c r="S13" s="21"/>
      <c r="T13" s="21"/>
      <c r="U13" s="267"/>
      <c r="V13" s="1"/>
      <c r="W13" s="1"/>
      <c r="X13" s="1"/>
      <c r="Y13" s="1"/>
      <c r="Z13" s="1"/>
      <c r="AA13" s="1"/>
      <c r="AB13" s="1"/>
      <c r="AC13" s="1"/>
      <c r="AE13" s="1"/>
      <c r="AG13" s="1"/>
      <c r="AI13" s="1"/>
      <c r="AK13" s="1"/>
    </row>
    <row r="14" spans="1:182">
      <c r="A14" s="20"/>
      <c r="B14" s="33"/>
      <c r="C14" s="33"/>
      <c r="D14" s="33"/>
      <c r="E14" s="33"/>
      <c r="F14" s="33"/>
      <c r="G14" s="33"/>
      <c r="H14" s="121"/>
      <c r="L14" s="21"/>
      <c r="M14" s="33"/>
      <c r="N14" s="33"/>
      <c r="O14" s="21"/>
      <c r="P14" s="21"/>
      <c r="Q14" s="21"/>
      <c r="R14" s="21"/>
      <c r="S14" s="21"/>
      <c r="T14" s="21"/>
      <c r="U14" s="267"/>
      <c r="V14" s="1"/>
      <c r="W14" s="1"/>
      <c r="X14" s="1"/>
      <c r="Y14" s="1"/>
      <c r="Z14" s="1"/>
      <c r="AA14" s="1"/>
      <c r="AB14" s="1"/>
      <c r="AC14" s="1"/>
      <c r="AE14" s="1"/>
      <c r="AG14" s="1"/>
      <c r="AI14" s="1"/>
      <c r="AK14" s="1"/>
    </row>
    <row r="15" spans="1:182" s="180" customFormat="1">
      <c r="A15" s="181"/>
      <c r="B15" s="182"/>
      <c r="C15" s="183"/>
      <c r="D15" s="183"/>
      <c r="E15" s="183"/>
      <c r="F15" s="183"/>
      <c r="G15" s="183"/>
      <c r="H15" s="183"/>
      <c r="I15" s="184"/>
      <c r="J15" s="184"/>
      <c r="K15" s="184"/>
      <c r="L15" s="184"/>
      <c r="M15" s="183"/>
      <c r="N15" s="183"/>
      <c r="O15" s="184"/>
      <c r="P15" s="184"/>
      <c r="Q15" s="184"/>
      <c r="R15" s="184"/>
      <c r="S15" s="184"/>
      <c r="T15" s="184"/>
      <c r="U15" s="268"/>
      <c r="V15" s="185"/>
      <c r="W15" s="185"/>
      <c r="X15" s="185"/>
      <c r="Y15" s="185"/>
      <c r="Z15" s="185"/>
      <c r="AA15" s="185"/>
      <c r="AB15" s="185"/>
      <c r="AC15" s="185"/>
      <c r="AE15" s="185"/>
      <c r="AG15" s="185"/>
      <c r="AI15" s="185"/>
      <c r="AK15" s="185"/>
      <c r="AQ15"/>
      <c r="AR15"/>
      <c r="AS15"/>
      <c r="AT15"/>
      <c r="AU15"/>
      <c r="AV15"/>
      <c r="AW15"/>
      <c r="AX15"/>
      <c r="AY15"/>
      <c r="AZ15"/>
      <c r="BA15"/>
      <c r="BB15"/>
      <c r="BC15"/>
      <c r="BD15"/>
    </row>
    <row r="16" spans="1:182">
      <c r="A16" t="s">
        <v>438</v>
      </c>
      <c r="B16" s="1"/>
      <c r="C16" s="1"/>
      <c r="G16" s="122">
        <v>0</v>
      </c>
      <c r="H16">
        <v>0</v>
      </c>
      <c r="J16" s="1"/>
      <c r="K16" s="1"/>
      <c r="L16" t="s">
        <v>716</v>
      </c>
      <c r="M16" s="1"/>
      <c r="R16" t="s">
        <v>691</v>
      </c>
      <c r="W16"/>
      <c r="Y16" s="1"/>
      <c r="Z16" s="1"/>
      <c r="AA16" s="1"/>
      <c r="AB16" s="1"/>
      <c r="AC16" s="1"/>
      <c r="AE16" s="1"/>
      <c r="AG16" s="1"/>
      <c r="AI16" s="1"/>
      <c r="AK16" s="1"/>
    </row>
    <row r="17" spans="1:75">
      <c r="A17" t="s">
        <v>439</v>
      </c>
      <c r="B17" s="1"/>
      <c r="C17" s="1"/>
      <c r="H17" s="1">
        <v>1</v>
      </c>
      <c r="I17" s="1" t="s">
        <v>850</v>
      </c>
      <c r="J17" s="1" t="s">
        <v>856</v>
      </c>
      <c r="K17" s="1"/>
      <c r="L17" t="s">
        <v>852</v>
      </c>
      <c r="M17" s="1"/>
      <c r="W17"/>
      <c r="Y17" s="1"/>
      <c r="Z17" s="1"/>
      <c r="AA17" s="1"/>
      <c r="AB17" s="1"/>
      <c r="AC17" s="1"/>
      <c r="AE17" s="1"/>
      <c r="AG17" s="1"/>
      <c r="AI17" s="1"/>
      <c r="AK17" s="1"/>
    </row>
    <row r="18" spans="1:75">
      <c r="H18" s="1">
        <v>2</v>
      </c>
      <c r="I18" s="1" t="s">
        <v>851</v>
      </c>
      <c r="L18" t="s">
        <v>853</v>
      </c>
      <c r="W18"/>
      <c r="Y18" s="1"/>
      <c r="Z18" s="1"/>
      <c r="AA18" s="1"/>
      <c r="AB18" s="1"/>
      <c r="AC18" s="1"/>
      <c r="AE18" s="1"/>
      <c r="AG18" s="1"/>
      <c r="AI18" s="1"/>
      <c r="AK18" s="1"/>
    </row>
    <row r="19" spans="1:75" s="180" customFormat="1">
      <c r="A19" s="181"/>
      <c r="B19" s="182"/>
      <c r="C19" s="183"/>
      <c r="D19" s="183"/>
      <c r="E19" s="183"/>
      <c r="F19" s="183"/>
      <c r="G19" s="183"/>
      <c r="H19" s="183"/>
      <c r="I19" s="184"/>
      <c r="J19" s="184"/>
      <c r="K19" s="184"/>
      <c r="L19" s="184"/>
      <c r="M19" s="183"/>
      <c r="N19" s="183"/>
      <c r="O19" s="184"/>
      <c r="P19" s="184"/>
      <c r="Q19" s="184"/>
      <c r="R19" s="184"/>
      <c r="S19" s="184"/>
      <c r="T19" s="184"/>
      <c r="U19" s="268"/>
      <c r="V19" s="185"/>
      <c r="W19" s="185"/>
      <c r="X19" s="185"/>
      <c r="Y19" s="185"/>
      <c r="Z19" s="185"/>
      <c r="AA19" s="185"/>
      <c r="AB19" s="185"/>
      <c r="AC19" s="185"/>
      <c r="AE19" s="185"/>
      <c r="AG19" s="185"/>
      <c r="AI19" s="185"/>
      <c r="AK19" s="185"/>
      <c r="AQ19"/>
      <c r="AR19"/>
      <c r="AS19"/>
      <c r="AT19"/>
      <c r="AU19"/>
      <c r="AV19"/>
      <c r="AW19"/>
      <c r="AX19"/>
      <c r="AY19"/>
      <c r="AZ19"/>
      <c r="BA19"/>
      <c r="BB19"/>
      <c r="BC19"/>
      <c r="BD19"/>
    </row>
    <row r="20" spans="1:75">
      <c r="Y20" s="1"/>
      <c r="Z20" s="1"/>
      <c r="AA20" s="1"/>
      <c r="AB20" s="1"/>
      <c r="AC20" s="1"/>
      <c r="AE20" s="1"/>
      <c r="AG20" s="1"/>
      <c r="AI20" s="1"/>
      <c r="AK20" s="1"/>
    </row>
    <row r="21" spans="1:75">
      <c r="A21" s="21"/>
      <c r="B21" s="1"/>
      <c r="C21" s="1"/>
      <c r="D21" s="21"/>
      <c r="E21" s="21"/>
      <c r="F21" s="21"/>
      <c r="G21" s="21"/>
      <c r="H21" s="21"/>
      <c r="I21" s="25"/>
      <c r="J21" s="25"/>
      <c r="K21" s="25"/>
      <c r="L21" s="25"/>
      <c r="M21" s="25"/>
      <c r="N21" s="25"/>
      <c r="O21" s="25"/>
      <c r="P21" s="25"/>
      <c r="Q21" s="25"/>
      <c r="R21" s="34"/>
      <c r="Y21" s="1"/>
      <c r="Z21" s="1"/>
      <c r="AA21" s="1"/>
      <c r="AB21" s="1"/>
      <c r="AC21" s="1"/>
      <c r="AE21" s="1"/>
      <c r="AG21" s="1"/>
      <c r="AI21" s="1"/>
      <c r="AK21" s="1"/>
    </row>
    <row r="22" spans="1:75" ht="15">
      <c r="A22" s="1" t="s">
        <v>160</v>
      </c>
      <c r="B22" s="1"/>
      <c r="C22" s="1"/>
      <c r="D22" s="21"/>
      <c r="E22" s="21"/>
      <c r="F22" s="21"/>
      <c r="G22" s="59">
        <v>0</v>
      </c>
      <c r="H22" s="21" t="s">
        <v>169</v>
      </c>
      <c r="I22" s="25"/>
      <c r="J22" s="25"/>
      <c r="K22" s="25"/>
      <c r="L22" s="25"/>
      <c r="M22" s="25"/>
      <c r="N22" s="25"/>
      <c r="O22" s="25"/>
      <c r="P22" s="25"/>
      <c r="Q22" s="25"/>
      <c r="R22" s="34"/>
      <c r="Y22" s="1"/>
      <c r="Z22" s="1"/>
      <c r="AA22" s="1"/>
      <c r="AB22" s="1"/>
      <c r="AC22" s="1"/>
      <c r="AE22" s="1"/>
      <c r="AG22" s="1"/>
      <c r="AI22" s="1"/>
      <c r="AK22" s="1"/>
    </row>
    <row r="23" spans="1:75">
      <c r="A23" s="21"/>
      <c r="B23" s="21"/>
      <c r="C23" s="21"/>
      <c r="D23" s="21"/>
      <c r="E23" s="21"/>
      <c r="F23" s="21"/>
      <c r="I23" s="25"/>
      <c r="J23" s="25"/>
      <c r="K23" s="25"/>
      <c r="L23" s="25"/>
      <c r="M23" s="25"/>
      <c r="N23" s="25"/>
      <c r="O23" s="25"/>
      <c r="P23" s="25"/>
      <c r="Q23" s="25"/>
      <c r="R23" s="34"/>
      <c r="Y23" s="1"/>
      <c r="Z23" s="1"/>
      <c r="AA23" s="1"/>
      <c r="AB23" s="1"/>
      <c r="AC23" s="1"/>
      <c r="AE23" s="1"/>
      <c r="AG23" s="1"/>
      <c r="AI23" s="1"/>
      <c r="AK23" s="1"/>
    </row>
    <row r="24" spans="1:75">
      <c r="A24" s="20"/>
      <c r="B24" s="33"/>
      <c r="C24" s="33"/>
      <c r="D24" s="33"/>
      <c r="E24" s="33"/>
      <c r="F24" s="33"/>
      <c r="G24" s="33"/>
      <c r="H24" s="121"/>
      <c r="I24" s="21"/>
      <c r="J24" s="21"/>
      <c r="K24" s="21"/>
      <c r="P24" s="21"/>
      <c r="Q24" s="21"/>
      <c r="R24" s="21"/>
      <c r="S24" s="21"/>
      <c r="T24" s="21"/>
      <c r="U24" s="267"/>
      <c r="V24" s="1"/>
      <c r="W24" s="1"/>
      <c r="X24" s="1"/>
      <c r="Y24" s="1"/>
      <c r="Z24" s="1"/>
      <c r="AA24" s="1"/>
      <c r="AB24" s="1"/>
      <c r="AC24" s="1"/>
      <c r="AE24" s="1"/>
      <c r="AG24" s="1"/>
      <c r="AI24" s="1"/>
      <c r="AK24" s="1"/>
    </row>
    <row r="25" spans="1:75">
      <c r="A25" s="20"/>
      <c r="B25" s="33"/>
      <c r="C25" s="33"/>
      <c r="D25" s="33"/>
      <c r="E25" s="33"/>
      <c r="F25" s="33"/>
      <c r="G25" s="33"/>
      <c r="H25" s="121"/>
      <c r="I25" s="21"/>
      <c r="J25" s="21"/>
      <c r="K25" s="21"/>
      <c r="P25" s="21"/>
      <c r="Q25" s="21"/>
      <c r="R25" s="21"/>
      <c r="S25" s="21"/>
      <c r="T25" s="21"/>
      <c r="U25" s="267"/>
      <c r="V25" s="1"/>
      <c r="W25" s="1"/>
      <c r="X25" s="1"/>
      <c r="Y25" s="1"/>
      <c r="Z25" s="1"/>
      <c r="AA25" s="1"/>
      <c r="AB25" s="1"/>
      <c r="AC25" s="1"/>
      <c r="AE25" s="1"/>
      <c r="AG25" s="1"/>
      <c r="AI25" s="1"/>
      <c r="AK25" s="1"/>
    </row>
    <row r="26" spans="1:75">
      <c r="A26" s="116"/>
      <c r="B26" s="116"/>
      <c r="C26" s="116"/>
      <c r="D26" s="116"/>
      <c r="E26" s="116"/>
      <c r="F26" s="116"/>
      <c r="G26" s="116"/>
      <c r="H26" s="116"/>
      <c r="I26" s="116"/>
      <c r="J26" s="63"/>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1"/>
      <c r="AP26" s="21"/>
      <c r="BE26" s="1"/>
      <c r="BF26" s="1"/>
      <c r="BG26" s="1"/>
      <c r="BH26" s="52"/>
      <c r="BI26" s="1"/>
      <c r="BJ26" s="1"/>
      <c r="BK26" s="1"/>
      <c r="BL26" s="1"/>
      <c r="BM26" s="52"/>
      <c r="BN26" s="1"/>
      <c r="BO26" s="1"/>
      <c r="BP26" s="1"/>
      <c r="BQ26" s="1"/>
      <c r="BR26" s="52"/>
      <c r="BS26" s="1"/>
      <c r="BT26" s="1"/>
      <c r="BU26" s="1"/>
      <c r="BV26" s="1"/>
      <c r="BW26" s="1"/>
    </row>
    <row r="27" spans="1:75" ht="12" customHeight="1">
      <c r="A27" s="496" t="s">
        <v>904</v>
      </c>
      <c r="B27" s="116"/>
      <c r="C27" s="116"/>
      <c r="D27" s="116"/>
      <c r="E27" s="116"/>
      <c r="F27" s="116"/>
      <c r="G27" s="116"/>
      <c r="H27" s="116"/>
      <c r="I27" s="116"/>
      <c r="J27" s="63"/>
      <c r="P27" s="25"/>
      <c r="Q27" s="25"/>
      <c r="R27" s="25"/>
      <c r="S27" s="25"/>
      <c r="T27" s="25"/>
      <c r="U27" s="352"/>
      <c r="V27" s="25"/>
      <c r="W27" s="25"/>
      <c r="X27" s="25"/>
      <c r="Y27" s="25"/>
      <c r="Z27" s="25"/>
      <c r="AA27" s="25"/>
      <c r="AB27" s="25"/>
      <c r="AC27" s="25"/>
      <c r="AD27" s="25"/>
      <c r="AE27" s="25"/>
      <c r="AF27" s="25"/>
      <c r="AG27" s="25"/>
      <c r="AH27" s="25"/>
      <c r="AI27" s="25"/>
      <c r="AJ27" s="25"/>
      <c r="AK27" s="25"/>
      <c r="AL27" s="25"/>
      <c r="AM27" s="25"/>
      <c r="AN27" s="25"/>
      <c r="AO27" s="21"/>
      <c r="AP27" s="21"/>
      <c r="BE27" s="1"/>
      <c r="BF27" s="1"/>
      <c r="BG27" s="1"/>
      <c r="BH27" s="1"/>
      <c r="BI27" s="1"/>
      <c r="BJ27" s="1"/>
      <c r="BK27" s="1"/>
      <c r="BL27" s="1"/>
      <c r="BM27" s="1"/>
      <c r="BN27" s="1"/>
      <c r="BO27" s="1"/>
      <c r="BP27" s="1"/>
      <c r="BQ27" s="1"/>
      <c r="BR27" s="1"/>
      <c r="BS27" s="1"/>
      <c r="BT27" s="1"/>
      <c r="BU27" s="1"/>
      <c r="BV27" s="1"/>
      <c r="BW27" s="1"/>
    </row>
    <row r="28" spans="1:75" ht="12.95" customHeight="1">
      <c r="A28" s="70" t="s">
        <v>905</v>
      </c>
      <c r="B28" s="116"/>
      <c r="C28" s="116"/>
      <c r="D28" s="116"/>
      <c r="E28" s="116"/>
      <c r="F28" s="116"/>
      <c r="G28" s="116"/>
      <c r="H28" s="116"/>
      <c r="I28" s="116"/>
      <c r="J28" s="63"/>
      <c r="P28" s="25"/>
      <c r="Q28" s="25"/>
      <c r="R28" s="25"/>
      <c r="S28" s="25"/>
      <c r="T28" s="25"/>
      <c r="U28" t="s">
        <v>16</v>
      </c>
      <c r="V28" s="426">
        <v>1E-3</v>
      </c>
      <c r="W28" s="600">
        <v>1E-3</v>
      </c>
      <c r="X28" s="600">
        <v>2.5000000000000001E-3</v>
      </c>
      <c r="Y28" s="600">
        <v>3.0000000000000001E-3</v>
      </c>
      <c r="Z28" s="600">
        <v>0.02</v>
      </c>
      <c r="AA28" s="600">
        <v>0.04</v>
      </c>
      <c r="AB28" s="600">
        <v>0.08</v>
      </c>
      <c r="AC28" s="600">
        <v>0.16</v>
      </c>
      <c r="AD28" s="25"/>
      <c r="AE28" s="419">
        <v>1E-4</v>
      </c>
      <c r="AF28" s="427">
        <v>5.0000000000000001E-3</v>
      </c>
      <c r="AG28" s="419">
        <v>3.5000000000000001E-3</v>
      </c>
      <c r="AH28" s="419">
        <v>3.5000000000000001E-3</v>
      </c>
      <c r="AI28" s="600">
        <v>2.5000000000000001E-3</v>
      </c>
      <c r="AJ28" s="600">
        <v>2.5000000000000001E-3</v>
      </c>
      <c r="AK28" s="600">
        <v>2.5000000000000001E-3</v>
      </c>
      <c r="AL28" s="600">
        <v>2.5000000000000001E-3</v>
      </c>
      <c r="AM28" s="25"/>
      <c r="AN28" s="25"/>
      <c r="AO28" s="21"/>
      <c r="AP28" s="21"/>
      <c r="BE28" s="1"/>
      <c r="BF28" s="1"/>
      <c r="BG28" s="1"/>
      <c r="BH28" s="1"/>
      <c r="BI28" s="1"/>
      <c r="BJ28" s="1"/>
      <c r="BK28" s="1"/>
      <c r="BL28" s="1"/>
      <c r="BM28" s="1"/>
      <c r="BN28" s="1"/>
      <c r="BO28" s="1"/>
      <c r="BP28" s="1"/>
      <c r="BQ28" s="1"/>
      <c r="BR28" s="1"/>
      <c r="BS28" s="1"/>
      <c r="BT28" s="1"/>
      <c r="BU28" s="1"/>
    </row>
    <row r="29" spans="1:75">
      <c r="A29" s="70" t="s">
        <v>906</v>
      </c>
      <c r="B29" s="116"/>
      <c r="C29" s="116"/>
      <c r="D29" s="116"/>
      <c r="E29" s="116"/>
      <c r="F29" s="116"/>
      <c r="G29" s="116"/>
      <c r="H29" s="116"/>
      <c r="I29" s="116"/>
      <c r="J29" s="63"/>
      <c r="P29" s="25"/>
      <c r="Q29" s="25"/>
      <c r="R29" s="25"/>
      <c r="S29" s="25"/>
      <c r="T29" s="25"/>
      <c r="U29" s="324" t="s">
        <v>1053</v>
      </c>
      <c r="V29" s="426">
        <v>1E-3</v>
      </c>
      <c r="W29" s="600">
        <v>5.0000000000000001E-3</v>
      </c>
      <c r="X29" s="600">
        <v>3.0000000000000001E-3</v>
      </c>
      <c r="Y29" s="600">
        <v>3.0000000000000001E-3</v>
      </c>
      <c r="Z29" s="600">
        <v>2.5000000000000001E-3</v>
      </c>
      <c r="AA29" s="600">
        <v>0</v>
      </c>
      <c r="AB29" s="600">
        <v>0</v>
      </c>
      <c r="AC29" s="600">
        <v>0</v>
      </c>
      <c r="AD29" s="249"/>
      <c r="AE29" s="419">
        <v>1E-4</v>
      </c>
      <c r="AF29" s="419">
        <v>5.0000000000000001E-3</v>
      </c>
      <c r="AG29" s="600">
        <v>3.5000000000000001E-3</v>
      </c>
      <c r="AH29" s="600">
        <v>0.01</v>
      </c>
      <c r="AI29" s="600">
        <v>0.01</v>
      </c>
      <c r="AJ29" s="600">
        <v>1.0999999999999999E-2</v>
      </c>
      <c r="AK29" s="600">
        <v>1.2500000000000001E-2</v>
      </c>
      <c r="AL29" s="600">
        <v>1.4999999999999999E-2</v>
      </c>
      <c r="AM29" s="326"/>
      <c r="AN29" s="325"/>
      <c r="AO29" s="350"/>
    </row>
    <row r="30" spans="1:75">
      <c r="A30" s="116"/>
      <c r="B30" s="116"/>
      <c r="C30" s="116"/>
      <c r="D30" s="116"/>
      <c r="E30" s="116"/>
      <c r="F30" s="116"/>
      <c r="G30" s="116"/>
      <c r="H30" s="116"/>
      <c r="I30" s="116"/>
      <c r="J30" s="63"/>
      <c r="P30" s="25"/>
      <c r="Q30" s="25"/>
      <c r="R30" s="25"/>
      <c r="S30" s="25"/>
      <c r="T30" s="25"/>
      <c r="U30" s="327"/>
      <c r="V30" s="328">
        <v>2017</v>
      </c>
      <c r="W30" s="328">
        <v>2020</v>
      </c>
      <c r="X30" s="328">
        <v>2025</v>
      </c>
      <c r="Y30" s="328">
        <v>2030</v>
      </c>
      <c r="Z30" s="328">
        <v>2035</v>
      </c>
      <c r="AA30" s="328">
        <v>2040</v>
      </c>
      <c r="AB30" s="328">
        <v>2045</v>
      </c>
      <c r="AC30" s="328">
        <v>2050</v>
      </c>
      <c r="AD30" s="328"/>
      <c r="AE30" s="328">
        <v>2017</v>
      </c>
      <c r="AF30" s="328">
        <v>2020</v>
      </c>
      <c r="AG30" s="328">
        <f>AF30+5</f>
        <v>2025</v>
      </c>
      <c r="AH30" s="328">
        <v>2030</v>
      </c>
      <c r="AI30" s="328">
        <f>AH30+5</f>
        <v>2035</v>
      </c>
      <c r="AJ30" s="328">
        <v>2040</v>
      </c>
      <c r="AK30" s="328">
        <f>AJ30+5</f>
        <v>2045</v>
      </c>
      <c r="AL30" s="328">
        <v>2050</v>
      </c>
      <c r="AM30" s="329"/>
      <c r="AN30" s="328"/>
      <c r="AO30" s="333"/>
    </row>
    <row r="31" spans="1:75">
      <c r="A31" s="25"/>
      <c r="B31" s="25"/>
      <c r="C31" s="21" t="s">
        <v>293</v>
      </c>
      <c r="D31" s="126">
        <v>0</v>
      </c>
      <c r="E31" s="42"/>
      <c r="F31" s="42"/>
      <c r="G31" s="42"/>
      <c r="H31" s="44"/>
      <c r="K31" s="25"/>
      <c r="L31" s="25"/>
      <c r="M31" s="25">
        <f>SUMIF($C$39:$C$144,"RESELC",$M$39:$M$144)</f>
        <v>177.16376009215514</v>
      </c>
      <c r="N31" s="25"/>
      <c r="O31" s="25"/>
      <c r="P31" s="25"/>
      <c r="Q31" s="25"/>
      <c r="U31" s="330" t="s">
        <v>124</v>
      </c>
      <c r="V31" s="331">
        <v>0.05</v>
      </c>
      <c r="W31" s="331">
        <v>0.1</v>
      </c>
      <c r="X31" s="331">
        <f>(W31+Y31)/2</f>
        <v>0.25</v>
      </c>
      <c r="Y31" s="331">
        <v>0.4</v>
      </c>
      <c r="Z31" s="331">
        <f>(Y31+AA31)/2</f>
        <v>0.55000000000000004</v>
      </c>
      <c r="AA31" s="331">
        <v>0.7</v>
      </c>
      <c r="AB31" s="331">
        <f>(AA31+AC31)/2</f>
        <v>0.85</v>
      </c>
      <c r="AC31" s="331">
        <v>1</v>
      </c>
      <c r="AD31" s="332" t="s">
        <v>125</v>
      </c>
      <c r="AE31" s="331"/>
      <c r="AF31" s="331">
        <v>0.3</v>
      </c>
      <c r="AG31" s="331"/>
      <c r="AH31" s="331">
        <v>0.2</v>
      </c>
      <c r="AI31" s="331"/>
      <c r="AJ31" s="331">
        <v>0.3</v>
      </c>
      <c r="AK31" s="331"/>
      <c r="AL31" s="331">
        <v>0</v>
      </c>
      <c r="AM31" s="329"/>
      <c r="AN31" s="328"/>
      <c r="AO31" s="333"/>
    </row>
    <row r="32" spans="1:75">
      <c r="A32" s="25"/>
      <c r="B32" s="25"/>
      <c r="C32" s="42"/>
      <c r="D32" s="25" t="s">
        <v>80</v>
      </c>
      <c r="J32" s="42"/>
      <c r="K32" s="25"/>
      <c r="L32" s="1"/>
      <c r="M32" s="25"/>
      <c r="N32" s="25"/>
      <c r="O32" s="25"/>
      <c r="P32" s="25">
        <v>2202</v>
      </c>
      <c r="Q32" s="25"/>
      <c r="R32" s="25"/>
      <c r="S32" s="25"/>
      <c r="T32" s="25"/>
      <c r="U32" s="327"/>
      <c r="V32" s="328">
        <f>5/8</f>
        <v>0.625</v>
      </c>
      <c r="W32" s="328"/>
      <c r="X32" s="328">
        <v>0.5</v>
      </c>
      <c r="Y32" s="328"/>
      <c r="Z32" s="328">
        <v>0.5</v>
      </c>
      <c r="AA32" s="328"/>
      <c r="AB32" s="328">
        <v>0.5</v>
      </c>
      <c r="AC32" s="328"/>
      <c r="AD32" s="328"/>
      <c r="AE32" s="328">
        <f>5/8</f>
        <v>0.625</v>
      </c>
      <c r="AF32" s="328"/>
      <c r="AG32" s="328">
        <v>0.5</v>
      </c>
      <c r="AH32" s="328"/>
      <c r="AI32" s="328">
        <v>0.5</v>
      </c>
      <c r="AJ32" s="328"/>
      <c r="AK32" s="328">
        <v>0.5</v>
      </c>
      <c r="AL32" s="328"/>
      <c r="AM32" s="329"/>
      <c r="AN32" s="328"/>
      <c r="AO32" s="333"/>
    </row>
    <row r="33" spans="1:56" s="15" customFormat="1" ht="38.25">
      <c r="A33" s="27"/>
      <c r="B33" s="27" t="s">
        <v>82</v>
      </c>
      <c r="C33" s="27" t="s">
        <v>83</v>
      </c>
      <c r="D33" s="27" t="s">
        <v>1044</v>
      </c>
      <c r="E33" s="210" t="s">
        <v>1043</v>
      </c>
      <c r="F33" s="27" t="s">
        <v>1051</v>
      </c>
      <c r="G33" s="27" t="s">
        <v>1051</v>
      </c>
      <c r="H33" s="27" t="s">
        <v>88</v>
      </c>
      <c r="I33" s="27" t="s">
        <v>1052</v>
      </c>
      <c r="J33" s="27" t="s">
        <v>1056</v>
      </c>
      <c r="K33" s="27" t="s">
        <v>1051</v>
      </c>
      <c r="L33" s="27" t="s">
        <v>1051</v>
      </c>
      <c r="M33" s="27" t="s">
        <v>1051</v>
      </c>
      <c r="N33" s="27" t="s">
        <v>1051</v>
      </c>
      <c r="O33" s="27" t="s">
        <v>1051</v>
      </c>
      <c r="P33" s="27" t="str">
        <f>"EFF~"&amp;P36</f>
        <v>EFF~2020</v>
      </c>
      <c r="Q33" s="27" t="str">
        <f t="shared" ref="Q33:S33" si="1">"EFF~"&amp;Q36</f>
        <v>EFF~2030</v>
      </c>
      <c r="R33" s="27" t="str">
        <f t="shared" si="1"/>
        <v>EFF~2040</v>
      </c>
      <c r="S33" s="27" t="str">
        <f t="shared" si="1"/>
        <v>EFF~2050</v>
      </c>
      <c r="T33" s="27" t="s">
        <v>1051</v>
      </c>
      <c r="U33" s="27" t="s">
        <v>1051</v>
      </c>
      <c r="V33" s="15" t="str">
        <f>"FLO_MARK~UP~"&amp;V30</f>
        <v>FLO_MARK~UP~2017</v>
      </c>
      <c r="W33" s="15" t="str">
        <f t="shared" ref="W33:AC33" si="2">"FLO_MARK~UP~"&amp;W30</f>
        <v>FLO_MARK~UP~2020</v>
      </c>
      <c r="X33" s="15" t="str">
        <f t="shared" si="2"/>
        <v>FLO_MARK~UP~2025</v>
      </c>
      <c r="Y33" s="15" t="str">
        <f t="shared" si="2"/>
        <v>FLO_MARK~UP~2030</v>
      </c>
      <c r="Z33" s="15" t="str">
        <f t="shared" si="2"/>
        <v>FLO_MARK~UP~2035</v>
      </c>
      <c r="AA33" s="15" t="str">
        <f>"FLO_MARK~UP~"&amp;AA30</f>
        <v>FLO_MARK~UP~2040</v>
      </c>
      <c r="AB33" s="15" t="str">
        <f t="shared" si="2"/>
        <v>FLO_MARK~UP~2045</v>
      </c>
      <c r="AC33" s="15" t="str">
        <f t="shared" si="2"/>
        <v>FLO_MARK~UP~2050</v>
      </c>
      <c r="AD33" s="27" t="s">
        <v>1051</v>
      </c>
      <c r="AE33" s="15" t="st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15" t="str">
        <f t="shared" si="3"/>
        <v>FLO_MARK~LO~2040</v>
      </c>
      <c r="AK33" s="15" t="str">
        <f t="shared" si="3"/>
        <v>FLO_MARK~LO~2045</v>
      </c>
      <c r="AL33" s="15" t="str">
        <f t="shared" si="3"/>
        <v>FLO_MARK~LO~2050</v>
      </c>
      <c r="AM33" s="596"/>
      <c r="AN33" s="595"/>
      <c r="AO33" s="597"/>
    </row>
    <row r="34" spans="1:56" ht="77.25" thickBot="1">
      <c r="A34" s="524" t="s">
        <v>953</v>
      </c>
      <c r="B34" s="28" t="s">
        <v>90</v>
      </c>
      <c r="C34" s="28" t="s">
        <v>91</v>
      </c>
      <c r="D34" s="28" t="s">
        <v>92</v>
      </c>
      <c r="E34" s="28" t="s">
        <v>911</v>
      </c>
      <c r="F34" s="28" t="s">
        <v>94</v>
      </c>
      <c r="G34" s="28" t="s">
        <v>95</v>
      </c>
      <c r="H34" s="28" t="s">
        <v>96</v>
      </c>
      <c r="I34" s="28" t="s">
        <v>112</v>
      </c>
      <c r="J34" s="28"/>
      <c r="K34" s="211"/>
      <c r="L34" s="211" t="s">
        <v>830</v>
      </c>
      <c r="M34" s="211" t="s">
        <v>831</v>
      </c>
      <c r="N34" s="211" t="s">
        <v>859</v>
      </c>
      <c r="O34" s="28" t="s">
        <v>413</v>
      </c>
      <c r="P34" s="28" t="s">
        <v>604</v>
      </c>
      <c r="Q34" s="28" t="s">
        <v>605</v>
      </c>
      <c r="R34" s="28" t="s">
        <v>606</v>
      </c>
      <c r="S34" s="28" t="s">
        <v>607</v>
      </c>
      <c r="T34" s="28" t="s">
        <v>695</v>
      </c>
      <c r="U34" s="270" t="s">
        <v>126</v>
      </c>
      <c r="V34" s="130" t="s">
        <v>127</v>
      </c>
      <c r="W34" s="130" t="s">
        <v>127</v>
      </c>
      <c r="X34" s="130" t="s">
        <v>127</v>
      </c>
      <c r="Y34" s="130" t="s">
        <v>127</v>
      </c>
      <c r="Z34" s="130" t="s">
        <v>127</v>
      </c>
      <c r="AA34" s="130" t="s">
        <v>127</v>
      </c>
      <c r="AB34" s="130" t="s">
        <v>127</v>
      </c>
      <c r="AC34" s="130" t="s">
        <v>127</v>
      </c>
      <c r="AE34" s="130" t="s">
        <v>128</v>
      </c>
      <c r="AF34" s="130" t="s">
        <v>128</v>
      </c>
      <c r="AG34" s="130" t="s">
        <v>128</v>
      </c>
      <c r="AH34" s="130" t="s">
        <v>128</v>
      </c>
      <c r="AI34" s="130" t="s">
        <v>128</v>
      </c>
      <c r="AJ34" s="130" t="s">
        <v>128</v>
      </c>
      <c r="AK34" s="130" t="s">
        <v>128</v>
      </c>
      <c r="AL34" s="130" t="s">
        <v>128</v>
      </c>
      <c r="AM34" s="131" t="s">
        <v>100</v>
      </c>
      <c r="AN34" s="130"/>
      <c r="AO34" s="351"/>
      <c r="AP34" s="28" t="s">
        <v>854</v>
      </c>
    </row>
    <row r="35" spans="1:56" hidden="1">
      <c r="A35" s="577" t="s">
        <v>110</v>
      </c>
      <c r="B35" s="62"/>
      <c r="C35" s="62"/>
      <c r="D35" s="62"/>
      <c r="E35" s="62"/>
      <c r="F35" s="62"/>
      <c r="G35" s="62"/>
      <c r="H35" s="62"/>
      <c r="I35" s="62"/>
      <c r="J35" s="62"/>
      <c r="L35" s="415">
        <v>2017</v>
      </c>
      <c r="M35" s="415">
        <v>2017</v>
      </c>
      <c r="N35" s="415">
        <v>2017</v>
      </c>
      <c r="O35" s="62"/>
      <c r="P35" s="62"/>
      <c r="Q35" s="62"/>
      <c r="R35" s="62"/>
      <c r="S35" s="62"/>
      <c r="T35" s="62"/>
      <c r="U35" s="416"/>
      <c r="V35" s="351"/>
      <c r="W35" s="351"/>
      <c r="X35" s="351"/>
      <c r="Y35" s="351"/>
      <c r="Z35" s="351"/>
      <c r="AA35" s="351"/>
      <c r="AB35" s="351"/>
      <c r="AC35" s="351"/>
      <c r="AE35" s="351"/>
      <c r="AF35" s="351"/>
      <c r="AG35" s="351"/>
      <c r="AH35" s="351"/>
      <c r="AI35" s="351"/>
      <c r="AJ35" s="351"/>
      <c r="AK35" s="351"/>
      <c r="AL35" s="351"/>
      <c r="AM35" s="351"/>
      <c r="AN35" s="351"/>
      <c r="AO35" s="351"/>
    </row>
    <row r="36" spans="1:56" ht="38.25" hidden="1">
      <c r="A36" s="525" t="s">
        <v>954</v>
      </c>
      <c r="B36" s="29"/>
      <c r="C36" s="29"/>
      <c r="D36" s="29"/>
      <c r="E36" s="38" t="s">
        <v>102</v>
      </c>
      <c r="F36" s="38" t="s">
        <v>103</v>
      </c>
      <c r="G36" s="37" t="s">
        <v>104</v>
      </c>
      <c r="H36" s="39" t="s">
        <v>105</v>
      </c>
      <c r="I36" s="38" t="s">
        <v>161</v>
      </c>
      <c r="J36" s="38"/>
      <c r="L36" s="26" t="s">
        <v>106</v>
      </c>
      <c r="M36" s="26" t="s">
        <v>107</v>
      </c>
      <c r="N36" s="26" t="s">
        <v>107</v>
      </c>
      <c r="O36" s="25"/>
      <c r="P36" s="25">
        <v>2020</v>
      </c>
      <c r="Q36" s="25">
        <v>2030</v>
      </c>
      <c r="R36" s="25">
        <v>2040</v>
      </c>
      <c r="S36">
        <v>2050</v>
      </c>
      <c r="U36" s="269"/>
      <c r="V36" s="21" t="str">
        <f t="shared" ref="V36" si="4">"BU"&amp;V30</f>
        <v>BU2017</v>
      </c>
      <c r="W36" s="21" t="str">
        <f t="shared" ref="W36:AC36" si="5">"BU"&amp;W30</f>
        <v>BU2020</v>
      </c>
      <c r="X36" s="21" t="str">
        <f t="shared" si="5"/>
        <v>BU2025</v>
      </c>
      <c r="Y36" s="21" t="str">
        <f t="shared" si="5"/>
        <v>BU2030</v>
      </c>
      <c r="Z36" s="21" t="str">
        <f t="shared" si="5"/>
        <v>BU2035</v>
      </c>
      <c r="AA36" s="21" t="str">
        <f t="shared" si="5"/>
        <v>BU2040</v>
      </c>
      <c r="AB36" s="21" t="str">
        <f t="shared" si="5"/>
        <v>BU2045</v>
      </c>
      <c r="AC36" s="21" t="str">
        <f t="shared" si="5"/>
        <v>BU2050</v>
      </c>
      <c r="AD36" s="21"/>
      <c r="AE36" s="21" t="str">
        <f t="shared" ref="AE36" si="6">"BL"&amp;AE30</f>
        <v>BL2017</v>
      </c>
      <c r="AF36" s="21" t="str">
        <f t="shared" ref="AF36:AL36" si="7">"BL"&amp;AF30</f>
        <v>BL2020</v>
      </c>
      <c r="AG36" s="21" t="str">
        <f t="shared" si="7"/>
        <v>BL2025</v>
      </c>
      <c r="AH36" s="21" t="str">
        <f t="shared" si="7"/>
        <v>BL2030</v>
      </c>
      <c r="AI36" s="21" t="str">
        <f t="shared" si="7"/>
        <v>BL2035</v>
      </c>
      <c r="AJ36" s="21" t="str">
        <f t="shared" si="7"/>
        <v>BL2040</v>
      </c>
      <c r="AK36" s="21" t="str">
        <f t="shared" si="7"/>
        <v>BL2045</v>
      </c>
      <c r="AL36" s="21" t="str">
        <f t="shared" si="7"/>
        <v>BL2050</v>
      </c>
      <c r="AO36" s="21"/>
      <c r="AP36">
        <v>2017</v>
      </c>
    </row>
    <row r="37" spans="1:56" hidden="1">
      <c r="A37" s="47" t="s">
        <v>110</v>
      </c>
      <c r="B37" s="30"/>
      <c r="C37" s="31">
        <v>1</v>
      </c>
      <c r="D37" s="31">
        <f t="shared" ref="D37:I37" si="8">C37+1</f>
        <v>2</v>
      </c>
      <c r="E37" s="31">
        <f t="shared" si="8"/>
        <v>3</v>
      </c>
      <c r="F37" s="31">
        <f t="shared" si="8"/>
        <v>4</v>
      </c>
      <c r="G37" s="31">
        <f t="shared" si="8"/>
        <v>5</v>
      </c>
      <c r="H37" s="31">
        <f t="shared" si="8"/>
        <v>6</v>
      </c>
      <c r="I37" s="31">
        <f t="shared" si="8"/>
        <v>7</v>
      </c>
      <c r="J37" s="31"/>
      <c r="L37" s="117"/>
      <c r="M37" s="118"/>
      <c r="N37" s="118"/>
      <c r="O37" s="25"/>
      <c r="P37" s="25"/>
      <c r="Q37" s="25"/>
      <c r="R37" s="25"/>
      <c r="S37" s="25"/>
      <c r="T37" s="25"/>
      <c r="U37" s="269"/>
      <c r="V37" s="21" t="s">
        <v>1042</v>
      </c>
      <c r="W37" s="21" t="str">
        <f t="shared" ref="W37:AC37" si="9">"U"&amp;W$33</f>
        <v>UFLO_MARK~UP~2020</v>
      </c>
      <c r="X37" s="21" t="str">
        <f t="shared" si="9"/>
        <v>UFLO_MARK~UP~2025</v>
      </c>
      <c r="Y37" s="21" t="str">
        <f t="shared" si="9"/>
        <v>UFLO_MARK~UP~2030</v>
      </c>
      <c r="Z37" s="21" t="str">
        <f t="shared" si="9"/>
        <v>UFLO_MARK~UP~2035</v>
      </c>
      <c r="AA37" s="21" t="str">
        <f t="shared" si="9"/>
        <v>UFLO_MARK~UP~2040</v>
      </c>
      <c r="AB37" s="21" t="str">
        <f t="shared" si="9"/>
        <v>UFLO_MARK~UP~2045</v>
      </c>
      <c r="AC37" s="21" t="str">
        <f t="shared" si="9"/>
        <v>UFLO_MARK~UP~2050</v>
      </c>
      <c r="AD37" s="21"/>
      <c r="AE37" s="21" t="s">
        <v>78</v>
      </c>
      <c r="AF37" s="21" t="s">
        <v>78</v>
      </c>
      <c r="AG37" s="21" t="s">
        <v>78</v>
      </c>
      <c r="AH37" s="21" t="s">
        <v>78</v>
      </c>
      <c r="AI37" s="21" t="s">
        <v>78</v>
      </c>
      <c r="AJ37" s="21" t="s">
        <v>78</v>
      </c>
      <c r="AK37" s="21" t="s">
        <v>78</v>
      </c>
      <c r="AL37" s="21" t="s">
        <v>78</v>
      </c>
      <c r="AM37" s="25"/>
      <c r="AN37" s="25"/>
      <c r="AO37" s="21"/>
    </row>
    <row r="38" spans="1:56" s="233" customFormat="1" ht="15" hidden="1">
      <c r="A38" s="539" t="s">
        <v>957</v>
      </c>
      <c r="B38" s="540"/>
      <c r="C38" s="541"/>
      <c r="D38" s="541"/>
      <c r="E38" s="542"/>
      <c r="F38" s="542"/>
      <c r="G38" s="542"/>
      <c r="H38" s="542"/>
      <c r="I38" s="543"/>
      <c r="L38" s="544"/>
      <c r="M38" s="544"/>
      <c r="N38" s="545"/>
      <c r="O38" s="546"/>
      <c r="P38" s="547"/>
      <c r="Q38" s="547"/>
      <c r="R38" s="547"/>
      <c r="S38" s="547"/>
      <c r="T38" s="547"/>
      <c r="U38" s="547"/>
      <c r="V38" s="547"/>
      <c r="W38" s="547"/>
      <c r="X38" s="547"/>
      <c r="Y38" s="547"/>
      <c r="Z38" s="547"/>
      <c r="AA38" s="547"/>
      <c r="AB38" s="547"/>
      <c r="AC38" s="547"/>
      <c r="AE38" s="547"/>
      <c r="AF38" s="547"/>
      <c r="AG38" s="547"/>
      <c r="AH38" s="547"/>
      <c r="AI38" s="547"/>
      <c r="AJ38" s="547"/>
      <c r="AK38" s="547"/>
      <c r="AL38" s="547"/>
      <c r="AM38" s="547"/>
      <c r="AN38" s="547"/>
      <c r="AO38" s="548"/>
    </row>
    <row r="39" spans="1:56" s="166" customFormat="1" ht="15" outlineLevel="1">
      <c r="A39" s="108" t="s">
        <v>958</v>
      </c>
      <c r="B39" s="30" t="s">
        <v>327</v>
      </c>
      <c r="C39" s="43" t="s">
        <v>236</v>
      </c>
      <c r="D39" s="43" t="s">
        <v>249</v>
      </c>
      <c r="E39" s="487">
        <f>INDEX(Lighting!$V$25:$V$35,MATCH(RES!D39,Lighting!$E$25:$E$35,0))</f>
        <v>3.5618185364705877</v>
      </c>
      <c r="F39" s="559">
        <v>1</v>
      </c>
      <c r="G39" s="559">
        <v>1</v>
      </c>
      <c r="H39" s="559">
        <f>N39/F39*(1+$D$31)</f>
        <v>18.320590648355044</v>
      </c>
      <c r="I39" s="578">
        <v>1E-3</v>
      </c>
      <c r="J39" s="560">
        <v>0</v>
      </c>
      <c r="K39" s="1" t="s">
        <v>440</v>
      </c>
      <c r="L39" s="486">
        <v>1</v>
      </c>
      <c r="M39" s="486">
        <f>IF($B39="","",SUMIF(Lighting!$A$25:$A$35,RES!$B39,Lighting!$N$25:$N$35))</f>
        <v>5.1436058464979943</v>
      </c>
      <c r="N39" s="40">
        <f>E39*M39</f>
        <v>18.320590648355044</v>
      </c>
      <c r="O39" s="25"/>
      <c r="P39" s="605">
        <f>INDEX(Lighting!$V$25:$V$35,MATCH(RES!D39,Lighting!$E$25:$E$35,0))</f>
        <v>3.5618185364705877</v>
      </c>
      <c r="Q39" s="361">
        <f>IF($B39="","",SUMIF(Lighting!$A$25:$A$35,RES!$B39,Lighting!$W$25:$W$35))</f>
        <v>4.579538282274509</v>
      </c>
      <c r="R39" s="361">
        <f>IF($B39="","",SUMIF(Lighting!$A$25:$A$35,RES!$B39,Lighting!$X$25:$X$35))</f>
        <v>5.3019294117647053</v>
      </c>
      <c r="S39" s="361">
        <f>IF($B39="","",SUMIF(Lighting!$A$25:$A$35,RES!$B39,Lighting!$Y$25:$Y$35))</f>
        <v>5.3019294117647053</v>
      </c>
      <c r="T39" s="204"/>
      <c r="U39" s="417"/>
      <c r="V39" s="63">
        <f>(IFERROR(IF(N39/(SUMIF(RES!$D$39:$D$145,D39,$N$39:$N$145))=1,1,(N39/(SUMIF(RES!$D$39:$D$145,D39,$N$39:$N$145))+V$28)),0))</f>
        <v>1</v>
      </c>
      <c r="W39" s="63">
        <f>V39</f>
        <v>1</v>
      </c>
      <c r="X39" s="63">
        <f t="shared" ref="X39:AC39" si="10">W39</f>
        <v>1</v>
      </c>
      <c r="Y39" s="63">
        <f t="shared" si="10"/>
        <v>1</v>
      </c>
      <c r="Z39" s="63">
        <f t="shared" si="10"/>
        <v>1</v>
      </c>
      <c r="AA39" s="63">
        <f t="shared" si="10"/>
        <v>1</v>
      </c>
      <c r="AB39" s="63">
        <f t="shared" si="10"/>
        <v>1</v>
      </c>
      <c r="AC39" s="63">
        <f t="shared" si="10"/>
        <v>1</v>
      </c>
      <c r="AD39" s="63"/>
      <c r="AE39" s="273">
        <f>(IFERROR(IF($N39/(SUMIF(RES!$D$39:$D$145,$D39,$N$39:$N$145))=1,1,($N39/(SUMIF(RES!$D$39:$D$145,$D39,$N$39:$N$145))-$AE$28)),0))</f>
        <v>1</v>
      </c>
      <c r="AF39" s="63">
        <f>AE39</f>
        <v>1</v>
      </c>
      <c r="AG39" s="63">
        <f t="shared" ref="AG39:AL39" si="11">AF39</f>
        <v>1</v>
      </c>
      <c r="AH39" s="63">
        <f t="shared" si="11"/>
        <v>1</v>
      </c>
      <c r="AI39" s="63">
        <f t="shared" si="11"/>
        <v>1</v>
      </c>
      <c r="AJ39" s="63">
        <f t="shared" si="11"/>
        <v>1</v>
      </c>
      <c r="AK39" s="63">
        <f t="shared" si="11"/>
        <v>1</v>
      </c>
      <c r="AL39" s="63">
        <f t="shared" si="11"/>
        <v>1</v>
      </c>
      <c r="AM39" s="334">
        <f>ROW()</f>
        <v>39</v>
      </c>
      <c r="AN39" s="334"/>
      <c r="AO39" s="170" t="s">
        <v>507</v>
      </c>
      <c r="AP39" s="497">
        <f>E39</f>
        <v>3.5618185364705877</v>
      </c>
      <c r="AQ39"/>
      <c r="AR39"/>
      <c r="AS39"/>
      <c r="AT39"/>
      <c r="AU39"/>
      <c r="AV39"/>
      <c r="AW39"/>
      <c r="AX39"/>
      <c r="AY39"/>
      <c r="AZ39"/>
      <c r="BA39"/>
      <c r="BB39"/>
      <c r="BC39"/>
      <c r="BD39"/>
    </row>
    <row r="40" spans="1:56" s="166" customFormat="1" ht="15" hidden="1" outlineLevel="1">
      <c r="A40" s="108" t="s">
        <v>1047</v>
      </c>
      <c r="B40" s="30" t="s">
        <v>1046</v>
      </c>
      <c r="C40" s="43" t="s">
        <v>238</v>
      </c>
      <c r="D40" s="43" t="s">
        <v>266</v>
      </c>
      <c r="E40" s="43">
        <v>0.1</v>
      </c>
      <c r="F40" s="559">
        <v>1</v>
      </c>
      <c r="G40" s="559">
        <v>1</v>
      </c>
      <c r="H40" s="559">
        <f>N40/F40*(1+$D$31)</f>
        <v>3.6541482196776116E-2</v>
      </c>
      <c r="I40" s="578">
        <v>1E-3</v>
      </c>
      <c r="J40" s="560">
        <v>0</v>
      </c>
      <c r="K40"/>
      <c r="L40" s="559">
        <v>1</v>
      </c>
      <c r="M40" s="486">
        <f>IF(C40="","",SUMIFS(Energy_Balance!I$55:I$160,Energy_Balance!$C$55:$C$160,C40,Energy_Balance!$D$55:$D$160,D40)*L40)</f>
        <v>0.36541482196776115</v>
      </c>
      <c r="N40" s="40">
        <f>E40*M40</f>
        <v>3.6541482196776116E-2</v>
      </c>
      <c r="O40" s="25"/>
      <c r="P40" s="605">
        <f>E40</f>
        <v>0.1</v>
      </c>
      <c r="Q40" s="361">
        <f>P40</f>
        <v>0.1</v>
      </c>
      <c r="R40" s="361">
        <f t="shared" ref="R40:S40" si="12">Q40</f>
        <v>0.1</v>
      </c>
      <c r="S40" s="361">
        <f t="shared" si="12"/>
        <v>0.1</v>
      </c>
      <c r="T40" s="361"/>
      <c r="U40" s="50"/>
      <c r="V40" s="63">
        <f>(IFERROR(IF(N40/(SUMIF(RES!$D$39:$D$145,D40,$N$39:$N$145))=1,1,(N40/(SUMIF(RES!$D$39:$D$145,D40,$N$39:$N$145))+#REF!)),0))</f>
        <v>1</v>
      </c>
      <c r="W40" s="63">
        <f>V40</f>
        <v>1</v>
      </c>
      <c r="X40" s="63">
        <f t="shared" ref="X40:AC40" si="13">W40</f>
        <v>1</v>
      </c>
      <c r="Y40" s="63">
        <f t="shared" si="13"/>
        <v>1</v>
      </c>
      <c r="Z40" s="63">
        <f t="shared" si="13"/>
        <v>1</v>
      </c>
      <c r="AA40" s="63">
        <f t="shared" si="13"/>
        <v>1</v>
      </c>
      <c r="AB40" s="63">
        <f t="shared" si="13"/>
        <v>1</v>
      </c>
      <c r="AC40" s="63">
        <f t="shared" si="13"/>
        <v>1</v>
      </c>
      <c r="AD40" s="63"/>
      <c r="AE40" s="273">
        <f>(IFERROR(IF($N40/(SUMIF(RES!$D$39:$D$145,$D40,$N$39:$N$145))=1,1,($N40/(SUMIF(RES!$D$39:$D$145,$D40,$N$39:$N$145))-$AE$28)),0))</f>
        <v>1</v>
      </c>
      <c r="AF40" s="63">
        <f>AE40</f>
        <v>1</v>
      </c>
      <c r="AG40" s="63">
        <f t="shared" ref="AG40:AL40" si="14">AF40</f>
        <v>1</v>
      </c>
      <c r="AH40" s="63">
        <f t="shared" si="14"/>
        <v>1</v>
      </c>
      <c r="AI40" s="63">
        <f t="shared" si="14"/>
        <v>1</v>
      </c>
      <c r="AJ40" s="63">
        <f t="shared" si="14"/>
        <v>1</v>
      </c>
      <c r="AK40" s="63">
        <f t="shared" si="14"/>
        <v>1</v>
      </c>
      <c r="AL40" s="63">
        <f t="shared" si="14"/>
        <v>1</v>
      </c>
      <c r="AM40" s="334"/>
      <c r="AN40" s="334"/>
      <c r="AO40" s="170"/>
      <c r="AP40" s="497">
        <f>E40</f>
        <v>0.1</v>
      </c>
      <c r="AQ40"/>
      <c r="AR40"/>
      <c r="AS40"/>
      <c r="AT40"/>
      <c r="AU40"/>
      <c r="AV40"/>
      <c r="AW40"/>
      <c r="AX40"/>
      <c r="AY40"/>
      <c r="AZ40"/>
      <c r="BA40"/>
      <c r="BB40"/>
      <c r="BC40"/>
      <c r="BD40"/>
    </row>
    <row r="41" spans="1:56" s="192" customFormat="1" ht="15" hidden="1">
      <c r="A41" s="526" t="s">
        <v>955</v>
      </c>
      <c r="B41" s="527" t="s">
        <v>328</v>
      </c>
      <c r="C41" s="528" t="s">
        <v>328</v>
      </c>
      <c r="D41" s="537"/>
      <c r="E41" s="529" t="str">
        <f>IF(D41="","",IF(COUNTIF(#REF!,$B41)=1,SUMIF(#REF!,RES!B41,#REF!),SUMIF(#REF!,RES!$B41,#REF!)))</f>
        <v/>
      </c>
      <c r="F41" s="529" t="str">
        <f>IF($B41="","",SUMIF(#REF!,RES!$B41,#REF!))</f>
        <v/>
      </c>
      <c r="G41" s="538" t="str">
        <f>IF(B41="","",SUMIF(#REF!,RES!B41,#REF!))</f>
        <v/>
      </c>
      <c r="H41" s="531" t="str">
        <f t="shared" ref="H41:H42" si="15">IFERROR((N41/F41*(1+$D$31))," ")</f>
        <v xml:space="preserve"> </v>
      </c>
      <c r="I41" s="579" t="str">
        <f>IF($B41="","",SUMIF(#REF!,RES!$B41,#REF!))</f>
        <v/>
      </c>
      <c r="J41" s="538" t="str">
        <f>IF($B41="","",SUMIF(#REF!,RES!$B41,#REF!))</f>
        <v/>
      </c>
      <c r="K41" s="530"/>
      <c r="L41" s="531"/>
      <c r="M41" s="531">
        <f>SUM(M37:M39)</f>
        <v>5.1436058464979943</v>
      </c>
      <c r="N41" s="531">
        <f>SUM(N37:N39)</f>
        <v>18.320590648355044</v>
      </c>
      <c r="O41" s="193"/>
      <c r="P41" s="532"/>
      <c r="Q41" s="532"/>
      <c r="R41" s="532"/>
      <c r="S41" s="532"/>
      <c r="T41" s="533"/>
      <c r="U41" s="534"/>
      <c r="V41" s="534"/>
      <c r="W41" s="534"/>
      <c r="X41" s="534"/>
      <c r="Y41" s="534"/>
      <c r="Z41" s="534"/>
      <c r="AA41" s="534"/>
      <c r="AB41" s="534"/>
      <c r="AC41" s="534"/>
      <c r="AD41" s="534"/>
      <c r="AE41" s="535"/>
      <c r="AF41" s="534"/>
      <c r="AG41" s="534"/>
      <c r="AH41" s="534"/>
      <c r="AI41" s="534"/>
      <c r="AJ41" s="534"/>
      <c r="AK41" s="534"/>
      <c r="AL41" s="534"/>
      <c r="AO41" s="536"/>
    </row>
    <row r="42" spans="1:56" s="233" customFormat="1" ht="15" hidden="1">
      <c r="A42" s="539" t="s">
        <v>959</v>
      </c>
      <c r="B42" s="540" t="s">
        <v>328</v>
      </c>
      <c r="C42" s="549" t="s">
        <v>328</v>
      </c>
      <c r="D42" s="550"/>
      <c r="E42" s="551" t="str">
        <f>IF(D42="","",IF(COUNTIF(#REF!,$B42)=1,SUMIF(#REF!,RES!B42,#REF!),SUMIF(#REF!,RES!$B42,#REF!)))</f>
        <v/>
      </c>
      <c r="F42" s="551" t="str">
        <f>IF($B42="","",SUMIF(#REF!,RES!$B42,#REF!))</f>
        <v/>
      </c>
      <c r="G42" s="552" t="str">
        <f>IF(B42="","",SUMIF(#REF!,RES!B42,#REF!))</f>
        <v/>
      </c>
      <c r="H42" s="553" t="str">
        <f t="shared" si="15"/>
        <v xml:space="preserve"> </v>
      </c>
      <c r="I42" s="580" t="str">
        <f>IF($B42="","",SUMIF(#REF!,RES!$B42,#REF!))</f>
        <v/>
      </c>
      <c r="J42" s="552" t="str">
        <f>IF($B42="","",SUMIF(#REF!,RES!$B42,#REF!))</f>
        <v/>
      </c>
      <c r="K42" s="541"/>
      <c r="L42" s="553"/>
      <c r="M42" s="553"/>
      <c r="N42" s="553"/>
      <c r="O42" s="546"/>
      <c r="P42" s="554"/>
      <c r="Q42" s="554"/>
      <c r="R42" s="554"/>
      <c r="S42" s="554"/>
      <c r="T42" s="555"/>
      <c r="U42" s="556"/>
      <c r="V42" s="556"/>
      <c r="W42" s="556"/>
      <c r="X42" s="556"/>
      <c r="Y42" s="556"/>
      <c r="Z42" s="556"/>
      <c r="AA42" s="556"/>
      <c r="AB42" s="556"/>
      <c r="AC42" s="556"/>
      <c r="AD42" s="556"/>
      <c r="AE42" s="598"/>
      <c r="AF42" s="556"/>
      <c r="AG42" s="556"/>
      <c r="AH42" s="556"/>
      <c r="AI42" s="556"/>
      <c r="AJ42" s="556"/>
      <c r="AK42" s="556"/>
      <c r="AL42" s="556"/>
      <c r="AO42" s="548"/>
    </row>
    <row r="43" spans="1:56" ht="15" outlineLevel="1">
      <c r="A43" s="108" t="s">
        <v>960</v>
      </c>
      <c r="B43" s="30" t="s">
        <v>329</v>
      </c>
      <c r="C43" s="43" t="s">
        <v>236</v>
      </c>
      <c r="D43" s="43" t="s">
        <v>250</v>
      </c>
      <c r="E43" s="495">
        <f>INDEX('Electrical efficiency'!$L$8:$L$23,MATCH(RES!D43,'Electrical efficiency'!$K$8:$K$23,0))</f>
        <v>0.8</v>
      </c>
      <c r="F43" s="559">
        <v>1</v>
      </c>
      <c r="G43" s="559">
        <v>1</v>
      </c>
      <c r="H43" s="559">
        <f>N43/F43*(1+$D$31)</f>
        <v>7.7122489268427179</v>
      </c>
      <c r="I43" s="578">
        <v>1E-3</v>
      </c>
      <c r="J43" s="487">
        <v>0</v>
      </c>
      <c r="K43" s="48" t="s">
        <v>912</v>
      </c>
      <c r="L43" s="486">
        <v>1</v>
      </c>
      <c r="M43" s="486">
        <f>IF(C43="","",SUMIFS(Energy_Balance!I$55:I$160,Energy_Balance!$C$55:$C$160,C43,Energy_Balance!$D$55:$D$160,D43)*L43)</f>
        <v>9.6403111585533967</v>
      </c>
      <c r="N43" s="486">
        <f>E43*M43</f>
        <v>7.7122489268427179</v>
      </c>
      <c r="O43" s="25"/>
      <c r="P43" s="605">
        <f>INDEX('Electrical efficiency'!$M$8:$M$23,MATCH(RES!D43,'Electrical efficiency'!$K$8:$K$23,0))</f>
        <v>0.80808080808080818</v>
      </c>
      <c r="Q43" s="167">
        <f>INDEX('Electrical efficiency'!$N$8:$N$23,MATCH(RES!D43,'Electrical efficiency'!$K$8:$K$23,0))</f>
        <v>0.85106382978723405</v>
      </c>
      <c r="R43" s="167">
        <f>INDEX('Electrical efficiency'!$O$8:$O$23,MATCH(RES!D43,'Electrical efficiency'!$K$8:$K$23,0))</f>
        <v>0.86021505376344087</v>
      </c>
      <c r="S43" s="167">
        <f>INDEX('Electrical efficiency'!$P$8:$P$23,MATCH(RES!D43,'Electrical efficiency'!$K$8:$K$23,0))</f>
        <v>0.86021505376344087</v>
      </c>
      <c r="T43" s="204"/>
      <c r="U43" s="50"/>
      <c r="V43" s="63">
        <f>(IFERROR(IF(N43/(SUMIF(RES!$D$39:$D$145,D43,$N$39:$N$145))=1,1,(N43/(SUMIF(RES!$D$39:$D$145,D43,$N$39:$N$145))+$V$28)),0))</f>
        <v>0.64141606003273188</v>
      </c>
      <c r="W43" s="63">
        <f>IF($V43*(1+'Census 2011_17'!B$20)+W$28&lt;1,$V43*(1+'Census 2011_17'!B$20)+W$28,1)</f>
        <v>0.67066766463449989</v>
      </c>
      <c r="X43" s="63">
        <f>IF($V43*(1+'Census 2011_17'!C$20)+X$28&lt;1,$V43*(1+'Census 2011_17'!C$20)+X$28,1)</f>
        <v>0.69309477915432793</v>
      </c>
      <c r="Y43" s="63">
        <f>IF($V43*(1+'Census 2011_17'!D$20)+Y$28&lt;1,$V43*(1+'Census 2011_17'!D$20)+Y$28,1)</f>
        <v>0.71452189367415608</v>
      </c>
      <c r="Z43" s="63">
        <f>IF($V43*(1+'Census 2011_17'!E$20)+Z$28&lt;1,$V43*(1+'Census 2011_17'!E$20)+Z$28,1)</f>
        <v>0.7524490081939843</v>
      </c>
      <c r="AA43" s="63">
        <f>IF($V43*(1+'Census 2011_17'!F$20)+AA$28&lt;1,$V43*(1+'Census 2011_17'!F$20)+AA$28,1)</f>
        <v>0.7933761227138123</v>
      </c>
      <c r="AB43" s="63">
        <f>IF($V43*(1+'Census 2011_17'!G$20)+AB$28&lt;1,$V43*(1+'Census 2011_17'!G$20)+AB$28,1)</f>
        <v>0.83337612271381223</v>
      </c>
      <c r="AC43" s="63">
        <f>IF($V43*(1+'Census 2011_17'!H$20)+AC$28&lt;1,$V43*(1+'Census 2011_17'!H$20)+AC$28,1)</f>
        <v>0.9133761227138123</v>
      </c>
      <c r="AD43" s="63"/>
      <c r="AE43" s="63">
        <f>(IFERROR(IF($N43/(SUMIF(RES!$D$39:$D$145,$D43,$N$39:$N$145))=1,1,($N43/(SUMIF(RES!$D$39:$D$145,$D43,$N$39:$N$145))-AE$28)),0))</f>
        <v>0.64031606003273189</v>
      </c>
      <c r="AF43" s="63">
        <f>$AE43*(1+'Census 2011_17'!B$20)-AF$28</f>
        <v>0.66351921438980177</v>
      </c>
      <c r="AG43" s="63">
        <f>$AE43*(1+'Census 2011_17'!C$20)-AG$28</f>
        <v>0.68591043983948308</v>
      </c>
      <c r="AH43" s="63">
        <f>$AE43*(1+'Census 2011_17'!D$20)-AH$28</f>
        <v>0.70680166528916422</v>
      </c>
      <c r="AI43" s="63">
        <f>$AE43*(1+'Census 2011_17'!E$20)-AI$28</f>
        <v>0.72869289073884569</v>
      </c>
      <c r="AJ43" s="63">
        <f>$AE43*(1+'Census 2011_17'!F$20)-AJ$28</f>
        <v>0.74958411618852683</v>
      </c>
      <c r="AK43" s="63">
        <f>$AE43*(1+'Census 2011_17'!G$20)-AK$28</f>
        <v>0.74958411618852683</v>
      </c>
      <c r="AL43" s="63">
        <f>$AE43*(1+'Census 2011_17'!H$20)-AL$28</f>
        <v>0.74958411618852683</v>
      </c>
      <c r="AO43" s="250" t="s">
        <v>110</v>
      </c>
      <c r="AP43" s="497">
        <f>E43</f>
        <v>0.8</v>
      </c>
    </row>
    <row r="44" spans="1:56" s="166" customFormat="1" ht="15" hidden="1" outlineLevel="1">
      <c r="A44" s="108" t="s">
        <v>961</v>
      </c>
      <c r="B44" s="30" t="s">
        <v>330</v>
      </c>
      <c r="C44" s="43" t="s">
        <v>237</v>
      </c>
      <c r="D44" s="43" t="s">
        <v>250</v>
      </c>
      <c r="E44" s="487">
        <v>0.61</v>
      </c>
      <c r="F44" s="559">
        <v>1</v>
      </c>
      <c r="G44" s="559">
        <v>1</v>
      </c>
      <c r="H44" s="559">
        <f>N44/F44*(1+$D$31)</f>
        <v>0.64294502719825097</v>
      </c>
      <c r="I44" s="578">
        <v>1E-3</v>
      </c>
      <c r="J44" s="487">
        <v>0</v>
      </c>
      <c r="K44" s="48"/>
      <c r="L44" s="486">
        <f>IF(COUNTIFS(C42:C145,C44,D42:D145,D44)=1,1,0)</f>
        <v>1</v>
      </c>
      <c r="M44" s="486">
        <f>IF(C44="","",SUMIFS(Energy_Balance!I$55:I$160,Energy_Balance!$C$55:$C$160,C44,Energy_Balance!$D$55:$D$160,D44)*L44)</f>
        <v>1.0540082413086083</v>
      </c>
      <c r="N44" s="486">
        <f t="shared" ref="N44:N84" si="16">E44*M44</f>
        <v>0.64294502719825097</v>
      </c>
      <c r="O44" s="25"/>
      <c r="P44" s="605">
        <f>E44</f>
        <v>0.61</v>
      </c>
      <c r="Q44" s="167">
        <f>IF($AO44="","",($S44-$P44)*1/3+$P44)</f>
        <v>0.61</v>
      </c>
      <c r="R44" s="167">
        <f>IF($AO44="","",($S44-$P44)*2/3+$P44)</f>
        <v>0.61</v>
      </c>
      <c r="S44" s="167">
        <f>IF($AO44="","",IF($AO44="*",$AP44*(1+$P$29),E44))</f>
        <v>0.61</v>
      </c>
      <c r="T44" s="204"/>
      <c r="U44" s="50"/>
      <c r="V44" s="63">
        <f>IF((IFERROR(IF(N44/(SUMIF(RES!$D$39:$D$145,D44,$N$39:$N$145))=1,1,(N44/(SUMIF(RES!$D$39:$D$145,D44,$N$39:$N$145))+$V$29)),0))&lt;1,(IFERROR(IF(N44/(SUMIF(RES!$D$39:$D$145,D44,$N$39:$N$145))=1,1,(N44/(SUMIF(RES!$D$39:$D$145,D44,$N$39:$N$145))+$V$29)),0)),1)</f>
        <v>5.4389397183851905E-2</v>
      </c>
      <c r="W44" s="63">
        <f>$V44-$V$43*'Census 2011_17'!B$20*RES!$V44/(1-RES!$V$43)+RES!W$29</f>
        <v>5.5104242238242902E-2</v>
      </c>
      <c r="X44" s="63">
        <f>$V44-$V$43*'Census 2011_17'!C$20*RES!$V44/(1-RES!$V$43)+RES!X$29</f>
        <v>4.9930053389643667E-2</v>
      </c>
      <c r="Y44" s="63">
        <f>$V44-$V$43*'Census 2011_17'!D$20*RES!$V44/(1-RES!$V$43)+RES!Y$29</f>
        <v>4.6755864541044419E-2</v>
      </c>
      <c r="Z44" s="63">
        <f>$V44-$V$43*'Census 2011_17'!E$20*RES!$V44/(1-RES!$V$43)+RES!Z$29</f>
        <v>4.3081675692445164E-2</v>
      </c>
      <c r="AA44" s="63">
        <f>$V44-$V$43*'Census 2011_17'!F$20*RES!$V44/(1-RES!$V$43)+RES!AA$29</f>
        <v>3.7407486843845907E-2</v>
      </c>
      <c r="AB44" s="63">
        <f>$V44-$V$43*'Census 2011_17'!G$20*RES!$V44/(1-RES!$V$43)+RES!AB$29</f>
        <v>3.7407486843845907E-2</v>
      </c>
      <c r="AC44" s="63">
        <f>$V44-$V$43*'Census 2011_17'!H$20*RES!$V44/(1-RES!$V$43)+RES!AC$29</f>
        <v>3.7407486843845907E-2</v>
      </c>
      <c r="AD44" s="50"/>
      <c r="AE44" s="63">
        <f>(IFERROR(IF($N44/(SUMIF(RES!$D$39:$D$145,$D44,$N$39:$N$145))=1,1,($N44/(SUMIF(RES!$D$39:$D$145,$D44,$N$39:$N$145)))),0))-AE$29</f>
        <v>5.3289397183851901E-2</v>
      </c>
      <c r="AF44" s="63">
        <f>IF(W44-AF$29&lt;0,0,W44-AF$29)</f>
        <v>5.0104242238242905E-2</v>
      </c>
      <c r="AG44" s="63">
        <f t="shared" ref="AG44:AG47" si="17">IF(X44-AG$29&lt;0,0,X44-AG$29)</f>
        <v>4.6430053389643663E-2</v>
      </c>
      <c r="AH44" s="63">
        <f t="shared" ref="AH44:AH47" si="18">IF(Y44-AH$29&lt;0,0,Y44-AH$29)</f>
        <v>3.6755864541044417E-2</v>
      </c>
      <c r="AI44" s="63">
        <f t="shared" ref="AI44:AI47" si="19">IF(Z44-AI$29&lt;0,0,Z44-AI$29)</f>
        <v>3.3081675692445162E-2</v>
      </c>
      <c r="AJ44" s="63">
        <f t="shared" ref="AJ44:AJ47" si="20">IF(AA44-AJ$29&lt;0,0,AA44-AJ$29)</f>
        <v>2.6407486843845907E-2</v>
      </c>
      <c r="AK44" s="63">
        <f t="shared" ref="AK44:AK47" si="21">IF(AB44-AK$29&lt;0,0,AB44-AK$29)</f>
        <v>2.4907486843845906E-2</v>
      </c>
      <c r="AL44" s="63">
        <f t="shared" ref="AL44:AL47" si="22">IF(AC44-AL$29&lt;0,0,AC44-AL$29)</f>
        <v>2.2407486843845907E-2</v>
      </c>
      <c r="AM44"/>
      <c r="AN44"/>
      <c r="AO44" s="180" t="s">
        <v>507</v>
      </c>
      <c r="AP44" s="497">
        <f>E44</f>
        <v>0.61</v>
      </c>
      <c r="AQ44"/>
      <c r="AR44"/>
      <c r="AS44"/>
      <c r="AT44"/>
      <c r="AU44"/>
      <c r="AV44"/>
      <c r="AW44"/>
      <c r="AX44"/>
      <c r="AY44"/>
      <c r="AZ44"/>
      <c r="BA44"/>
      <c r="BB44"/>
      <c r="BC44"/>
      <c r="BD44"/>
    </row>
    <row r="45" spans="1:56" s="166" customFormat="1" ht="15" hidden="1" outlineLevel="1">
      <c r="A45" s="108" t="s">
        <v>962</v>
      </c>
      <c r="B45" s="30" t="s">
        <v>331</v>
      </c>
      <c r="C45" s="43" t="s">
        <v>239</v>
      </c>
      <c r="D45" s="43" t="s">
        <v>250</v>
      </c>
      <c r="E45" s="488">
        <v>8.2000000000000003E-2</v>
      </c>
      <c r="F45" s="559">
        <v>1</v>
      </c>
      <c r="G45" s="559">
        <v>1</v>
      </c>
      <c r="H45" s="559">
        <f>N45/F45*(1+$D$31)</f>
        <v>2.7504606393853837</v>
      </c>
      <c r="I45" s="578">
        <v>1E-3</v>
      </c>
      <c r="J45" s="487">
        <v>0</v>
      </c>
      <c r="K45" s="48"/>
      <c r="L45" s="486">
        <f>IF(COUNTIFS(C44:C145,C45,D44:D145,D45)=1,1,0)</f>
        <v>1</v>
      </c>
      <c r="M45" s="486">
        <f>IF(C45="","",SUMIFS(Energy_Balance!I$55:I$160,Energy_Balance!$C$55:$C$160,C45,Energy_Balance!$D$55:$D$160,D45)*L45)</f>
        <v>33.542202919333945</v>
      </c>
      <c r="N45" s="486">
        <f t="shared" si="16"/>
        <v>2.7504606393853837</v>
      </c>
      <c r="O45" s="25"/>
      <c r="P45" s="605">
        <f>E45</f>
        <v>8.2000000000000003E-2</v>
      </c>
      <c r="Q45" s="167">
        <f>IF($AO45="","",($S45-$P45)*1/3+$P45)</f>
        <v>8.2000000000000003E-2</v>
      </c>
      <c r="R45" s="167">
        <f>IF($AO45="","",($S45-$P45)*2/3+$P45)</f>
        <v>8.2000000000000003E-2</v>
      </c>
      <c r="S45" s="167">
        <f>IF($AO45="","",IF($AO45="*",$AP45*(1+$P$29),E45))</f>
        <v>8.2000000000000003E-2</v>
      </c>
      <c r="T45" s="204"/>
      <c r="U45" s="50"/>
      <c r="V45" s="63">
        <f>IF((IFERROR(IF(N45/(SUMIF(RES!$D$39:$D$145,D45,$N$39:$N$145))=1,1,(N45/(SUMIF(RES!$D$39:$D$145,D45,$N$39:$N$145))+$V$29)),0))&lt;1,(IFERROR(IF(N45/(SUMIF(RES!$D$39:$D$145,D45,$N$39:$N$145))=1,1,(N45/(SUMIF(RES!$D$39:$D$145,D45,$N$39:$N$145))+$V$29)),0)),1)</f>
        <v>0.22939500937522297</v>
      </c>
      <c r="W45" s="63">
        <f>$V45-$V$43*'Census 2011_17'!B$20*RES!$V45/(1-RES!$V$43)+RES!W$29</f>
        <v>0.21632175962767647</v>
      </c>
      <c r="X45" s="63">
        <f>$V45-$V$43*'Census 2011_17'!C$20*RES!$V45/(1-RES!$V$43)+RES!X$29</f>
        <v>0.20093416722208648</v>
      </c>
      <c r="Y45" s="63">
        <f>$V45-$V$43*'Census 2011_17'!D$20*RES!$V45/(1-RES!$V$43)+RES!Y$29</f>
        <v>0.1875465748164965</v>
      </c>
      <c r="Z45" s="63">
        <f>$V45-$V$43*'Census 2011_17'!E$20*RES!$V45/(1-RES!$V$43)+RES!Z$29</f>
        <v>0.17365898241090652</v>
      </c>
      <c r="AA45" s="63">
        <f>$V45-$V$43*'Census 2011_17'!F$20*RES!$V45/(1-RES!$V$43)+RES!AA$29</f>
        <v>0.15777139000531648</v>
      </c>
      <c r="AB45" s="63">
        <f>$V45-$V$43*'Census 2011_17'!G$20*RES!$V45/(1-RES!$V$43)+RES!AB$29</f>
        <v>0.15777139000531648</v>
      </c>
      <c r="AC45" s="63">
        <f>$V45-$V$43*'Census 2011_17'!H$20*RES!$V45/(1-RES!$V$43)+RES!AC$29</f>
        <v>0.15777139000531648</v>
      </c>
      <c r="AD45" s="50"/>
      <c r="AE45" s="63">
        <f>(IFERROR(IF($N45/(SUMIF(RES!$D$39:$D$145,$D45,$N$39:$N$145))=1,1,($N45/(SUMIF(RES!$D$39:$D$145,$D45,$N$39:$N$145)))),0))-AE$29</f>
        <v>0.22829500937522298</v>
      </c>
      <c r="AF45" s="63">
        <f t="shared" ref="AF45:AF47" si="23">IF(W45-AF$29&lt;0,0,W45-AF$29)</f>
        <v>0.21132175962767646</v>
      </c>
      <c r="AG45" s="63">
        <f t="shared" si="17"/>
        <v>0.19743416722208648</v>
      </c>
      <c r="AH45" s="63">
        <f t="shared" si="18"/>
        <v>0.17754657481649649</v>
      </c>
      <c r="AI45" s="63">
        <f t="shared" si="19"/>
        <v>0.16365898241090651</v>
      </c>
      <c r="AJ45" s="63">
        <f t="shared" si="20"/>
        <v>0.14677139000531647</v>
      </c>
      <c r="AK45" s="63">
        <f t="shared" si="21"/>
        <v>0.14527139000531647</v>
      </c>
      <c r="AL45" s="63">
        <f t="shared" si="22"/>
        <v>0.14277139000531647</v>
      </c>
      <c r="AM45"/>
      <c r="AN45"/>
      <c r="AO45" s="250" t="s">
        <v>110</v>
      </c>
      <c r="AP45" s="497">
        <f>E45</f>
        <v>8.2000000000000003E-2</v>
      </c>
      <c r="AQ45"/>
      <c r="AR45"/>
      <c r="AS45"/>
      <c r="AT45"/>
      <c r="AU45"/>
      <c r="AV45"/>
      <c r="AW45"/>
      <c r="AX45"/>
      <c r="AY45"/>
      <c r="AZ45"/>
      <c r="BA45"/>
      <c r="BB45"/>
      <c r="BC45"/>
      <c r="BD45"/>
    </row>
    <row r="46" spans="1:56" ht="15" hidden="1" outlineLevel="1">
      <c r="A46" s="108" t="s">
        <v>963</v>
      </c>
      <c r="B46" s="30" t="s">
        <v>332</v>
      </c>
      <c r="C46" s="43" t="s">
        <v>240</v>
      </c>
      <c r="D46" s="43" t="s">
        <v>250</v>
      </c>
      <c r="E46" s="489">
        <v>0.12</v>
      </c>
      <c r="F46" s="559">
        <v>1</v>
      </c>
      <c r="G46" s="559">
        <v>1</v>
      </c>
      <c r="H46" s="559">
        <f>N46/F46*(1+$D$31)</f>
        <v>0.26328241630930677</v>
      </c>
      <c r="I46" s="578">
        <v>1E-3</v>
      </c>
      <c r="J46" s="487">
        <v>0</v>
      </c>
      <c r="K46" s="48"/>
      <c r="L46" s="486">
        <f>IF(COUNTIFS(C44:C145,C46,D44:D145,D46)=1,1,0)</f>
        <v>1</v>
      </c>
      <c r="M46" s="486">
        <f>IF(C46="","",SUMIFS(Energy_Balance!I$55:I$160,Energy_Balance!$C$55:$C$160,C46,Energy_Balance!$D$55:$D$160,D46)*L46)</f>
        <v>2.1940201359108897</v>
      </c>
      <c r="N46" s="486">
        <f>E46*M46</f>
        <v>0.26328241630930677</v>
      </c>
      <c r="O46" s="25"/>
      <c r="P46" s="605">
        <f>E46</f>
        <v>0.12</v>
      </c>
      <c r="Q46" s="167">
        <f>IF($AO46="","",($S46-$P46)*1/3+$P46)</f>
        <v>0.12</v>
      </c>
      <c r="R46" s="167">
        <f>IF($AO46="","",($S46-$P46)*2/3+$P46)</f>
        <v>0.12</v>
      </c>
      <c r="S46" s="167">
        <f>IF($AO46="","",IF($AO46="*",$AP46*(1+$P$29),E46))</f>
        <v>0.12</v>
      </c>
      <c r="T46" s="204"/>
      <c r="U46" s="50"/>
      <c r="V46" s="63">
        <f>IF((IFERROR(IF(N46/(SUMIF(RES!$D$39:$D$145,D46,$N$39:$N$145))=1,1,(N46/(SUMIF(RES!$D$39:$D$145,D46,$N$39:$N$145))+$V$29)),0))&lt;1,(IFERROR(IF(N46/(SUMIF(RES!$D$39:$D$145,D46,$N$39:$N$145))=1,1,(N46/(SUMIF(RES!$D$39:$D$145,D46,$N$39:$N$145))+$V$29)),0)),1)</f>
        <v>2.2862661504849831E-2</v>
      </c>
      <c r="W46" s="63">
        <f>$V46-$V$43*'Census 2011_17'!B$20*RES!$V46/(1-RES!$V$43)+RES!W$29</f>
        <v>2.6061390446703619E-2</v>
      </c>
      <c r="X46" s="63">
        <f>$V46-$V$43*'Census 2011_17'!C$20*RES!$V46/(1-RES!$V$43)+RES!X$29</f>
        <v>2.2727115588817536E-2</v>
      </c>
      <c r="Y46" s="63">
        <f>$V46-$V$43*'Census 2011_17'!D$20*RES!$V46/(1-RES!$V$43)+RES!Y$29</f>
        <v>2.1392840730931454E-2</v>
      </c>
      <c r="Z46" s="63">
        <f>$V46-$V$43*'Census 2011_17'!E$20*RES!$V46/(1-RES!$V$43)+RES!Z$29</f>
        <v>1.9558565873045369E-2</v>
      </c>
      <c r="AA46" s="63">
        <f>$V46-$V$43*'Census 2011_17'!F$20*RES!$V46/(1-RES!$V$43)+RES!AA$29</f>
        <v>1.5724291015159285E-2</v>
      </c>
      <c r="AB46" s="63">
        <f>$V46-$V$43*'Census 2011_17'!G$20*RES!$V46/(1-RES!$V$43)+RES!AB$29</f>
        <v>1.5724291015159285E-2</v>
      </c>
      <c r="AC46" s="63">
        <f>$V46-$V$43*'Census 2011_17'!H$20*RES!$V46/(1-RES!$V$43)+RES!AC$29</f>
        <v>1.5724291015159285E-2</v>
      </c>
      <c r="AD46" s="50"/>
      <c r="AE46" s="63">
        <f>(IFERROR(IF($N46/(SUMIF(RES!$D$39:$D$145,$D46,$N$39:$N$145))=1,1,($N46/(SUMIF(RES!$D$39:$D$145,$D46,$N$39:$N$145)))),0))-AE$29</f>
        <v>2.1762661504849831E-2</v>
      </c>
      <c r="AF46" s="63">
        <f t="shared" si="23"/>
        <v>2.1061390446703618E-2</v>
      </c>
      <c r="AG46" s="63">
        <f t="shared" si="17"/>
        <v>1.9227115588817536E-2</v>
      </c>
      <c r="AH46" s="63">
        <f t="shared" si="18"/>
        <v>1.1392840730931454E-2</v>
      </c>
      <c r="AI46" s="63">
        <f t="shared" si="19"/>
        <v>9.5585658730453684E-3</v>
      </c>
      <c r="AJ46" s="63">
        <f t="shared" si="20"/>
        <v>4.7242910151592855E-3</v>
      </c>
      <c r="AK46" s="63">
        <f t="shared" si="21"/>
        <v>3.2242910151592842E-3</v>
      </c>
      <c r="AL46" s="63">
        <f t="shared" si="22"/>
        <v>7.2429101515928546E-4</v>
      </c>
      <c r="AO46" s="250" t="s">
        <v>110</v>
      </c>
      <c r="AP46" s="497">
        <f>E46</f>
        <v>0.12</v>
      </c>
    </row>
    <row r="47" spans="1:56" s="166" customFormat="1" ht="15" hidden="1" outlineLevel="1">
      <c r="A47" s="108" t="s">
        <v>964</v>
      </c>
      <c r="B47" s="30" t="s">
        <v>333</v>
      </c>
      <c r="C47" s="43" t="s">
        <v>238</v>
      </c>
      <c r="D47" s="43" t="s">
        <v>250</v>
      </c>
      <c r="E47" s="487">
        <v>0.45</v>
      </c>
      <c r="F47" s="559">
        <v>1</v>
      </c>
      <c r="G47" s="559">
        <v>1</v>
      </c>
      <c r="H47" s="559">
        <f>N47/F47*(1+$D$31)</f>
        <v>0.67362314474975793</v>
      </c>
      <c r="I47" s="578">
        <v>1E-3</v>
      </c>
      <c r="J47" s="487">
        <v>0</v>
      </c>
      <c r="K47" s="48"/>
      <c r="L47" s="486">
        <f>IF(COUNTIFS(C45:C145,C47,D45:D145,D47)=1,1,0)</f>
        <v>1</v>
      </c>
      <c r="M47" s="486">
        <f>IF(C47="","",SUMIFS(Energy_Balance!I$55:I$160,Energy_Balance!$C$55:$C$160,C47,Energy_Balance!$D$55:$D$160,D47)*L47)</f>
        <v>1.4969403216661288</v>
      </c>
      <c r="N47" s="486">
        <f t="shared" si="16"/>
        <v>0.67362314474975793</v>
      </c>
      <c r="O47" s="25"/>
      <c r="P47" s="605">
        <f>E47</f>
        <v>0.45</v>
      </c>
      <c r="Q47" s="167">
        <f>IF($AO47="","",($S47-$P47)*1/3+$P47)</f>
        <v>0.45</v>
      </c>
      <c r="R47" s="167">
        <f>IF($AO47="","",($S47-$P47)*2/3+$P47)</f>
        <v>0.45</v>
      </c>
      <c r="S47" s="167">
        <f>IF($AO47="","",IF($AO47="*",$AP47*(1+$P$29),E47))</f>
        <v>0.45</v>
      </c>
      <c r="T47" s="204"/>
      <c r="U47" s="50"/>
      <c r="V47" s="63">
        <f>IF((IFERROR(IF(N47/(SUMIF(RES!$D$39:$D$145,D47,$N$39:$N$145))=1,1,(N47/(SUMIF(RES!$D$39:$D$145,D47,$N$39:$N$145))+$V$29)),0))&lt;1,(IFERROR(IF(N47/(SUMIF(RES!$D$39:$D$145,D47,$N$39:$N$145))=1,1,(N47/(SUMIF(RES!$D$39:$D$145,D47,$N$39:$N$145))+$V$29)),0)),1)</f>
        <v>5.6936871903343386E-2</v>
      </c>
      <c r="W47" s="63">
        <f>$V47-$V$43*'Census 2011_17'!B$20*RES!$V47/(1-RES!$V$43)+RES!W$29</f>
        <v>5.7451010120404634E-2</v>
      </c>
      <c r="X47" s="63">
        <f>$V47-$V$43*'Census 2011_17'!C$20*RES!$V47/(1-RES!$V$43)+RES!X$29</f>
        <v>5.2128149540450017E-2</v>
      </c>
      <c r="Y47" s="63">
        <f>$V47-$V$43*'Census 2011_17'!D$20*RES!$V47/(1-RES!$V$43)+RES!Y$29</f>
        <v>4.8805288960495394E-2</v>
      </c>
      <c r="Z47" s="63">
        <f>$V47-$V$43*'Census 2011_17'!E$20*RES!$V47/(1-RES!$V$43)+RES!Z$29</f>
        <v>4.498242838054077E-2</v>
      </c>
      <c r="AA47" s="63">
        <f>$V47-$V$43*'Census 2011_17'!F$20*RES!$V47/(1-RES!$V$43)+RES!AA$29</f>
        <v>3.9159567800586138E-2</v>
      </c>
      <c r="AB47" s="63">
        <f>$V47-$V$43*'Census 2011_17'!G$20*RES!$V47/(1-RES!$V$43)+RES!AB$29</f>
        <v>3.9159567800586138E-2</v>
      </c>
      <c r="AC47" s="63">
        <f>$V47-$V$43*'Census 2011_17'!H$20*RES!$V47/(1-RES!$V$43)+RES!AC$29</f>
        <v>3.9159567800586138E-2</v>
      </c>
      <c r="AD47" s="50"/>
      <c r="AE47" s="63">
        <f>(IFERROR(IF($N47/(SUMIF(RES!$D$39:$D$145,$D47,$N$39:$N$145))=1,1,($N47/(SUMIF(RES!$D$39:$D$145,$D47,$N$39:$N$145)))),0))-AE$29</f>
        <v>5.5836871903343382E-2</v>
      </c>
      <c r="AF47" s="63">
        <f t="shared" si="23"/>
        <v>5.2451010120404637E-2</v>
      </c>
      <c r="AG47" s="63">
        <f t="shared" si="17"/>
        <v>4.8628149540450014E-2</v>
      </c>
      <c r="AH47" s="63">
        <f t="shared" si="18"/>
        <v>3.8805288960495392E-2</v>
      </c>
      <c r="AI47" s="63">
        <f t="shared" si="19"/>
        <v>3.4982428380540768E-2</v>
      </c>
      <c r="AJ47" s="63">
        <f t="shared" si="20"/>
        <v>2.8159567800586139E-2</v>
      </c>
      <c r="AK47" s="63">
        <f t="shared" si="21"/>
        <v>2.6659567800586138E-2</v>
      </c>
      <c r="AL47" s="63">
        <f t="shared" si="22"/>
        <v>2.4159567800586139E-2</v>
      </c>
      <c r="AM47"/>
      <c r="AN47"/>
      <c r="AO47" s="180" t="s">
        <v>507</v>
      </c>
      <c r="AP47" s="497">
        <f>E47</f>
        <v>0.45</v>
      </c>
      <c r="AQ47"/>
      <c r="AR47"/>
      <c r="AS47"/>
      <c r="AT47"/>
      <c r="AU47"/>
      <c r="AV47"/>
      <c r="AW47"/>
      <c r="AX47"/>
      <c r="AY47"/>
      <c r="AZ47"/>
      <c r="BA47"/>
      <c r="BB47"/>
      <c r="BC47"/>
      <c r="BD47"/>
    </row>
    <row r="48" spans="1:56" s="192" customFormat="1" ht="15" hidden="1" outlineLevel="1">
      <c r="A48" s="526" t="s">
        <v>955</v>
      </c>
      <c r="B48" s="527"/>
      <c r="C48" s="528"/>
      <c r="D48" s="528"/>
      <c r="E48" s="529" t="str">
        <f>IF(D48="","",IF(COUNTIF(#REF!,$B48)=1,SUMIF(#REF!,RES!B48,#REF!),SUMIF(#REF!,RES!$B48,#REF!)))</f>
        <v/>
      </c>
      <c r="F48" s="529"/>
      <c r="G48" s="529"/>
      <c r="H48" s="529"/>
      <c r="I48" s="579"/>
      <c r="J48" s="529"/>
      <c r="K48" s="530"/>
      <c r="L48" s="531"/>
      <c r="M48" s="531">
        <f>SUM(M44:M47)</f>
        <v>38.287171618219574</v>
      </c>
      <c r="N48" s="531">
        <f>SUM(N43:N47)</f>
        <v>12.042560154485418</v>
      </c>
      <c r="O48" s="193"/>
      <c r="P48" s="532"/>
      <c r="Q48" s="532"/>
      <c r="R48" s="532"/>
      <c r="S48" s="532"/>
      <c r="T48" s="533"/>
      <c r="U48" s="534"/>
      <c r="V48" s="534">
        <f>SUM(V43:V47)</f>
        <v>1.0049999999999999</v>
      </c>
      <c r="W48" s="534">
        <f t="shared" ref="W48:AC48" si="24">SUM(W43:W47)</f>
        <v>1.0256060670675275</v>
      </c>
      <c r="X48" s="534">
        <f t="shared" si="24"/>
        <v>1.0188142648953256</v>
      </c>
      <c r="Y48" s="534">
        <f t="shared" si="24"/>
        <v>1.0190224627231239</v>
      </c>
      <c r="Z48" s="534">
        <f t="shared" si="24"/>
        <v>1.033730660550922</v>
      </c>
      <c r="AA48" s="534">
        <f t="shared" si="24"/>
        <v>1.04343885837872</v>
      </c>
      <c r="AB48" s="534">
        <f t="shared" si="24"/>
        <v>1.08343885837872</v>
      </c>
      <c r="AC48" s="534">
        <f t="shared" si="24"/>
        <v>1.1634388583787201</v>
      </c>
      <c r="AD48" s="534"/>
      <c r="AE48" s="604">
        <f>SUM(AE43:AE47)</f>
        <v>0.99950000000000006</v>
      </c>
      <c r="AF48" s="604">
        <f t="shared" ref="AF48" si="25">SUM(AF43:AF47)</f>
        <v>0.99845761682282952</v>
      </c>
      <c r="AG48" s="604">
        <f t="shared" ref="AG48" si="26">SUM(AG43:AG47)</f>
        <v>0.9976299255804808</v>
      </c>
      <c r="AH48" s="604">
        <f t="shared" ref="AH48" si="27">SUM(AH43:AH47)</f>
        <v>0.97130223433813201</v>
      </c>
      <c r="AI48" s="604">
        <f t="shared" ref="AI48" si="28">SUM(AI43:AI47)</f>
        <v>0.96997454309578346</v>
      </c>
      <c r="AJ48" s="604">
        <f t="shared" ref="AJ48" si="29">SUM(AJ43:AJ47)</f>
        <v>0.95564685185343456</v>
      </c>
      <c r="AK48" s="604">
        <f t="shared" ref="AK48" si="30">SUM(AK43:AK47)</f>
        <v>0.94964685185343456</v>
      </c>
      <c r="AL48" s="604">
        <f t="shared" ref="AL48" si="31">SUM(AL43:AL47)</f>
        <v>0.93964685185343455</v>
      </c>
      <c r="AO48" s="536"/>
    </row>
    <row r="49" spans="1:3695" s="233" customFormat="1" ht="15" hidden="1">
      <c r="A49" s="539" t="s">
        <v>965</v>
      </c>
      <c r="B49" s="540" t="s">
        <v>328</v>
      </c>
      <c r="C49" s="549"/>
      <c r="D49" s="549"/>
      <c r="E49" s="551" t="str">
        <f>IF(D49="","",IF(COUNTIF(#REF!,$B49)=1,SUMIF(#REF!,RES!B49,#REF!),SUMIF(#REF!,RES!$B49,#REF!)))</f>
        <v/>
      </c>
      <c r="F49" s="551"/>
      <c r="G49" s="551"/>
      <c r="H49" s="551"/>
      <c r="I49" s="580"/>
      <c r="J49" s="551"/>
      <c r="K49" s="541"/>
      <c r="L49" s="553"/>
      <c r="M49" s="553"/>
      <c r="N49" s="553"/>
      <c r="O49" s="546"/>
      <c r="P49" s="554"/>
      <c r="Q49" s="554"/>
      <c r="R49" s="554"/>
      <c r="S49" s="554"/>
      <c r="T49" s="555"/>
      <c r="U49" s="556"/>
      <c r="V49" s="556"/>
      <c r="W49" s="556"/>
      <c r="X49" s="556"/>
      <c r="Y49" s="556"/>
      <c r="Z49" s="556"/>
      <c r="AA49" s="556"/>
      <c r="AB49" s="556"/>
      <c r="AC49" s="556"/>
      <c r="AD49" s="556"/>
      <c r="AE49" s="598"/>
      <c r="AF49" s="556"/>
      <c r="AG49" s="556"/>
      <c r="AH49" s="556"/>
      <c r="AI49" s="556"/>
      <c r="AJ49" s="556"/>
      <c r="AK49" s="556"/>
      <c r="AL49" s="556"/>
      <c r="AO49" s="548"/>
    </row>
    <row r="50" spans="1:3695" s="166" customFormat="1" ht="15" outlineLevel="1">
      <c r="A50" s="108" t="s">
        <v>966</v>
      </c>
      <c r="B50" s="30" t="s">
        <v>334</v>
      </c>
      <c r="C50" s="43" t="s">
        <v>236</v>
      </c>
      <c r="D50" s="43" t="s">
        <v>251</v>
      </c>
      <c r="E50" s="495">
        <f>INDEX('Electrical efficiency'!$L$8:$L$23,MATCH(RES!D50,'Electrical efficiency'!$K$8:$K$23,0))</f>
        <v>0.94750000000000001</v>
      </c>
      <c r="F50" s="559">
        <v>1</v>
      </c>
      <c r="G50" s="559">
        <v>1</v>
      </c>
      <c r="H50" s="559">
        <f>N50/F50*(1+$D$31)</f>
        <v>0.92325231435517607</v>
      </c>
      <c r="I50" s="578">
        <v>1E-3</v>
      </c>
      <c r="J50" s="487">
        <v>0</v>
      </c>
      <c r="K50" s="48" t="s">
        <v>912</v>
      </c>
      <c r="L50" s="486">
        <v>1</v>
      </c>
      <c r="M50" s="486">
        <f>IF(C50="","",SUMIFS(Energy_Balance!I$55:I$160,Energy_Balance!$C$55:$C$160,C50,Energy_Balance!$D$55:$D$160,D50)*L50)</f>
        <v>0.97440877504504075</v>
      </c>
      <c r="N50" s="486">
        <f t="shared" si="16"/>
        <v>0.92325231435517607</v>
      </c>
      <c r="O50" s="25"/>
      <c r="P50" s="605">
        <f>INDEX('Electrical efficiency'!$M$8:$M$23,MATCH(RES!D50,'Electrical efficiency'!$K$8:$K$23,0))</f>
        <v>0.94750000000000001</v>
      </c>
      <c r="Q50" s="361">
        <f>INDEX('Electrical efficiency'!$N$8:$N$23,MATCH(RES!D50,'Electrical efficiency'!$K$8:$K$23,0))</f>
        <v>0.94750000000000001</v>
      </c>
      <c r="R50" s="361">
        <f>INDEX('Electrical efficiency'!$O$8:$O$23,MATCH(RES!D50,'Electrical efficiency'!$K$8:$K$23,0))</f>
        <v>0.94750000000000001</v>
      </c>
      <c r="S50" s="361">
        <f>INDEX('Electrical efficiency'!$P$8:$P$23,MATCH(RES!D50,'Electrical efficiency'!$K$8:$K$23,0))</f>
        <v>0.94750000000000001</v>
      </c>
      <c r="T50" s="204"/>
      <c r="U50" s="50"/>
      <c r="V50" s="63">
        <f>(IFERROR(IF(N50/(SUMIF(RES!$D$39:$D$145,D50,$N$39:$N$145))=1,1,(N50/(SUMIF(RES!$D$39:$D$145,D50,$N$39:$N$145))+$V$28)),0))</f>
        <v>9.9770877803028499E-2</v>
      </c>
      <c r="W50" s="63">
        <f>IF($V50*(1+'Census 2011_17'!B$20)+W$28&lt;1,$V50*(1+'Census 2011_17'!B$20)+W$28,1)</f>
        <v>0.10516535366058442</v>
      </c>
      <c r="X50" s="63">
        <f>IF($V50*(1+'Census 2011_17'!C$20)+X$28&lt;1,$V50*(1+'Census 2011_17'!C$20)+X$28,1)</f>
        <v>0.10992052096247767</v>
      </c>
      <c r="Y50" s="63">
        <f>IF($V50*(1+'Census 2011_17'!D$20)+Y$28&lt;1,$V50*(1+'Census 2011_17'!D$20)+Y$28,1)</f>
        <v>0.11367568826437092</v>
      </c>
      <c r="Z50" s="63">
        <f>IF($V50*(1+'Census 2011_17'!E$20)+Z$28&lt;1,$V50*(1+'Census 2011_17'!E$20)+Z$28,1)</f>
        <v>0.13393085556626419</v>
      </c>
      <c r="AA50" s="63">
        <f>IF($V50*(1+'Census 2011_17'!F$20)+AA$28&lt;1,$V50*(1+'Census 2011_17'!F$20)+AA$28,1)</f>
        <v>0.15718602286815744</v>
      </c>
      <c r="AB50" s="63">
        <f>IF($V50*(1+'Census 2011_17'!G$20)+AB$28&lt;1,$V50*(1+'Census 2011_17'!G$20)+AB$28,1)</f>
        <v>0.19718602286815745</v>
      </c>
      <c r="AC50" s="63">
        <f>IF($V50*(1+'Census 2011_17'!H$20)+AC$28&lt;1,$V50*(1+'Census 2011_17'!H$20)+AC$28,1)</f>
        <v>0.27718602286815747</v>
      </c>
      <c r="AD50" s="50"/>
      <c r="AE50" s="63">
        <f>(IFERROR(IF($N50/(SUMIF(RES!$D$39:$D$145,$D50,$N$39:$N$145))=1,1,($N50/(SUMIF(RES!$D$39:$D$145,$D50,$N$39:$N$145))-AE$28)),0))</f>
        <v>9.8670877803028495E-2</v>
      </c>
      <c r="AF50" s="63">
        <f>$AE50*(1+'Census 2011_17'!B$20)-AF$28</f>
        <v>9.8016903415886203E-2</v>
      </c>
      <c r="AG50" s="63">
        <f>$AE50*(1+'Census 2011_17'!C$20)-AG$28</f>
        <v>0.10273618164763264</v>
      </c>
      <c r="AH50" s="63">
        <f>$AE50*(1+'Census 2011_17'!D$20)-AH$28</f>
        <v>0.10595545987937907</v>
      </c>
      <c r="AI50" s="63">
        <f>$AE50*(1+'Census 2011_17'!E$20)-AI$28</f>
        <v>0.11017473811112553</v>
      </c>
      <c r="AJ50" s="63">
        <f>$AE50*(1+'Census 2011_17'!F$20)-AJ$28</f>
        <v>0.11339401634287197</v>
      </c>
      <c r="AK50" s="63">
        <f>$AE50*(1+'Census 2011_17'!G$20)-AK$28</f>
        <v>0.11339401634287197</v>
      </c>
      <c r="AL50" s="63">
        <f>$AE50*(1+'Census 2011_17'!H$20)-AL$28</f>
        <v>0.11339401634287197</v>
      </c>
      <c r="AM50"/>
      <c r="AN50"/>
      <c r="AO50" s="180" t="s">
        <v>507</v>
      </c>
      <c r="AP50" s="497">
        <f>E50</f>
        <v>0.94750000000000001</v>
      </c>
      <c r="AQ50"/>
      <c r="AR50"/>
      <c r="AS50"/>
      <c r="AT50"/>
      <c r="AU50"/>
      <c r="AV50"/>
      <c r="AW50"/>
      <c r="AX50"/>
      <c r="AY50"/>
      <c r="AZ50"/>
      <c r="BA50"/>
      <c r="BB50"/>
      <c r="BC50"/>
      <c r="BD50"/>
    </row>
    <row r="51" spans="1:3695" s="35" customFormat="1" ht="15" hidden="1" outlineLevel="1">
      <c r="A51" s="108" t="s">
        <v>967</v>
      </c>
      <c r="B51" s="30" t="s">
        <v>335</v>
      </c>
      <c r="C51" s="43" t="s">
        <v>238</v>
      </c>
      <c r="D51" s="43" t="s">
        <v>251</v>
      </c>
      <c r="E51" s="487">
        <v>0.73</v>
      </c>
      <c r="F51" s="559">
        <v>1</v>
      </c>
      <c r="G51" s="559">
        <v>1</v>
      </c>
      <c r="H51" s="559">
        <f>N51/F51*(1+$D$31)</f>
        <v>0.2373337458934516</v>
      </c>
      <c r="I51" s="578">
        <v>1E-3</v>
      </c>
      <c r="J51" s="487">
        <v>0</v>
      </c>
      <c r="K51" s="48"/>
      <c r="L51" s="486">
        <v>1</v>
      </c>
      <c r="M51" s="486">
        <f>IF(C51="","",SUMIFS(Energy_Balance!I$55:I$160,Energy_Balance!$C$55:$C$160,C51,Energy_Balance!$D$55:$D$160,D51)*L51)</f>
        <v>0.32511472040198852</v>
      </c>
      <c r="N51" s="486">
        <f t="shared" si="16"/>
        <v>0.2373337458934516</v>
      </c>
      <c r="O51" s="25"/>
      <c r="P51" s="605">
        <f>E51</f>
        <v>0.73</v>
      </c>
      <c r="Q51" s="361">
        <f>IF($AO51="","",($S51-$P51)*1/3+$P51)</f>
        <v>0.73</v>
      </c>
      <c r="R51" s="361">
        <f>IF($AO51="","",($S51-$P51)*2/3+$P51)</f>
        <v>0.73</v>
      </c>
      <c r="S51" s="361">
        <f>IF($AO51="","",IF($AO51="*",$AP51*(1+$P$29),E51))</f>
        <v>0.73</v>
      </c>
      <c r="T51" s="204"/>
      <c r="U51" s="50"/>
      <c r="V51" s="63">
        <f>IF((IFERROR(IF(N51/(SUMIF(RES!$D$39:$D$145,D51,$N$39:$N$145))=1,1,(N51/(SUMIF(RES!$D$39:$D$145,D51,$N$39:$N$145))+$V$29)),0))&lt;1,(IFERROR(IF(N51/(SUMIF(RES!$D$39:$D$145,D51,$N$39:$N$145))=1,1,(N51/(SUMIF(RES!$D$39:$D$145,D51,$N$39:$N$145))+$V$29)),0)),1)</f>
        <v>2.6390309939866657E-2</v>
      </c>
      <c r="W51" s="63">
        <f>$V51-$V$50*'Census 2011_17'!B$20*RES!$V51/(1-RES!$V$50)+RES!W$29</f>
        <v>3.1261485425035214E-2</v>
      </c>
      <c r="X51" s="63">
        <f>$V51-$V$50*'Census 2011_17'!C$20*RES!$V51/(1-RES!$V$50)+RES!X$29</f>
        <v>2.9166059858493402E-2</v>
      </c>
      <c r="Y51" s="63">
        <f>$V51-$V$50*'Census 2011_17'!D$20*RES!$V51/(1-RES!$V$50)+RES!Y$29</f>
        <v>2.9070634291951593E-2</v>
      </c>
      <c r="Z51" s="63">
        <f>$V51-$V$50*'Census 2011_17'!E$20*RES!$V51/(1-RES!$V$50)+RES!Z$29</f>
        <v>2.8475208725409779E-2</v>
      </c>
      <c r="AA51" s="63">
        <f>$V51-$V$50*'Census 2011_17'!F$20*RES!$V51/(1-RES!$V$50)+RES!AA$29</f>
        <v>2.5879783158867971E-2</v>
      </c>
      <c r="AB51" s="63">
        <f>$V51-$V$50*'Census 2011_17'!G$20*RES!$V51/(1-RES!$V$50)+RES!AB$29</f>
        <v>2.5879783158867971E-2</v>
      </c>
      <c r="AC51" s="63">
        <f>$V51-$V$50*'Census 2011_17'!H$20*RES!$V51/(1-RES!$V$50)+RES!AC$29</f>
        <v>2.5879783158867971E-2</v>
      </c>
      <c r="AD51" s="50"/>
      <c r="AE51" s="63">
        <f>(IFERROR(IF($N51/(SUMIF(RES!$D$39:$D$145,$D51,$N$39:$N$145))=1,1,($N51/(SUMIF(RES!$D$39:$D$145,$D51,$N$39:$N$145)))),0))-AE$29</f>
        <v>2.5290309939866657E-2</v>
      </c>
      <c r="AF51" s="63">
        <f>IF(W51-AF$29&lt;0,0,W51-AF$29)</f>
        <v>2.6261485425035213E-2</v>
      </c>
      <c r="AG51" s="63">
        <f t="shared" ref="AG51:AL54" si="32">IF(X51-AG$29&lt;0,0,X51-AG$29)</f>
        <v>2.5666059858493403E-2</v>
      </c>
      <c r="AH51" s="63">
        <f t="shared" si="32"/>
        <v>1.9070634291951591E-2</v>
      </c>
      <c r="AI51" s="63">
        <f t="shared" si="32"/>
        <v>1.8475208725409781E-2</v>
      </c>
      <c r="AJ51" s="63">
        <f t="shared" si="32"/>
        <v>1.4879783158867971E-2</v>
      </c>
      <c r="AK51" s="63">
        <f t="shared" si="32"/>
        <v>1.337978315886797E-2</v>
      </c>
      <c r="AL51" s="63">
        <f t="shared" si="32"/>
        <v>1.0879783158867971E-2</v>
      </c>
      <c r="AM51"/>
      <c r="AN51"/>
      <c r="AO51" s="180" t="s">
        <v>507</v>
      </c>
      <c r="AP51" s="497">
        <f>E51</f>
        <v>0.73</v>
      </c>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c r="BEP51"/>
      <c r="BEQ51"/>
      <c r="BER51"/>
      <c r="BES51"/>
      <c r="BET51"/>
      <c r="BEU51"/>
      <c r="BEV51"/>
      <c r="BEW51"/>
      <c r="BEX51"/>
      <c r="BEY51"/>
      <c r="BEZ51"/>
      <c r="BFA51"/>
      <c r="BFB51"/>
      <c r="BFC51"/>
      <c r="BFD51"/>
      <c r="BFE51"/>
      <c r="BFF51"/>
      <c r="BFG51"/>
      <c r="BFH51"/>
      <c r="BFI51"/>
      <c r="BFJ51"/>
      <c r="BFK51"/>
      <c r="BFL51"/>
      <c r="BFM51"/>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c r="BLY51"/>
      <c r="BLZ51"/>
      <c r="BMA51"/>
      <c r="BMB51"/>
      <c r="BMC51"/>
      <c r="BMD51"/>
      <c r="BME51"/>
      <c r="BMF51"/>
      <c r="BMG51"/>
      <c r="BMH51"/>
      <c r="BMI51"/>
      <c r="BMJ51"/>
      <c r="BMK51"/>
      <c r="BML51"/>
      <c r="BMM51"/>
      <c r="BMN51"/>
      <c r="BMO51"/>
      <c r="BMP51"/>
      <c r="BMQ51"/>
      <c r="BMR51"/>
      <c r="BMS51"/>
      <c r="BMT51"/>
      <c r="BMU51"/>
      <c r="BMV51"/>
      <c r="BMW51"/>
      <c r="BMX51"/>
      <c r="BMY51"/>
      <c r="BMZ51"/>
      <c r="BNA51"/>
      <c r="BNB51"/>
      <c r="BNC51"/>
      <c r="BND51"/>
      <c r="BNE51"/>
      <c r="BNF51"/>
      <c r="BNG51"/>
      <c r="BNH51"/>
      <c r="BNI51"/>
      <c r="BNJ51"/>
      <c r="BNK51"/>
      <c r="BNL51"/>
      <c r="BNM51"/>
      <c r="BNN51"/>
      <c r="BNO51"/>
      <c r="BNP51"/>
      <c r="BNQ51"/>
      <c r="BNR51"/>
      <c r="BNS51"/>
      <c r="BNT51"/>
      <c r="BNU51"/>
      <c r="BNV51"/>
      <c r="BNW51"/>
      <c r="BNX51"/>
      <c r="BNY51"/>
      <c r="BNZ51"/>
      <c r="BOA51"/>
      <c r="BOB51"/>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c r="BUN51"/>
      <c r="BUO51"/>
      <c r="BUP51"/>
      <c r="BUQ51"/>
      <c r="BUR51"/>
      <c r="BUS51"/>
      <c r="BUT51"/>
      <c r="BUU51"/>
      <c r="BUV51"/>
      <c r="BUW51"/>
      <c r="BUX51"/>
      <c r="BUY51"/>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c r="CBQ51"/>
      <c r="CBR51"/>
      <c r="CBS51"/>
      <c r="CBT51"/>
      <c r="CBU51"/>
      <c r="CBV51"/>
      <c r="CBW51"/>
      <c r="CBX51"/>
      <c r="CBY51"/>
      <c r="CBZ51"/>
      <c r="CCA51"/>
      <c r="CCB51"/>
      <c r="CCC51"/>
      <c r="CCD51"/>
      <c r="CCE51"/>
      <c r="CCF51"/>
      <c r="CCG51"/>
      <c r="CCH51"/>
      <c r="CCI51"/>
      <c r="CCJ51"/>
      <c r="CCK51"/>
      <c r="CCL51"/>
      <c r="CCM51"/>
      <c r="CCN51"/>
      <c r="CCO51"/>
      <c r="CCP51"/>
      <c r="CCQ51"/>
      <c r="CCR51"/>
      <c r="CCS51"/>
      <c r="CCT51"/>
      <c r="CCU51"/>
      <c r="CCV51"/>
      <c r="CCW51"/>
      <c r="CCX51"/>
      <c r="CCY51"/>
      <c r="CCZ51"/>
      <c r="CDA51"/>
      <c r="CDB51"/>
      <c r="CDC51"/>
      <c r="CDD51"/>
      <c r="CDE51"/>
      <c r="CDF51"/>
      <c r="CDG51"/>
      <c r="CDH51"/>
      <c r="CDI51"/>
      <c r="CDJ51"/>
      <c r="CDK51"/>
      <c r="CDL51"/>
      <c r="CDM51"/>
      <c r="CDN51"/>
      <c r="CDO51"/>
      <c r="CDP51"/>
      <c r="CDQ51"/>
      <c r="CDR51"/>
      <c r="CDS51"/>
      <c r="CDT51"/>
      <c r="CDU51"/>
      <c r="CDV51"/>
      <c r="CDW51"/>
      <c r="CDX51"/>
      <c r="CDY51"/>
      <c r="CDZ51"/>
      <c r="CEA51"/>
      <c r="CEB51"/>
      <c r="CEC51"/>
      <c r="CED51"/>
      <c r="CEE51"/>
      <c r="CEF51"/>
      <c r="CEG51"/>
      <c r="CEH51"/>
      <c r="CEI51"/>
      <c r="CEJ51"/>
      <c r="CEK51"/>
      <c r="CEL51"/>
      <c r="CEM51"/>
      <c r="CEN51"/>
      <c r="CEO51"/>
      <c r="CEP51"/>
      <c r="CEQ51"/>
      <c r="CER51"/>
      <c r="CES51"/>
      <c r="CET51"/>
      <c r="CEU51"/>
      <c r="CEV51"/>
      <c r="CEW51"/>
      <c r="CEX51"/>
      <c r="CEY51"/>
      <c r="CEZ51"/>
      <c r="CFA51"/>
      <c r="CFB51"/>
      <c r="CFC51"/>
      <c r="CFD51"/>
      <c r="CFE51"/>
      <c r="CFF51"/>
      <c r="CFG51"/>
      <c r="CFH51"/>
      <c r="CFI51"/>
      <c r="CFJ51"/>
      <c r="CFK51"/>
      <c r="CFL51"/>
      <c r="CFM51"/>
      <c r="CFN51"/>
      <c r="CFO51"/>
      <c r="CFP51"/>
      <c r="CFQ51"/>
      <c r="CFR51"/>
      <c r="CFS51"/>
      <c r="CFT51"/>
      <c r="CFU51"/>
      <c r="CFV51"/>
      <c r="CFW51"/>
      <c r="CFX51"/>
      <c r="CFY51"/>
      <c r="CFZ51"/>
      <c r="CGA51"/>
      <c r="CGB51"/>
      <c r="CGC51"/>
      <c r="CGD51"/>
      <c r="CGE51"/>
      <c r="CGF51"/>
      <c r="CGG51"/>
      <c r="CGH51"/>
      <c r="CGI51"/>
      <c r="CGJ51"/>
      <c r="CGK51"/>
      <c r="CGL51"/>
      <c r="CGM51"/>
      <c r="CGN51"/>
      <c r="CGO51"/>
      <c r="CGP51"/>
      <c r="CGQ51"/>
      <c r="CGR51"/>
      <c r="CGS51"/>
      <c r="CGT51"/>
      <c r="CGU51"/>
      <c r="CGV51"/>
      <c r="CGW51"/>
      <c r="CGX51"/>
      <c r="CGY51"/>
      <c r="CGZ51"/>
      <c r="CHA51"/>
      <c r="CHB51"/>
      <c r="CHC51"/>
      <c r="CHD51"/>
      <c r="CHE51"/>
      <c r="CHF51"/>
      <c r="CHG51"/>
      <c r="CHH51"/>
      <c r="CHI51"/>
      <c r="CHJ51"/>
      <c r="CHK51"/>
      <c r="CHL51"/>
      <c r="CHM51"/>
      <c r="CHN51"/>
      <c r="CHO51"/>
      <c r="CHP51"/>
      <c r="CHQ51"/>
      <c r="CHR51"/>
      <c r="CHS51"/>
      <c r="CHT51"/>
      <c r="CHU51"/>
      <c r="CHV51"/>
      <c r="CHW51"/>
      <c r="CHX51"/>
      <c r="CHY51"/>
      <c r="CHZ51"/>
      <c r="CIA51"/>
      <c r="CIB51"/>
      <c r="CIC51"/>
      <c r="CID51"/>
      <c r="CIE51"/>
      <c r="CIF51"/>
      <c r="CIG51"/>
      <c r="CIH51"/>
      <c r="CII51"/>
      <c r="CIJ51"/>
      <c r="CIK51"/>
      <c r="CIL51"/>
      <c r="CIM51"/>
      <c r="CIN51"/>
      <c r="CIO51"/>
      <c r="CIP51"/>
      <c r="CIQ51"/>
      <c r="CIR51"/>
      <c r="CIS51"/>
      <c r="CIT51"/>
      <c r="CIU51"/>
      <c r="CIV51"/>
      <c r="CIW51"/>
      <c r="CIX51"/>
      <c r="CIY51"/>
      <c r="CIZ51"/>
      <c r="CJA51"/>
      <c r="CJB51"/>
      <c r="CJC51"/>
      <c r="CJD51"/>
      <c r="CJE51"/>
      <c r="CJF51"/>
      <c r="CJG51"/>
      <c r="CJH51"/>
      <c r="CJI51"/>
      <c r="CJJ51"/>
      <c r="CJK51"/>
      <c r="CJL51"/>
      <c r="CJM51"/>
      <c r="CJN51"/>
      <c r="CJO51"/>
      <c r="CJP51"/>
      <c r="CJQ51"/>
      <c r="CJR51"/>
      <c r="CJS51"/>
      <c r="CJT51"/>
      <c r="CJU51"/>
      <c r="CJV51"/>
      <c r="CJW51"/>
      <c r="CJX51"/>
      <c r="CJY51"/>
      <c r="CJZ51"/>
      <c r="CKA51"/>
      <c r="CKB51"/>
      <c r="CKC51"/>
      <c r="CKD51"/>
      <c r="CKE51"/>
      <c r="CKF51"/>
      <c r="CKG51"/>
      <c r="CKH51"/>
      <c r="CKI51"/>
      <c r="CKJ51"/>
      <c r="CKK51"/>
      <c r="CKL51"/>
      <c r="CKM51"/>
      <c r="CKN51"/>
      <c r="CKO51"/>
      <c r="CKP51"/>
      <c r="CKQ51"/>
      <c r="CKR51"/>
      <c r="CKS51"/>
      <c r="CKT51"/>
      <c r="CKU51"/>
      <c r="CKV51"/>
      <c r="CKW51"/>
      <c r="CKX51"/>
      <c r="CKY51"/>
      <c r="CKZ51"/>
      <c r="CLA51"/>
      <c r="CLB51"/>
      <c r="CLC51"/>
      <c r="CLD51"/>
      <c r="CLE51"/>
      <c r="CLF51"/>
      <c r="CLG51"/>
      <c r="CLH51"/>
      <c r="CLI51"/>
      <c r="CLJ51"/>
      <c r="CLK51"/>
      <c r="CLL51"/>
      <c r="CLM51"/>
      <c r="CLN51"/>
      <c r="CLO51"/>
      <c r="CLP51"/>
      <c r="CLQ51"/>
      <c r="CLR51"/>
      <c r="CLS51"/>
      <c r="CLT51"/>
      <c r="CLU51"/>
      <c r="CLV51"/>
      <c r="CLW51"/>
      <c r="CLX51"/>
      <c r="CLY51"/>
      <c r="CLZ51"/>
      <c r="CMA51"/>
      <c r="CMB51"/>
      <c r="CMC51"/>
      <c r="CMD51"/>
      <c r="CME51"/>
      <c r="CMF51"/>
      <c r="CMG51"/>
      <c r="CMH51"/>
      <c r="CMI51"/>
      <c r="CMJ51"/>
      <c r="CMK51"/>
      <c r="CML51"/>
      <c r="CMM51"/>
      <c r="CMN51"/>
      <c r="CMO51"/>
      <c r="CMP51"/>
      <c r="CMQ51"/>
      <c r="CMR51"/>
      <c r="CMS51"/>
      <c r="CMT51"/>
      <c r="CMU51"/>
      <c r="CMV51"/>
      <c r="CMW51"/>
      <c r="CMX51"/>
      <c r="CMY51"/>
      <c r="CMZ51"/>
      <c r="CNA51"/>
      <c r="CNB51"/>
      <c r="CNC51"/>
      <c r="CND51"/>
      <c r="CNE51"/>
      <c r="CNF51"/>
      <c r="CNG51"/>
      <c r="CNH51"/>
      <c r="CNI51"/>
      <c r="CNJ51"/>
      <c r="CNK51"/>
      <c r="CNL51"/>
      <c r="CNM51"/>
      <c r="CNN51"/>
      <c r="CNO51"/>
      <c r="CNP51"/>
      <c r="CNQ51"/>
      <c r="CNR51"/>
      <c r="CNS51"/>
      <c r="CNT51"/>
      <c r="CNU51"/>
      <c r="CNV51"/>
      <c r="CNW51"/>
      <c r="CNX51"/>
      <c r="CNY51"/>
      <c r="CNZ51"/>
      <c r="COA51"/>
      <c r="COB51"/>
      <c r="COC51"/>
      <c r="COD51"/>
      <c r="COE51"/>
      <c r="COF51"/>
      <c r="COG51"/>
      <c r="COH51"/>
      <c r="COI51"/>
      <c r="COJ51"/>
      <c r="COK51"/>
      <c r="COL51"/>
      <c r="COM51"/>
      <c r="CON51"/>
      <c r="COO51"/>
      <c r="COP51"/>
      <c r="COQ51"/>
      <c r="COR51"/>
      <c r="COS51"/>
      <c r="COT51"/>
      <c r="COU51"/>
      <c r="COV51"/>
      <c r="COW51"/>
      <c r="COX51"/>
      <c r="COY51"/>
      <c r="COZ51"/>
      <c r="CPA51"/>
      <c r="CPB51"/>
      <c r="CPC51"/>
      <c r="CPD51"/>
      <c r="CPE51"/>
      <c r="CPF51"/>
      <c r="CPG51"/>
      <c r="CPH51"/>
      <c r="CPI51"/>
      <c r="CPJ51"/>
      <c r="CPK51"/>
      <c r="CPL51"/>
      <c r="CPM51"/>
      <c r="CPN51"/>
      <c r="CPO51"/>
      <c r="CPP51"/>
      <c r="CPQ51"/>
      <c r="CPR51"/>
      <c r="CPS51"/>
      <c r="CPT51"/>
      <c r="CPU51"/>
      <c r="CPV51"/>
      <c r="CPW51"/>
      <c r="CPX51"/>
      <c r="CPY51"/>
      <c r="CPZ51"/>
      <c r="CQA51"/>
      <c r="CQB51"/>
      <c r="CQC51"/>
      <c r="CQD51"/>
      <c r="CQE51"/>
      <c r="CQF51"/>
      <c r="CQG51"/>
      <c r="CQH51"/>
      <c r="CQI51"/>
      <c r="CQJ51"/>
      <c r="CQK51"/>
      <c r="CQL51"/>
      <c r="CQM51"/>
      <c r="CQN51"/>
      <c r="CQO51"/>
      <c r="CQP51"/>
      <c r="CQQ51"/>
      <c r="CQR51"/>
      <c r="CQS51"/>
      <c r="CQT51"/>
      <c r="CQU51"/>
      <c r="CQV51"/>
      <c r="CQW51"/>
      <c r="CQX51"/>
      <c r="CQY51"/>
      <c r="CQZ51"/>
      <c r="CRA51"/>
      <c r="CRB51"/>
      <c r="CRC51"/>
      <c r="CRD51"/>
      <c r="CRE51"/>
      <c r="CRF51"/>
      <c r="CRG51"/>
      <c r="CRH51"/>
      <c r="CRI51"/>
      <c r="CRJ51"/>
      <c r="CRK51"/>
      <c r="CRL51"/>
      <c r="CRM51"/>
      <c r="CRN51"/>
      <c r="CRO51"/>
      <c r="CRP51"/>
      <c r="CRQ51"/>
      <c r="CRR51"/>
      <c r="CRS51"/>
      <c r="CRT51"/>
      <c r="CRU51"/>
      <c r="CRV51"/>
      <c r="CRW51"/>
      <c r="CRX51"/>
      <c r="CRY51"/>
      <c r="CRZ51"/>
      <c r="CSA51"/>
      <c r="CSB51"/>
      <c r="CSC51"/>
      <c r="CSD51"/>
      <c r="CSE51"/>
      <c r="CSF51"/>
      <c r="CSG51"/>
      <c r="CSH51"/>
      <c r="CSI51"/>
      <c r="CSJ51"/>
      <c r="CSK51"/>
      <c r="CSL51"/>
      <c r="CSM51"/>
      <c r="CSN51"/>
      <c r="CSO51"/>
      <c r="CSP51"/>
      <c r="CSQ51"/>
      <c r="CSR51"/>
      <c r="CSS51"/>
      <c r="CST51"/>
      <c r="CSU51"/>
      <c r="CSV51"/>
      <c r="CSW51"/>
      <c r="CSX51"/>
      <c r="CSY51"/>
      <c r="CSZ51"/>
      <c r="CTA51"/>
      <c r="CTB51"/>
      <c r="CTC51"/>
      <c r="CTD51"/>
      <c r="CTE51"/>
      <c r="CTF51"/>
      <c r="CTG51"/>
      <c r="CTH51"/>
      <c r="CTI51"/>
      <c r="CTJ51"/>
      <c r="CTK51"/>
      <c r="CTL51"/>
      <c r="CTM51"/>
      <c r="CTN51"/>
      <c r="CTO51"/>
      <c r="CTP51"/>
      <c r="CTQ51"/>
      <c r="CTR51"/>
      <c r="CTS51"/>
      <c r="CTT51"/>
      <c r="CTU51"/>
      <c r="CTV51"/>
      <c r="CTW51"/>
      <c r="CTX51"/>
      <c r="CTY51"/>
      <c r="CTZ51"/>
      <c r="CUA51"/>
      <c r="CUB51"/>
      <c r="CUC51"/>
      <c r="CUD51"/>
      <c r="CUE51"/>
      <c r="CUF51"/>
      <c r="CUG51"/>
      <c r="CUH51"/>
      <c r="CUI51"/>
      <c r="CUJ51"/>
      <c r="CUK51"/>
      <c r="CUL51"/>
      <c r="CUM51"/>
      <c r="CUN51"/>
      <c r="CUO51"/>
      <c r="CUP51"/>
      <c r="CUQ51"/>
      <c r="CUR51"/>
      <c r="CUS51"/>
      <c r="CUT51"/>
      <c r="CUU51"/>
      <c r="CUV51"/>
      <c r="CUW51"/>
      <c r="CUX51"/>
      <c r="CUY51"/>
      <c r="CUZ51"/>
      <c r="CVA51"/>
      <c r="CVB51"/>
      <c r="CVC51"/>
      <c r="CVD51"/>
      <c r="CVE51"/>
      <c r="CVF51"/>
      <c r="CVG51"/>
      <c r="CVH51"/>
      <c r="CVI51"/>
      <c r="CVJ51"/>
      <c r="CVK51"/>
      <c r="CVL51"/>
      <c r="CVM51"/>
      <c r="CVN51"/>
      <c r="CVO51"/>
      <c r="CVP51"/>
      <c r="CVQ51"/>
      <c r="CVR51"/>
      <c r="CVS51"/>
      <c r="CVT51"/>
      <c r="CVU51"/>
      <c r="CVV51"/>
      <c r="CVW51"/>
      <c r="CVX51"/>
      <c r="CVY51"/>
      <c r="CVZ51"/>
      <c r="CWA51"/>
      <c r="CWB51"/>
      <c r="CWC51"/>
      <c r="CWD51"/>
      <c r="CWE51"/>
      <c r="CWF51"/>
      <c r="CWG51"/>
      <c r="CWH51"/>
      <c r="CWI51"/>
      <c r="CWJ51"/>
      <c r="CWK51"/>
      <c r="CWL51"/>
      <c r="CWM51"/>
      <c r="CWN51"/>
      <c r="CWO51"/>
      <c r="CWP51"/>
      <c r="CWQ51"/>
      <c r="CWR51"/>
      <c r="CWS51"/>
      <c r="CWT51"/>
      <c r="CWU51"/>
      <c r="CWV51"/>
      <c r="CWW51"/>
      <c r="CWX51"/>
      <c r="CWY51"/>
      <c r="CWZ51"/>
      <c r="CXA51"/>
      <c r="CXB51"/>
      <c r="CXC51"/>
      <c r="CXD51"/>
      <c r="CXE51"/>
      <c r="CXF51"/>
      <c r="CXG51"/>
      <c r="CXH51"/>
      <c r="CXI51"/>
      <c r="CXJ51"/>
      <c r="CXK51"/>
      <c r="CXL51"/>
      <c r="CXM51"/>
      <c r="CXN51"/>
      <c r="CXO51"/>
      <c r="CXP51"/>
      <c r="CXQ51"/>
      <c r="CXR51"/>
      <c r="CXS51"/>
      <c r="CXT51"/>
      <c r="CXU51"/>
      <c r="CXV51"/>
      <c r="CXW51"/>
      <c r="CXX51"/>
      <c r="CXY51"/>
      <c r="CXZ51"/>
      <c r="CYA51"/>
      <c r="CYB51"/>
      <c r="CYC51"/>
      <c r="CYD51"/>
      <c r="CYE51"/>
      <c r="CYF51"/>
      <c r="CYG51"/>
      <c r="CYH51"/>
      <c r="CYI51"/>
      <c r="CYJ51"/>
      <c r="CYK51"/>
      <c r="CYL51"/>
      <c r="CYM51"/>
      <c r="CYN51"/>
      <c r="CYO51"/>
      <c r="CYP51"/>
      <c r="CYQ51"/>
      <c r="CYR51"/>
      <c r="CYS51"/>
      <c r="CYT51"/>
      <c r="CYU51"/>
      <c r="CYV51"/>
      <c r="CYW51"/>
      <c r="CYX51"/>
      <c r="CYY51"/>
      <c r="CYZ51"/>
      <c r="CZA51"/>
      <c r="CZB51"/>
      <c r="CZC51"/>
      <c r="CZD51"/>
      <c r="CZE51"/>
      <c r="CZF51"/>
      <c r="CZG51"/>
      <c r="CZH51"/>
      <c r="CZI51"/>
      <c r="CZJ51"/>
      <c r="CZK51"/>
      <c r="CZL51"/>
      <c r="CZM51"/>
      <c r="CZN51"/>
      <c r="CZO51"/>
      <c r="CZP51"/>
      <c r="CZQ51"/>
      <c r="CZR51"/>
      <c r="CZS51"/>
      <c r="CZT51"/>
      <c r="CZU51"/>
      <c r="CZV51"/>
      <c r="CZW51"/>
      <c r="CZX51"/>
      <c r="CZY51"/>
      <c r="CZZ51"/>
      <c r="DAA51"/>
      <c r="DAB51"/>
      <c r="DAC51"/>
      <c r="DAD51"/>
      <c r="DAE51"/>
      <c r="DAF51"/>
      <c r="DAG51"/>
      <c r="DAH51"/>
      <c r="DAI51"/>
      <c r="DAJ51"/>
      <c r="DAK51"/>
      <c r="DAL51"/>
      <c r="DAM51"/>
      <c r="DAN51"/>
      <c r="DAO51"/>
      <c r="DAP51"/>
      <c r="DAQ51"/>
      <c r="DAR51"/>
      <c r="DAS51"/>
      <c r="DAT51"/>
      <c r="DAU51"/>
      <c r="DAV51"/>
      <c r="DAW51"/>
      <c r="DAX51"/>
      <c r="DAY51"/>
      <c r="DAZ51"/>
      <c r="DBA51"/>
      <c r="DBB51"/>
      <c r="DBC51"/>
      <c r="DBD51"/>
      <c r="DBE51"/>
      <c r="DBF51"/>
      <c r="DBG51"/>
      <c r="DBH51"/>
      <c r="DBI51"/>
      <c r="DBJ51"/>
      <c r="DBK51"/>
      <c r="DBL51"/>
      <c r="DBM51"/>
      <c r="DBN51"/>
      <c r="DBO51"/>
      <c r="DBP51"/>
      <c r="DBQ51"/>
      <c r="DBR51"/>
      <c r="DBS51"/>
      <c r="DBT51"/>
      <c r="DBU51"/>
      <c r="DBV51"/>
      <c r="DBW51"/>
      <c r="DBX51"/>
      <c r="DBY51"/>
      <c r="DBZ51"/>
      <c r="DCA51"/>
      <c r="DCB51"/>
      <c r="DCC51"/>
      <c r="DCD51"/>
      <c r="DCE51"/>
      <c r="DCF51"/>
      <c r="DCG51"/>
      <c r="DCH51"/>
      <c r="DCI51"/>
      <c r="DCJ51"/>
      <c r="DCK51"/>
      <c r="DCL51"/>
      <c r="DCM51"/>
      <c r="DCN51"/>
      <c r="DCO51"/>
      <c r="DCP51"/>
      <c r="DCQ51"/>
      <c r="DCR51"/>
      <c r="DCS51"/>
      <c r="DCT51"/>
      <c r="DCU51"/>
      <c r="DCV51"/>
      <c r="DCW51"/>
      <c r="DCX51"/>
      <c r="DCY51"/>
      <c r="DCZ51"/>
      <c r="DDA51"/>
      <c r="DDB51"/>
      <c r="DDC51"/>
      <c r="DDD51"/>
      <c r="DDE51"/>
      <c r="DDF51"/>
      <c r="DDG51"/>
      <c r="DDH51"/>
      <c r="DDI51"/>
      <c r="DDJ51"/>
      <c r="DDK51"/>
      <c r="DDL51"/>
      <c r="DDM51"/>
      <c r="DDN51"/>
      <c r="DDO51"/>
      <c r="DDP51"/>
      <c r="DDQ51"/>
      <c r="DDR51"/>
      <c r="DDS51"/>
      <c r="DDT51"/>
      <c r="DDU51"/>
      <c r="DDV51"/>
      <c r="DDW51"/>
      <c r="DDX51"/>
      <c r="DDY51"/>
      <c r="DDZ51"/>
      <c r="DEA51"/>
      <c r="DEB51"/>
      <c r="DEC51"/>
      <c r="DED51"/>
      <c r="DEE51"/>
      <c r="DEF51"/>
      <c r="DEG51"/>
      <c r="DEH51"/>
      <c r="DEI51"/>
      <c r="DEJ51"/>
      <c r="DEK51"/>
      <c r="DEL51"/>
      <c r="DEM51"/>
      <c r="DEN51"/>
      <c r="DEO51"/>
      <c r="DEP51"/>
      <c r="DEQ51"/>
      <c r="DER51"/>
      <c r="DES51"/>
      <c r="DET51"/>
      <c r="DEU51"/>
      <c r="DEV51"/>
      <c r="DEW51"/>
      <c r="DEX51"/>
      <c r="DEY51"/>
      <c r="DEZ51"/>
      <c r="DFA51"/>
      <c r="DFB51"/>
      <c r="DFC51"/>
      <c r="DFD51"/>
      <c r="DFE51"/>
      <c r="DFF51"/>
      <c r="DFG51"/>
      <c r="DFH51"/>
      <c r="DFI51"/>
      <c r="DFJ51"/>
      <c r="DFK51"/>
      <c r="DFL51"/>
      <c r="DFM51"/>
      <c r="DFN51"/>
      <c r="DFO51"/>
      <c r="DFP51"/>
      <c r="DFQ51"/>
      <c r="DFR51"/>
      <c r="DFS51"/>
      <c r="DFT51"/>
      <c r="DFU51"/>
      <c r="DFV51"/>
      <c r="DFW51"/>
      <c r="DFX51"/>
      <c r="DFY51"/>
      <c r="DFZ51"/>
      <c r="DGA51"/>
      <c r="DGB51"/>
      <c r="DGC51"/>
      <c r="DGD51"/>
      <c r="DGE51"/>
      <c r="DGF51"/>
      <c r="DGG51"/>
      <c r="DGH51"/>
      <c r="DGI51"/>
      <c r="DGJ51"/>
      <c r="DGK51"/>
      <c r="DGL51"/>
      <c r="DGM51"/>
      <c r="DGN51"/>
      <c r="DGO51"/>
      <c r="DGP51"/>
      <c r="DGQ51"/>
      <c r="DGR51"/>
      <c r="DGS51"/>
      <c r="DGT51"/>
      <c r="DGU51"/>
      <c r="DGV51"/>
      <c r="DGW51"/>
      <c r="DGX51"/>
      <c r="DGY51"/>
      <c r="DGZ51"/>
      <c r="DHA51"/>
      <c r="DHB51"/>
      <c r="DHC51"/>
      <c r="DHD51"/>
      <c r="DHE51"/>
      <c r="DHF51"/>
      <c r="DHG51"/>
      <c r="DHH51"/>
      <c r="DHI51"/>
      <c r="DHJ51"/>
      <c r="DHK51"/>
      <c r="DHL51"/>
      <c r="DHM51"/>
      <c r="DHN51"/>
      <c r="DHO51"/>
      <c r="DHP51"/>
      <c r="DHQ51"/>
      <c r="DHR51"/>
      <c r="DHS51"/>
      <c r="DHT51"/>
      <c r="DHU51"/>
      <c r="DHV51"/>
      <c r="DHW51"/>
      <c r="DHX51"/>
      <c r="DHY51"/>
      <c r="DHZ51"/>
      <c r="DIA51"/>
      <c r="DIB51"/>
      <c r="DIC51"/>
      <c r="DID51"/>
      <c r="DIE51"/>
      <c r="DIF51"/>
      <c r="DIG51"/>
      <c r="DIH51"/>
      <c r="DII51"/>
      <c r="DIJ51"/>
      <c r="DIK51"/>
      <c r="DIL51"/>
      <c r="DIM51"/>
      <c r="DIN51"/>
      <c r="DIO51"/>
      <c r="DIP51"/>
      <c r="DIQ51"/>
      <c r="DIR51"/>
      <c r="DIS51"/>
      <c r="DIT51"/>
      <c r="DIU51"/>
      <c r="DIV51"/>
      <c r="DIW51"/>
      <c r="DIX51"/>
      <c r="DIY51"/>
      <c r="DIZ51"/>
      <c r="DJA51"/>
      <c r="DJB51"/>
      <c r="DJC51"/>
      <c r="DJD51"/>
      <c r="DJE51"/>
      <c r="DJF51"/>
      <c r="DJG51"/>
      <c r="DJH51"/>
      <c r="DJI51"/>
      <c r="DJJ51"/>
      <c r="DJK51"/>
      <c r="DJL51"/>
      <c r="DJM51"/>
      <c r="DJN51"/>
      <c r="DJO51"/>
      <c r="DJP51"/>
      <c r="DJQ51"/>
      <c r="DJR51"/>
      <c r="DJS51"/>
      <c r="DJT51"/>
      <c r="DJU51"/>
      <c r="DJV51"/>
      <c r="DJW51"/>
      <c r="DJX51"/>
      <c r="DJY51"/>
      <c r="DJZ51"/>
      <c r="DKA51"/>
      <c r="DKB51"/>
      <c r="DKC51"/>
      <c r="DKD51"/>
      <c r="DKE51"/>
      <c r="DKF51"/>
      <c r="DKG51"/>
      <c r="DKH51"/>
      <c r="DKI51"/>
      <c r="DKJ51"/>
      <c r="DKK51"/>
      <c r="DKL51"/>
      <c r="DKM51"/>
      <c r="DKN51"/>
      <c r="DKO51"/>
      <c r="DKP51"/>
      <c r="DKQ51"/>
      <c r="DKR51"/>
      <c r="DKS51"/>
      <c r="DKT51"/>
      <c r="DKU51"/>
      <c r="DKV51"/>
      <c r="DKW51"/>
      <c r="DKX51"/>
      <c r="DKY51"/>
      <c r="DKZ51"/>
      <c r="DLA51"/>
      <c r="DLB51"/>
      <c r="DLC51"/>
      <c r="DLD51"/>
      <c r="DLE51"/>
      <c r="DLF51"/>
      <c r="DLG51"/>
      <c r="DLH51"/>
      <c r="DLI51"/>
      <c r="DLJ51"/>
      <c r="DLK51"/>
      <c r="DLL51"/>
      <c r="DLM51"/>
      <c r="DLN51"/>
      <c r="DLO51"/>
      <c r="DLP51"/>
      <c r="DLQ51"/>
      <c r="DLR51"/>
      <c r="DLS51"/>
      <c r="DLT51"/>
      <c r="DLU51"/>
      <c r="DLV51"/>
      <c r="DLW51"/>
      <c r="DLX51"/>
      <c r="DLY51"/>
      <c r="DLZ51"/>
      <c r="DMA51"/>
      <c r="DMB51"/>
      <c r="DMC51"/>
      <c r="DMD51"/>
      <c r="DME51"/>
      <c r="DMF51"/>
      <c r="DMG51"/>
      <c r="DMH51"/>
      <c r="DMI51"/>
      <c r="DMJ51"/>
      <c r="DMK51"/>
      <c r="DML51"/>
      <c r="DMM51"/>
      <c r="DMN51"/>
      <c r="DMO51"/>
      <c r="DMP51"/>
      <c r="DMQ51"/>
      <c r="DMR51"/>
      <c r="DMS51"/>
      <c r="DMT51"/>
      <c r="DMU51"/>
      <c r="DMV51"/>
      <c r="DMW51"/>
      <c r="DMX51"/>
      <c r="DMY51"/>
      <c r="DMZ51"/>
      <c r="DNA51"/>
      <c r="DNB51"/>
      <c r="DNC51"/>
      <c r="DND51"/>
      <c r="DNE51"/>
      <c r="DNF51"/>
      <c r="DNG51"/>
      <c r="DNH51"/>
      <c r="DNI51"/>
      <c r="DNJ51"/>
      <c r="DNK51"/>
      <c r="DNL51"/>
      <c r="DNM51"/>
      <c r="DNN51"/>
      <c r="DNO51"/>
      <c r="DNP51"/>
      <c r="DNQ51"/>
      <c r="DNR51"/>
      <c r="DNS51"/>
      <c r="DNT51"/>
      <c r="DNU51"/>
      <c r="DNV51"/>
      <c r="DNW51"/>
      <c r="DNX51"/>
      <c r="DNY51"/>
      <c r="DNZ51"/>
      <c r="DOA51"/>
      <c r="DOB51"/>
      <c r="DOC51"/>
      <c r="DOD51"/>
      <c r="DOE51"/>
      <c r="DOF51"/>
      <c r="DOG51"/>
      <c r="DOH51"/>
      <c r="DOI51"/>
      <c r="DOJ51"/>
      <c r="DOK51"/>
      <c r="DOL51"/>
      <c r="DOM51"/>
      <c r="DON51"/>
      <c r="DOO51"/>
      <c r="DOP51"/>
      <c r="DOQ51"/>
      <c r="DOR51"/>
      <c r="DOS51"/>
      <c r="DOT51"/>
      <c r="DOU51"/>
      <c r="DOV51"/>
      <c r="DOW51"/>
      <c r="DOX51"/>
      <c r="DOY51"/>
      <c r="DOZ51"/>
      <c r="DPA51"/>
      <c r="DPB51"/>
      <c r="DPC51"/>
      <c r="DPD51"/>
      <c r="DPE51"/>
      <c r="DPF51"/>
      <c r="DPG51"/>
      <c r="DPH51"/>
      <c r="DPI51"/>
      <c r="DPJ51"/>
      <c r="DPK51"/>
      <c r="DPL51"/>
      <c r="DPM51"/>
      <c r="DPN51"/>
      <c r="DPO51"/>
      <c r="DPP51"/>
      <c r="DPQ51"/>
      <c r="DPR51"/>
      <c r="DPS51"/>
      <c r="DPT51"/>
      <c r="DPU51"/>
      <c r="DPV51"/>
      <c r="DPW51"/>
      <c r="DPX51"/>
      <c r="DPY51"/>
      <c r="DPZ51"/>
      <c r="DQA51"/>
      <c r="DQB51"/>
      <c r="DQC51"/>
      <c r="DQD51"/>
      <c r="DQE51"/>
      <c r="DQF51"/>
      <c r="DQG51"/>
      <c r="DQH51"/>
      <c r="DQI51"/>
      <c r="DQJ51"/>
      <c r="DQK51"/>
      <c r="DQL51"/>
      <c r="DQM51"/>
      <c r="DQN51"/>
      <c r="DQO51"/>
      <c r="DQP51"/>
      <c r="DQQ51"/>
      <c r="DQR51"/>
      <c r="DQS51"/>
      <c r="DQT51"/>
      <c r="DQU51"/>
      <c r="DQV51"/>
      <c r="DQW51"/>
      <c r="DQX51"/>
      <c r="DQY51"/>
      <c r="DQZ51"/>
      <c r="DRA51"/>
      <c r="DRB51"/>
      <c r="DRC51"/>
      <c r="DRD51"/>
      <c r="DRE51"/>
      <c r="DRF51"/>
      <c r="DRG51"/>
      <c r="DRH51"/>
      <c r="DRI51"/>
      <c r="DRJ51"/>
      <c r="DRK51"/>
      <c r="DRL51"/>
      <c r="DRM51"/>
      <c r="DRN51"/>
      <c r="DRO51"/>
      <c r="DRP51"/>
      <c r="DRQ51"/>
      <c r="DRR51"/>
      <c r="DRS51"/>
      <c r="DRT51"/>
      <c r="DRU51"/>
      <c r="DRV51"/>
      <c r="DRW51"/>
      <c r="DRX51"/>
      <c r="DRY51"/>
      <c r="DRZ51"/>
      <c r="DSA51"/>
      <c r="DSB51"/>
      <c r="DSC51"/>
      <c r="DSD51"/>
      <c r="DSE51"/>
      <c r="DSF51"/>
      <c r="DSG51"/>
      <c r="DSH51"/>
      <c r="DSI51"/>
      <c r="DSJ51"/>
      <c r="DSK51"/>
      <c r="DSL51"/>
      <c r="DSM51"/>
      <c r="DSN51"/>
      <c r="DSO51"/>
      <c r="DSP51"/>
      <c r="DSQ51"/>
      <c r="DSR51"/>
      <c r="DSS51"/>
      <c r="DST51"/>
      <c r="DSU51"/>
      <c r="DSV51"/>
      <c r="DSW51"/>
      <c r="DSX51"/>
      <c r="DSY51"/>
      <c r="DSZ51"/>
      <c r="DTA51"/>
      <c r="DTB51"/>
      <c r="DTC51"/>
      <c r="DTD51"/>
      <c r="DTE51"/>
      <c r="DTF51"/>
      <c r="DTG51"/>
      <c r="DTH51"/>
      <c r="DTI51"/>
      <c r="DTJ51"/>
      <c r="DTK51"/>
      <c r="DTL51"/>
      <c r="DTM51"/>
      <c r="DTN51"/>
      <c r="DTO51"/>
      <c r="DTP51"/>
      <c r="DTQ51"/>
      <c r="DTR51"/>
      <c r="DTS51"/>
      <c r="DTT51"/>
      <c r="DTU51"/>
      <c r="DTV51"/>
      <c r="DTW51"/>
      <c r="DTX51"/>
      <c r="DTY51"/>
      <c r="DTZ51"/>
      <c r="DUA51"/>
      <c r="DUB51"/>
      <c r="DUC51"/>
      <c r="DUD51"/>
      <c r="DUE51"/>
      <c r="DUF51"/>
      <c r="DUG51"/>
      <c r="DUH51"/>
      <c r="DUI51"/>
      <c r="DUJ51"/>
      <c r="DUK51"/>
      <c r="DUL51"/>
      <c r="DUM51"/>
      <c r="DUN51"/>
      <c r="DUO51"/>
      <c r="DUP51"/>
      <c r="DUQ51"/>
      <c r="DUR51"/>
      <c r="DUS51"/>
      <c r="DUT51"/>
      <c r="DUU51"/>
      <c r="DUV51"/>
      <c r="DUW51"/>
      <c r="DUX51"/>
      <c r="DUY51"/>
      <c r="DUZ51"/>
      <c r="DVA51"/>
      <c r="DVB51"/>
      <c r="DVC51"/>
      <c r="DVD51"/>
      <c r="DVE51"/>
      <c r="DVF51"/>
      <c r="DVG51"/>
      <c r="DVH51"/>
      <c r="DVI51"/>
      <c r="DVJ51"/>
      <c r="DVK51"/>
      <c r="DVL51"/>
      <c r="DVM51"/>
      <c r="DVN51"/>
      <c r="DVO51"/>
      <c r="DVP51"/>
      <c r="DVQ51"/>
      <c r="DVR51"/>
      <c r="DVS51"/>
      <c r="DVT51"/>
      <c r="DVU51"/>
      <c r="DVV51"/>
      <c r="DVW51"/>
      <c r="DVX51"/>
      <c r="DVY51"/>
      <c r="DVZ51"/>
      <c r="DWA51"/>
      <c r="DWB51"/>
      <c r="DWC51"/>
      <c r="DWD51"/>
      <c r="DWE51"/>
      <c r="DWF51"/>
      <c r="DWG51"/>
      <c r="DWH51"/>
      <c r="DWI51"/>
      <c r="DWJ51"/>
      <c r="DWK51"/>
      <c r="DWL51"/>
      <c r="DWM51"/>
      <c r="DWN51"/>
      <c r="DWO51"/>
      <c r="DWP51"/>
      <c r="DWQ51"/>
      <c r="DWR51"/>
      <c r="DWS51"/>
      <c r="DWT51"/>
      <c r="DWU51"/>
      <c r="DWV51"/>
      <c r="DWW51"/>
      <c r="DWX51"/>
      <c r="DWY51"/>
      <c r="DWZ51"/>
      <c r="DXA51"/>
      <c r="DXB51"/>
      <c r="DXC51"/>
      <c r="DXD51"/>
      <c r="DXE51"/>
      <c r="DXF51"/>
      <c r="DXG51"/>
      <c r="DXH51"/>
      <c r="DXI51"/>
      <c r="DXJ51"/>
      <c r="DXK51"/>
      <c r="DXL51"/>
      <c r="DXM51"/>
      <c r="DXN51"/>
      <c r="DXO51"/>
      <c r="DXP51"/>
      <c r="DXQ51"/>
      <c r="DXR51"/>
      <c r="DXS51"/>
      <c r="DXT51"/>
      <c r="DXU51"/>
      <c r="DXV51"/>
      <c r="DXW51"/>
      <c r="DXX51"/>
      <c r="DXY51"/>
      <c r="DXZ51"/>
      <c r="DYA51"/>
      <c r="DYB51"/>
      <c r="DYC51"/>
      <c r="DYD51"/>
      <c r="DYE51"/>
      <c r="DYF51"/>
      <c r="DYG51"/>
      <c r="DYH51"/>
      <c r="DYI51"/>
      <c r="DYJ51"/>
      <c r="DYK51"/>
      <c r="DYL51"/>
      <c r="DYM51"/>
      <c r="DYN51"/>
      <c r="DYO51"/>
      <c r="DYP51"/>
      <c r="DYQ51"/>
      <c r="DYR51"/>
      <c r="DYS51"/>
      <c r="DYT51"/>
      <c r="DYU51"/>
      <c r="DYV51"/>
      <c r="DYW51"/>
      <c r="DYX51"/>
      <c r="DYY51"/>
      <c r="DYZ51"/>
      <c r="DZA51"/>
      <c r="DZB51"/>
      <c r="DZC51"/>
      <c r="DZD51"/>
      <c r="DZE51"/>
      <c r="DZF51"/>
      <c r="DZG51"/>
      <c r="DZH51"/>
      <c r="DZI51"/>
      <c r="DZJ51"/>
      <c r="DZK51"/>
      <c r="DZL51"/>
      <c r="DZM51"/>
      <c r="DZN51"/>
      <c r="DZO51"/>
      <c r="DZP51"/>
      <c r="DZQ51"/>
      <c r="DZR51"/>
      <c r="DZS51"/>
      <c r="DZT51"/>
      <c r="DZU51"/>
      <c r="DZV51"/>
      <c r="DZW51"/>
      <c r="DZX51"/>
      <c r="DZY51"/>
      <c r="DZZ51"/>
      <c r="EAA51"/>
      <c r="EAB51"/>
      <c r="EAC51"/>
      <c r="EAD51"/>
      <c r="EAE51"/>
      <c r="EAF51"/>
      <c r="EAG51"/>
      <c r="EAH51"/>
      <c r="EAI51"/>
      <c r="EAJ51"/>
      <c r="EAK51"/>
      <c r="EAL51"/>
      <c r="EAM51"/>
      <c r="EAN51"/>
      <c r="EAO51"/>
      <c r="EAP51"/>
      <c r="EAQ51"/>
      <c r="EAR51"/>
      <c r="EAS51"/>
      <c r="EAT51"/>
      <c r="EAU51"/>
      <c r="EAV51"/>
      <c r="EAW51"/>
      <c r="EAX51"/>
      <c r="EAY51"/>
      <c r="EAZ51"/>
      <c r="EBA51"/>
      <c r="EBB51"/>
      <c r="EBC51"/>
      <c r="EBD51"/>
      <c r="EBE51"/>
      <c r="EBF51"/>
      <c r="EBG51"/>
      <c r="EBH51"/>
      <c r="EBI51"/>
      <c r="EBJ51"/>
      <c r="EBK51"/>
      <c r="EBL51"/>
      <c r="EBM51"/>
      <c r="EBN51"/>
      <c r="EBO51"/>
      <c r="EBP51"/>
      <c r="EBQ51"/>
      <c r="EBR51"/>
      <c r="EBS51"/>
      <c r="EBT51"/>
      <c r="EBU51"/>
      <c r="EBV51"/>
      <c r="EBW51"/>
      <c r="EBX51"/>
      <c r="EBY51"/>
      <c r="EBZ51"/>
      <c r="ECA51"/>
      <c r="ECB51"/>
      <c r="ECC51"/>
      <c r="ECD51"/>
      <c r="ECE51"/>
      <c r="ECF51"/>
      <c r="ECG51"/>
      <c r="ECH51"/>
      <c r="ECI51"/>
      <c r="ECJ51"/>
      <c r="ECK51"/>
      <c r="ECL51"/>
      <c r="ECM51"/>
      <c r="ECN51"/>
      <c r="ECO51"/>
      <c r="ECP51"/>
      <c r="ECQ51"/>
      <c r="ECR51"/>
      <c r="ECS51"/>
      <c r="ECT51"/>
      <c r="ECU51"/>
      <c r="ECV51"/>
      <c r="ECW51"/>
      <c r="ECX51"/>
      <c r="ECY51"/>
      <c r="ECZ51"/>
      <c r="EDA51"/>
      <c r="EDB51"/>
      <c r="EDC51"/>
      <c r="EDD51"/>
      <c r="EDE51"/>
      <c r="EDF51"/>
      <c r="EDG51"/>
      <c r="EDH51"/>
      <c r="EDI51"/>
      <c r="EDJ51"/>
      <c r="EDK51"/>
      <c r="EDL51"/>
      <c r="EDM51"/>
      <c r="EDN51"/>
      <c r="EDO51"/>
      <c r="EDP51"/>
      <c r="EDQ51"/>
      <c r="EDR51"/>
      <c r="EDS51"/>
      <c r="EDT51"/>
      <c r="EDU51"/>
      <c r="EDV51"/>
      <c r="EDW51"/>
      <c r="EDX51"/>
      <c r="EDY51"/>
      <c r="EDZ51"/>
      <c r="EEA51"/>
      <c r="EEB51"/>
      <c r="EEC51"/>
      <c r="EED51"/>
      <c r="EEE51"/>
      <c r="EEF51"/>
      <c r="EEG51"/>
      <c r="EEH51"/>
      <c r="EEI51"/>
      <c r="EEJ51"/>
      <c r="EEK51"/>
      <c r="EEL51"/>
      <c r="EEM51"/>
      <c r="EEN51"/>
      <c r="EEO51"/>
      <c r="EEP51"/>
      <c r="EEQ51"/>
      <c r="EER51"/>
      <c r="EES51"/>
      <c r="EET51"/>
      <c r="EEU51"/>
      <c r="EEV51"/>
      <c r="EEW51"/>
      <c r="EEX51"/>
      <c r="EEY51"/>
      <c r="EEZ51"/>
      <c r="EFA51"/>
      <c r="EFB51"/>
      <c r="EFC51"/>
      <c r="EFD51"/>
      <c r="EFE51"/>
      <c r="EFF51"/>
      <c r="EFG51"/>
      <c r="EFH51"/>
      <c r="EFI51"/>
      <c r="EFJ51"/>
      <c r="EFK51"/>
      <c r="EFL51"/>
      <c r="EFM51"/>
      <c r="EFN51"/>
      <c r="EFO51"/>
      <c r="EFP51"/>
      <c r="EFQ51"/>
      <c r="EFR51"/>
      <c r="EFS51"/>
      <c r="EFT51"/>
      <c r="EFU51"/>
      <c r="EFV51"/>
      <c r="EFW51"/>
      <c r="EFX51"/>
      <c r="EFY51"/>
      <c r="EFZ51"/>
      <c r="EGA51"/>
      <c r="EGB51"/>
      <c r="EGC51"/>
      <c r="EGD51"/>
      <c r="EGE51"/>
      <c r="EGF51"/>
      <c r="EGG51"/>
      <c r="EGH51"/>
      <c r="EGI51"/>
      <c r="EGJ51"/>
      <c r="EGK51"/>
      <c r="EGL51"/>
      <c r="EGM51"/>
      <c r="EGN51"/>
      <c r="EGO51"/>
      <c r="EGP51"/>
      <c r="EGQ51"/>
      <c r="EGR51"/>
      <c r="EGS51"/>
      <c r="EGT51"/>
      <c r="EGU51"/>
      <c r="EGV51"/>
      <c r="EGW51"/>
      <c r="EGX51"/>
      <c r="EGY51"/>
      <c r="EGZ51"/>
      <c r="EHA51"/>
      <c r="EHB51"/>
      <c r="EHC51"/>
      <c r="EHD51"/>
      <c r="EHE51"/>
      <c r="EHF51"/>
      <c r="EHG51"/>
      <c r="EHH51"/>
      <c r="EHI51"/>
      <c r="EHJ51"/>
      <c r="EHK51"/>
      <c r="EHL51"/>
      <c r="EHM51"/>
      <c r="EHN51"/>
      <c r="EHO51"/>
      <c r="EHP51"/>
      <c r="EHQ51"/>
      <c r="EHR51"/>
      <c r="EHS51"/>
      <c r="EHT51"/>
      <c r="EHU51"/>
      <c r="EHV51"/>
      <c r="EHW51"/>
      <c r="EHX51"/>
      <c r="EHY51"/>
      <c r="EHZ51"/>
      <c r="EIA51"/>
      <c r="EIB51"/>
      <c r="EIC51"/>
      <c r="EID51"/>
      <c r="EIE51"/>
      <c r="EIF51"/>
      <c r="EIG51"/>
      <c r="EIH51"/>
      <c r="EII51"/>
      <c r="EIJ51"/>
      <c r="EIK51"/>
      <c r="EIL51"/>
      <c r="EIM51"/>
      <c r="EIN51"/>
      <c r="EIO51"/>
      <c r="EIP51"/>
      <c r="EIQ51"/>
      <c r="EIR51"/>
      <c r="EIS51"/>
      <c r="EIT51"/>
      <c r="EIU51"/>
      <c r="EIV51"/>
      <c r="EIW51"/>
      <c r="EIX51"/>
      <c r="EIY51"/>
      <c r="EIZ51"/>
      <c r="EJA51"/>
      <c r="EJB51"/>
      <c r="EJC51"/>
      <c r="EJD51"/>
      <c r="EJE51"/>
      <c r="EJF51"/>
      <c r="EJG51"/>
      <c r="EJH51"/>
      <c r="EJI51"/>
      <c r="EJJ51"/>
      <c r="EJK51"/>
      <c r="EJL51"/>
      <c r="EJM51"/>
      <c r="EJN51"/>
      <c r="EJO51"/>
      <c r="EJP51"/>
      <c r="EJQ51"/>
      <c r="EJR51"/>
      <c r="EJS51"/>
      <c r="EJT51"/>
      <c r="EJU51"/>
      <c r="EJV51"/>
      <c r="EJW51"/>
      <c r="EJX51"/>
      <c r="EJY51"/>
      <c r="EJZ51"/>
      <c r="EKA51"/>
      <c r="EKB51"/>
      <c r="EKC51"/>
      <c r="EKD51"/>
      <c r="EKE51"/>
      <c r="EKF51"/>
      <c r="EKG51"/>
      <c r="EKH51"/>
      <c r="EKI51"/>
      <c r="EKJ51"/>
      <c r="EKK51"/>
      <c r="EKL51"/>
      <c r="EKM51"/>
      <c r="EKN51"/>
      <c r="EKO51"/>
      <c r="EKP51"/>
      <c r="EKQ51"/>
      <c r="EKR51"/>
      <c r="EKS51"/>
      <c r="EKT51"/>
      <c r="EKU51"/>
      <c r="EKV51"/>
      <c r="EKW51"/>
      <c r="EKX51"/>
      <c r="EKY51"/>
      <c r="EKZ51"/>
      <c r="ELA51"/>
      <c r="ELB51"/>
      <c r="ELC51"/>
    </row>
    <row r="52" spans="1:3695" s="166" customFormat="1" ht="15" hidden="1" outlineLevel="1">
      <c r="A52" s="108" t="s">
        <v>968</v>
      </c>
      <c r="B52" s="30" t="s">
        <v>336</v>
      </c>
      <c r="C52" s="43" t="s">
        <v>239</v>
      </c>
      <c r="D52" s="43" t="s">
        <v>251</v>
      </c>
      <c r="E52" s="487">
        <v>0.59</v>
      </c>
      <c r="F52" s="559">
        <v>1</v>
      </c>
      <c r="G52" s="559">
        <v>1</v>
      </c>
      <c r="H52" s="559">
        <f>N52/F52*(1+$D$31)</f>
        <v>6.0092703090306321</v>
      </c>
      <c r="I52" s="578">
        <v>1E-3</v>
      </c>
      <c r="J52" s="487">
        <v>0</v>
      </c>
      <c r="K52" s="48"/>
      <c r="L52" s="486">
        <v>1</v>
      </c>
      <c r="M52" s="486">
        <f>IF(C52="","",SUMIFS(Energy_Balance!I$55:I$160,Energy_Balance!$C$55:$C$160,C52,Energy_Balance!$D$55:$D$160,D52)*L52)</f>
        <v>10.185203913611241</v>
      </c>
      <c r="N52" s="486">
        <f t="shared" si="16"/>
        <v>6.0092703090306321</v>
      </c>
      <c r="O52" s="25"/>
      <c r="P52" s="605">
        <f>E52</f>
        <v>0.59</v>
      </c>
      <c r="Q52" s="361">
        <f>IF($AO52="","",($S52-$P52)*1/3+$P52)</f>
        <v>0.59</v>
      </c>
      <c r="R52" s="361">
        <f>IF($AO52="","",($S52-$P52)*2/3+$P52)</f>
        <v>0.59</v>
      </c>
      <c r="S52" s="361">
        <f>IF($AO52="","",IF($AO52="*",$AP52*(1+$P$29),E52))</f>
        <v>0.59</v>
      </c>
      <c r="T52" s="204"/>
      <c r="U52" s="50"/>
      <c r="V52" s="63">
        <f>IF((IFERROR(IF(N52/(SUMIF(RES!$D$39:$D$145,D52,$N$39:$N$145))=1,1,(N52/(SUMIF(RES!$D$39:$D$145,D52,$N$39:$N$145))+$V$29)),0))&lt;1,(IFERROR(IF(N52/(SUMIF(RES!$D$39:$D$145,D52,$N$39:$N$145))=1,1,(N52/(SUMIF(RES!$D$39:$D$145,D52,$N$39:$N$145))+$V$29)),0)),1)</f>
        <v>0.64388049339272602</v>
      </c>
      <c r="W52" s="63">
        <f>$V52-$V$50*'Census 2011_17'!B$20*RES!$V52/(1-RES!$V$50)+RES!W$29</f>
        <v>0.6457373854731997</v>
      </c>
      <c r="X52" s="63">
        <f>$V52-$V$50*'Census 2011_17'!C$20*RES!$V52/(1-RES!$V$50)+RES!X$29</f>
        <v>0.64140915738466175</v>
      </c>
      <c r="Y52" s="63">
        <f>$V52-$V$50*'Census 2011_17'!D$20*RES!$V52/(1-RES!$V$50)+RES!Y$29</f>
        <v>0.6390809292961237</v>
      </c>
      <c r="Z52" s="63">
        <f>$V52-$V$50*'Census 2011_17'!E$20*RES!$V52/(1-RES!$V$50)+RES!Z$29</f>
        <v>0.63625270120758559</v>
      </c>
      <c r="AA52" s="63">
        <f>$V52-$V$50*'Census 2011_17'!F$20*RES!$V52/(1-RES!$V$50)+RES!AA$29</f>
        <v>0.6314244731190477</v>
      </c>
      <c r="AB52" s="63">
        <f>$V52-$V$50*'Census 2011_17'!G$20*RES!$V52/(1-RES!$V$50)+RES!AB$29</f>
        <v>0.6314244731190477</v>
      </c>
      <c r="AC52" s="63">
        <f>$V52-$V$50*'Census 2011_17'!H$20*RES!$V52/(1-RES!$V$50)+RES!AC$29</f>
        <v>0.6314244731190477</v>
      </c>
      <c r="AD52" s="50"/>
      <c r="AE52" s="63">
        <f>(IFERROR(IF($N52/(SUMIF(RES!$D$39:$D$145,$D52,$N$39:$N$145))=1,1,($N52/(SUMIF(RES!$D$39:$D$145,$D52,$N$39:$N$145)))),0))-AE$29</f>
        <v>0.64278049339272603</v>
      </c>
      <c r="AF52" s="63">
        <f t="shared" ref="AF52:AF54" si="33">IF(W52-AF$29&lt;0,0,W52-AF$29)</f>
        <v>0.64073738547319969</v>
      </c>
      <c r="AG52" s="63">
        <f t="shared" si="32"/>
        <v>0.63790915738466181</v>
      </c>
      <c r="AH52" s="63">
        <f t="shared" si="32"/>
        <v>0.62908092929612369</v>
      </c>
      <c r="AI52" s="63">
        <f t="shared" si="32"/>
        <v>0.62625270120758558</v>
      </c>
      <c r="AJ52" s="63">
        <f t="shared" si="32"/>
        <v>0.62042447311904769</v>
      </c>
      <c r="AK52" s="63">
        <f t="shared" si="32"/>
        <v>0.61892447311904775</v>
      </c>
      <c r="AL52" s="63">
        <f t="shared" si="32"/>
        <v>0.61642447311904769</v>
      </c>
      <c r="AM52"/>
      <c r="AN52"/>
      <c r="AO52" s="180" t="s">
        <v>507</v>
      </c>
      <c r="AP52" s="497">
        <f>E52</f>
        <v>0.59</v>
      </c>
      <c r="AQ52"/>
      <c r="AR52"/>
      <c r="AS52"/>
      <c r="AT52"/>
      <c r="AU52"/>
      <c r="AV52"/>
      <c r="AW52"/>
      <c r="AX52"/>
      <c r="AY52"/>
      <c r="AZ52"/>
      <c r="BA52"/>
      <c r="BB52"/>
      <c r="BC52"/>
      <c r="BD52"/>
    </row>
    <row r="53" spans="1:3695" ht="15" hidden="1" outlineLevel="1">
      <c r="A53" s="108" t="s">
        <v>969</v>
      </c>
      <c r="B53" s="30" t="s">
        <v>337</v>
      </c>
      <c r="C53" s="43" t="s">
        <v>240</v>
      </c>
      <c r="D53" s="43" t="s">
        <v>251</v>
      </c>
      <c r="E53" s="487">
        <v>0.59</v>
      </c>
      <c r="F53" s="559">
        <v>1</v>
      </c>
      <c r="G53" s="559">
        <v>1</v>
      </c>
      <c r="H53" s="559">
        <f>N53/F53*(1+$D$31)</f>
        <v>2.112623863608373</v>
      </c>
      <c r="I53" s="578">
        <v>1E-3</v>
      </c>
      <c r="J53" s="487">
        <v>0</v>
      </c>
      <c r="K53" s="48"/>
      <c r="L53" s="486">
        <v>1</v>
      </c>
      <c r="M53" s="486">
        <f>IF(C53="","",SUMIFS(Energy_Balance!I$55:I$160,Energy_Balance!$C$55:$C$160,C53,Energy_Balance!$D$55:$D$160,D53)*L53)</f>
        <v>3.5807184128955476</v>
      </c>
      <c r="N53" s="486">
        <f t="shared" si="16"/>
        <v>2.112623863608373</v>
      </c>
      <c r="O53" s="25"/>
      <c r="P53" s="605">
        <f>E53</f>
        <v>0.59</v>
      </c>
      <c r="Q53" s="361">
        <f>IF($AO53="","",($S53-$P53)*1/3+$P53)</f>
        <v>0.59</v>
      </c>
      <c r="R53" s="361">
        <f>IF($AO53="","",($S53-$P53)*2/3+$P53)</f>
        <v>0.59</v>
      </c>
      <c r="S53" s="361">
        <f>IF($AO53="","",IF($AO53="*",$AP53*(1+$P$29),E53))</f>
        <v>0.59</v>
      </c>
      <c r="T53" s="204"/>
      <c r="U53" s="50"/>
      <c r="V53" s="63">
        <f>IF((IFERROR(IF(N53/(SUMIF(RES!$D$39:$D$145,D53,$N$39:$N$145))=1,1,(N53/(SUMIF(RES!$D$39:$D$145,D53,$N$39:$N$145))+$V$29)),0))&lt;1,(IFERROR(IF(N53/(SUMIF(RES!$D$39:$D$145,D53,$N$39:$N$145))=1,1,(N53/(SUMIF(RES!$D$39:$D$145,D53,$N$39:$N$145))+$V$29)),0)),1)</f>
        <v>0.22701157910117151</v>
      </c>
      <c r="W53" s="63">
        <f>$V53-$V$50*'Census 2011_17'!B$20*RES!$V53/(1-RES!$V$50)+RES!W$29</f>
        <v>0.23090342021234203</v>
      </c>
      <c r="X53" s="63">
        <f>$V53-$V$50*'Census 2011_17'!C$20*RES!$V53/(1-RES!$V$50)+RES!X$29</f>
        <v>0.22808256177617203</v>
      </c>
      <c r="Y53" s="63">
        <f>$V53-$V$50*'Census 2011_17'!D$20*RES!$V53/(1-RES!$V$50)+RES!Y$29</f>
        <v>0.22726170334000204</v>
      </c>
      <c r="Z53" s="63">
        <f>$V53-$V$50*'Census 2011_17'!E$20*RES!$V53/(1-RES!$V$50)+RES!Z$29</f>
        <v>0.22594084490383204</v>
      </c>
      <c r="AA53" s="63">
        <f>$V53-$V$50*'Census 2011_17'!F$20*RES!$V53/(1-RES!$V$50)+RES!AA$29</f>
        <v>0.22261998646766207</v>
      </c>
      <c r="AB53" s="63">
        <f>$V53-$V$50*'Census 2011_17'!G$20*RES!$V53/(1-RES!$V$50)+RES!AB$29</f>
        <v>0.22261998646766207</v>
      </c>
      <c r="AC53" s="63">
        <f>$V53-$V$50*'Census 2011_17'!H$20*RES!$V53/(1-RES!$V$50)+RES!AC$29</f>
        <v>0.22261998646766207</v>
      </c>
      <c r="AD53" s="50"/>
      <c r="AE53" s="63">
        <f>(IFERROR(IF($N53/(SUMIF(RES!$D$39:$D$145,$D53,$N$39:$N$145))=1,1,($N53/(SUMIF(RES!$D$39:$D$145,$D53,$N$39:$N$145)))),0))-AE$29</f>
        <v>0.22591157910117152</v>
      </c>
      <c r="AF53" s="63">
        <f t="shared" si="33"/>
        <v>0.22590342021234203</v>
      </c>
      <c r="AG53" s="63">
        <f t="shared" si="32"/>
        <v>0.22458256177617203</v>
      </c>
      <c r="AH53" s="63">
        <f t="shared" si="32"/>
        <v>0.21726170334000203</v>
      </c>
      <c r="AI53" s="63">
        <f t="shared" si="32"/>
        <v>0.21594084490383203</v>
      </c>
      <c r="AJ53" s="63">
        <f t="shared" si="32"/>
        <v>0.21161998646766206</v>
      </c>
      <c r="AK53" s="63">
        <f t="shared" si="32"/>
        <v>0.21011998646766206</v>
      </c>
      <c r="AL53" s="63">
        <f t="shared" si="32"/>
        <v>0.20761998646766205</v>
      </c>
      <c r="AO53" s="180" t="s">
        <v>507</v>
      </c>
      <c r="AP53" s="497">
        <f>E53</f>
        <v>0.59</v>
      </c>
    </row>
    <row r="54" spans="1:3695" ht="15" hidden="1" outlineLevel="1">
      <c r="A54" s="108" t="s">
        <v>970</v>
      </c>
      <c r="B54" s="30" t="s">
        <v>338</v>
      </c>
      <c r="C54" s="43" t="s">
        <v>237</v>
      </c>
      <c r="D54" s="43" t="s">
        <v>251</v>
      </c>
      <c r="E54" s="487">
        <v>0.79</v>
      </c>
      <c r="F54" s="559">
        <v>1</v>
      </c>
      <c r="G54" s="559">
        <v>1</v>
      </c>
      <c r="H54" s="559">
        <f>N54/F54*(1+$D$31)</f>
        <v>6.4934054513460571E-2</v>
      </c>
      <c r="I54" s="578">
        <v>1E-3</v>
      </c>
      <c r="J54" s="487">
        <v>0</v>
      </c>
      <c r="K54" s="48"/>
      <c r="L54" s="486">
        <v>1</v>
      </c>
      <c r="M54" s="486">
        <f>IF(C54="","",SUMIFS(Energy_Balance!I$55:I$160,Energy_Balance!$C$55:$C$160,C54,Energy_Balance!$D$55:$D$160,D54)*L54)</f>
        <v>8.2195005713241232E-2</v>
      </c>
      <c r="N54" s="486">
        <f t="shared" si="16"/>
        <v>6.4934054513460571E-2</v>
      </c>
      <c r="O54" s="25"/>
      <c r="P54" s="605">
        <f>E54</f>
        <v>0.79</v>
      </c>
      <c r="Q54" s="361">
        <f>IF($AO54="","",($S54-$P54)*1/3+$P54)</f>
        <v>0.79</v>
      </c>
      <c r="R54" s="361">
        <f>IF($AO54="","",($S54-$P54)*2/3+$P54)</f>
        <v>0.79</v>
      </c>
      <c r="S54" s="361">
        <f>IF($AO54="","",IF($AO54="*",$AP54*(1+$P$29),E54))</f>
        <v>0.79</v>
      </c>
      <c r="T54" s="204"/>
      <c r="U54" s="50"/>
      <c r="V54" s="63">
        <f>IF((IFERROR(IF(N54/(SUMIF(RES!$D$39:$D$145,D54,$N$39:$N$145))=1,1,(N54/(SUMIF(RES!$D$39:$D$145,D54,$N$39:$N$145))+$V$29)),0))&lt;1,(IFERROR(IF(N54/(SUMIF(RES!$D$39:$D$145,D54,$N$39:$N$145))=1,1,(N54/(SUMIF(RES!$D$39:$D$145,D54,$N$39:$N$145))+$V$29)),0)),1)</f>
        <v>7.9467397632072313E-3</v>
      </c>
      <c r="W54" s="63">
        <f>$V54-$V$50*'Census 2011_17'!B$20*RES!$V54/(1-RES!$V$50)+RES!W$29</f>
        <v>1.2907947687751518E-2</v>
      </c>
      <c r="X54" s="63">
        <f>$V54-$V$50*'Census 2011_17'!C$20*RES!$V54/(1-RES!$V$50)+RES!X$29</f>
        <v>1.0879212817043585E-2</v>
      </c>
      <c r="Y54" s="63">
        <f>$V54-$V$50*'Census 2011_17'!D$20*RES!$V54/(1-RES!$V$50)+RES!Y$29</f>
        <v>1.0850477946335653E-2</v>
      </c>
      <c r="Z54" s="63">
        <f>$V54-$V$50*'Census 2011_17'!E$20*RES!$V54/(1-RES!$V$50)+RES!Z$29</f>
        <v>1.0321743075627717E-2</v>
      </c>
      <c r="AA54" s="63">
        <f>$V54-$V$50*'Census 2011_17'!F$20*RES!$V54/(1-RES!$V$50)+RES!AA$29</f>
        <v>7.7930082049197831E-3</v>
      </c>
      <c r="AB54" s="63">
        <f>$V54-$V$50*'Census 2011_17'!G$20*RES!$V54/(1-RES!$V$50)+RES!AB$29</f>
        <v>7.7930082049197831E-3</v>
      </c>
      <c r="AC54" s="63">
        <f>$V54-$V$50*'Census 2011_17'!H$20*RES!$V54/(1-RES!$V$50)+RES!AC$29</f>
        <v>7.7930082049197831E-3</v>
      </c>
      <c r="AD54" s="50"/>
      <c r="AE54" s="63">
        <f>(IFERROR(IF($N54/(SUMIF(RES!$D$39:$D$145,$D54,$N$39:$N$145))=1,1,($N54/(SUMIF(RES!$D$39:$D$145,$D54,$N$39:$N$145)))),0))-AE$29</f>
        <v>6.8467397632072319E-3</v>
      </c>
      <c r="AF54" s="63">
        <f t="shared" si="33"/>
        <v>7.9079476877515174E-3</v>
      </c>
      <c r="AG54" s="63">
        <f t="shared" si="32"/>
        <v>7.3792128170435851E-3</v>
      </c>
      <c r="AH54" s="63">
        <f t="shared" si="32"/>
        <v>8.5047794633565273E-4</v>
      </c>
      <c r="AI54" s="63">
        <f t="shared" si="32"/>
        <v>3.2174307562771697E-4</v>
      </c>
      <c r="AJ54" s="63">
        <f t="shared" si="32"/>
        <v>0</v>
      </c>
      <c r="AK54" s="63">
        <f t="shared" si="32"/>
        <v>0</v>
      </c>
      <c r="AL54" s="63">
        <f t="shared" si="32"/>
        <v>0</v>
      </c>
      <c r="AO54" s="180" t="s">
        <v>507</v>
      </c>
      <c r="AP54" s="497">
        <f>E54</f>
        <v>0.79</v>
      </c>
    </row>
    <row r="55" spans="1:3695" s="192" customFormat="1" ht="15" hidden="1" outlineLevel="1">
      <c r="A55" s="526" t="s">
        <v>955</v>
      </c>
      <c r="B55" s="527"/>
      <c r="C55" s="528"/>
      <c r="D55" s="528"/>
      <c r="E55" s="529" t="str">
        <f>IF(D55="","",IF(COUNTIF(#REF!,$B55)=1,SUMIF(#REF!,RES!B55,#REF!),SUMIF(#REF!,RES!$B55,#REF!)))</f>
        <v/>
      </c>
      <c r="F55" s="529"/>
      <c r="G55" s="529"/>
      <c r="H55" s="529"/>
      <c r="I55" s="579"/>
      <c r="J55" s="529"/>
      <c r="K55" s="530"/>
      <c r="L55" s="531"/>
      <c r="M55" s="531">
        <f>SUM(M50:M54)</f>
        <v>15.147640827667061</v>
      </c>
      <c r="N55" s="531">
        <f>SUM(N50:N54)</f>
        <v>9.3474142874010937</v>
      </c>
      <c r="O55" s="193"/>
      <c r="P55" s="532"/>
      <c r="Q55" s="532"/>
      <c r="R55" s="532"/>
      <c r="S55" s="532"/>
      <c r="T55" s="533"/>
      <c r="U55" s="534"/>
      <c r="V55" s="534">
        <f>SUM(V50:V54)</f>
        <v>1.0049999999999999</v>
      </c>
      <c r="W55" s="534">
        <f t="shared" ref="W55:AC55" si="34">SUM(W50:W54)</f>
        <v>1.0259755924589131</v>
      </c>
      <c r="X55" s="534">
        <f t="shared" si="34"/>
        <v>1.0194575127988483</v>
      </c>
      <c r="Y55" s="534">
        <f t="shared" si="34"/>
        <v>1.0199394331387839</v>
      </c>
      <c r="Z55" s="534">
        <f t="shared" si="34"/>
        <v>1.0349213534787194</v>
      </c>
      <c r="AA55" s="534">
        <f t="shared" si="34"/>
        <v>1.044903273818655</v>
      </c>
      <c r="AB55" s="534">
        <f t="shared" si="34"/>
        <v>1.084903273818655</v>
      </c>
      <c r="AC55" s="534">
        <f t="shared" si="34"/>
        <v>1.1649032738186551</v>
      </c>
      <c r="AD55" s="534"/>
      <c r="AE55" s="604">
        <f>SUM(AE50:AE54)</f>
        <v>0.99949999999999994</v>
      </c>
      <c r="AF55" s="604">
        <f t="shared" ref="AF55" si="35">SUM(AF50:AF54)</f>
        <v>0.99882714221421465</v>
      </c>
      <c r="AG55" s="604">
        <f t="shared" ref="AG55" si="36">SUM(AG50:AG54)</f>
        <v>0.99827317348400335</v>
      </c>
      <c r="AH55" s="604">
        <f t="shared" ref="AH55" si="37">SUM(AH50:AH54)</f>
        <v>0.97221920475379198</v>
      </c>
      <c r="AI55" s="604">
        <f t="shared" ref="AI55" si="38">SUM(AI50:AI54)</f>
        <v>0.97116523602358062</v>
      </c>
      <c r="AJ55" s="604">
        <f t="shared" ref="AJ55" si="39">SUM(AJ50:AJ54)</f>
        <v>0.96031825908844959</v>
      </c>
      <c r="AK55" s="604">
        <f t="shared" ref="AK55" si="40">SUM(AK50:AK54)</f>
        <v>0.95581825908844975</v>
      </c>
      <c r="AL55" s="604">
        <f t="shared" ref="AL55" si="41">SUM(AL50:AL54)</f>
        <v>0.94831825908844958</v>
      </c>
      <c r="AO55" s="536"/>
    </row>
    <row r="56" spans="1:3695" s="571" customFormat="1" ht="15" hidden="1" outlineLevel="1" collapsed="1">
      <c r="A56" s="561" t="s">
        <v>971</v>
      </c>
      <c r="B56" s="562" t="s">
        <v>328</v>
      </c>
      <c r="C56" s="563"/>
      <c r="D56" s="563"/>
      <c r="E56" s="564"/>
      <c r="F56" s="564"/>
      <c r="G56" s="564"/>
      <c r="H56" s="564"/>
      <c r="I56" s="581"/>
      <c r="J56" s="564"/>
      <c r="K56" s="565"/>
      <c r="L56" s="566"/>
      <c r="M56" s="566"/>
      <c r="N56" s="566"/>
      <c r="O56" s="567"/>
      <c r="P56" s="568"/>
      <c r="Q56" s="568"/>
      <c r="R56" s="568"/>
      <c r="S56" s="568"/>
      <c r="T56" s="569"/>
      <c r="U56" s="570"/>
      <c r="V56" s="570"/>
      <c r="W56" s="570"/>
      <c r="X56" s="570"/>
      <c r="Y56" s="570"/>
      <c r="Z56" s="570"/>
      <c r="AA56" s="570"/>
      <c r="AB56" s="570"/>
      <c r="AC56" s="570"/>
      <c r="AD56" s="570"/>
      <c r="AE56" s="599"/>
      <c r="AF56" s="570"/>
      <c r="AG56" s="570"/>
      <c r="AH56" s="570"/>
      <c r="AI56" s="570"/>
      <c r="AJ56" s="570"/>
      <c r="AK56" s="570"/>
      <c r="AL56" s="570"/>
      <c r="AO56" s="572"/>
    </row>
    <row r="57" spans="1:3695" s="571" customFormat="1" ht="15" hidden="1" outlineLevel="1">
      <c r="A57" s="573" t="s">
        <v>972</v>
      </c>
      <c r="B57" s="562" t="s">
        <v>340</v>
      </c>
      <c r="C57" s="563"/>
      <c r="D57" s="563" t="s">
        <v>580</v>
      </c>
      <c r="E57" s="564"/>
      <c r="F57" s="564"/>
      <c r="G57" s="564"/>
      <c r="H57" s="564"/>
      <c r="I57" s="581"/>
      <c r="J57" s="564"/>
      <c r="K57" s="565"/>
      <c r="L57" s="566"/>
      <c r="M57" s="566" t="str">
        <f>IF(C57="","",SUMIFS(Energy_Balance!I$55:I$160,Energy_Balance!$C$55:$C$160,C57,Energy_Balance!$D$55:$D$160,D57)*L57)</f>
        <v/>
      </c>
      <c r="N57" s="566"/>
      <c r="O57" s="567"/>
      <c r="P57" s="568"/>
      <c r="Q57" s="568"/>
      <c r="R57" s="568"/>
      <c r="S57" s="568"/>
      <c r="T57" s="569"/>
      <c r="U57" s="570"/>
      <c r="V57" s="570"/>
      <c r="W57" s="570"/>
      <c r="X57" s="570"/>
      <c r="Y57" s="570"/>
      <c r="Z57" s="570"/>
      <c r="AA57" s="570"/>
      <c r="AB57" s="570"/>
      <c r="AC57" s="570"/>
      <c r="AD57" s="570"/>
      <c r="AE57" s="599"/>
      <c r="AF57" s="570"/>
      <c r="AG57" s="570"/>
      <c r="AH57" s="570"/>
      <c r="AI57" s="570"/>
      <c r="AJ57" s="570"/>
      <c r="AK57" s="570"/>
      <c r="AL57" s="570"/>
      <c r="AO57" s="571" t="s">
        <v>110</v>
      </c>
      <c r="AP57" s="574">
        <f>E57</f>
        <v>0</v>
      </c>
    </row>
    <row r="58" spans="1:3695" s="571" customFormat="1" ht="15" hidden="1" outlineLevel="1">
      <c r="A58" s="573" t="s">
        <v>973</v>
      </c>
      <c r="B58" s="562" t="s">
        <v>341</v>
      </c>
      <c r="C58" s="563"/>
      <c r="D58" s="563" t="s">
        <v>580</v>
      </c>
      <c r="E58" s="564"/>
      <c r="F58" s="564"/>
      <c r="G58" s="564"/>
      <c r="H58" s="564"/>
      <c r="I58" s="581"/>
      <c r="J58" s="564"/>
      <c r="K58" s="565"/>
      <c r="L58" s="566"/>
      <c r="M58" s="566" t="str">
        <f>IF(C58="","",SUMIFS(Energy_Balance!I$55:I$160,Energy_Balance!$C$55:$C$160,C58,Energy_Balance!$D$55:$D$160,D58)*L58)</f>
        <v/>
      </c>
      <c r="N58" s="566"/>
      <c r="O58" s="567"/>
      <c r="P58" s="568"/>
      <c r="Q58" s="568"/>
      <c r="R58" s="568"/>
      <c r="S58" s="568"/>
      <c r="T58" s="569"/>
      <c r="U58" s="570"/>
      <c r="V58" s="570"/>
      <c r="W58" s="570"/>
      <c r="X58" s="570"/>
      <c r="Y58" s="570"/>
      <c r="Z58" s="570"/>
      <c r="AA58" s="570"/>
      <c r="AB58" s="570"/>
      <c r="AC58" s="570"/>
      <c r="AD58" s="570"/>
      <c r="AE58" s="599"/>
      <c r="AF58" s="570"/>
      <c r="AG58" s="570"/>
      <c r="AH58" s="570"/>
      <c r="AI58" s="570"/>
      <c r="AJ58" s="570"/>
      <c r="AK58" s="570"/>
      <c r="AL58" s="570"/>
      <c r="AO58" s="572" t="s">
        <v>855</v>
      </c>
      <c r="AP58" s="574">
        <f>E58</f>
        <v>0</v>
      </c>
    </row>
    <row r="59" spans="1:3695" s="571" customFormat="1" ht="15" hidden="1" outlineLevel="1">
      <c r="A59" s="573" t="s">
        <v>955</v>
      </c>
      <c r="B59" s="562"/>
      <c r="C59" s="563"/>
      <c r="D59" s="563"/>
      <c r="E59" s="564" t="str">
        <f>IF(D59="","",IF(COUNTIF(#REF!,$B59)=1,SUMIF(#REF!,RES!B59,#REF!),SUMIF(#REF!,RES!$B59,#REF!)))</f>
        <v/>
      </c>
      <c r="F59" s="564"/>
      <c r="G59" s="564"/>
      <c r="H59" s="564"/>
      <c r="I59" s="581"/>
      <c r="J59" s="564"/>
      <c r="K59" s="565"/>
      <c r="L59" s="566"/>
      <c r="M59" s="566"/>
      <c r="N59" s="566"/>
      <c r="O59" s="567"/>
      <c r="P59" s="568"/>
      <c r="Q59" s="568"/>
      <c r="R59" s="568"/>
      <c r="S59" s="568"/>
      <c r="T59" s="569"/>
      <c r="U59" s="570"/>
      <c r="V59" s="570"/>
      <c r="W59" s="570"/>
      <c r="X59" s="570"/>
      <c r="Y59" s="570"/>
      <c r="Z59" s="570"/>
      <c r="AA59" s="570"/>
      <c r="AB59" s="570"/>
      <c r="AC59" s="570"/>
      <c r="AD59" s="570"/>
      <c r="AE59" s="599"/>
      <c r="AF59" s="570"/>
      <c r="AG59" s="570"/>
      <c r="AH59" s="570"/>
      <c r="AI59" s="570"/>
      <c r="AJ59" s="570"/>
      <c r="AK59" s="570"/>
      <c r="AL59" s="570"/>
      <c r="AO59" s="572"/>
    </row>
    <row r="60" spans="1:3695" s="233" customFormat="1" ht="15" hidden="1" outlineLevel="1">
      <c r="A60" s="557" t="s">
        <v>974</v>
      </c>
      <c r="B60" s="540"/>
      <c r="C60" s="549"/>
      <c r="D60" s="549"/>
      <c r="E60" s="551"/>
      <c r="F60" s="551"/>
      <c r="G60" s="551"/>
      <c r="H60" s="551"/>
      <c r="I60" s="580"/>
      <c r="J60" s="551"/>
      <c r="K60" s="541"/>
      <c r="L60" s="553"/>
      <c r="M60" s="553"/>
      <c r="N60" s="553"/>
      <c r="O60" s="546"/>
      <c r="P60" s="554"/>
      <c r="Q60" s="554"/>
      <c r="R60" s="554"/>
      <c r="S60" s="554"/>
      <c r="T60" s="555"/>
      <c r="U60" s="556"/>
      <c r="V60" s="556"/>
      <c r="W60" s="556"/>
      <c r="X60" s="556"/>
      <c r="Y60" s="556"/>
      <c r="Z60" s="556"/>
      <c r="AA60" s="556"/>
      <c r="AB60" s="556"/>
      <c r="AC60" s="556"/>
      <c r="AD60" s="556"/>
      <c r="AE60" s="598"/>
      <c r="AF60" s="556"/>
      <c r="AG60" s="556"/>
      <c r="AH60" s="556"/>
      <c r="AI60" s="556"/>
      <c r="AJ60" s="556"/>
      <c r="AK60" s="556"/>
      <c r="AL60" s="556"/>
    </row>
    <row r="61" spans="1:3695" s="166" customFormat="1" ht="15" hidden="1" outlineLevel="1">
      <c r="A61" s="108" t="s">
        <v>975</v>
      </c>
      <c r="B61" s="30" t="s">
        <v>342</v>
      </c>
      <c r="C61" s="43" t="s">
        <v>238</v>
      </c>
      <c r="D61" s="43" t="s">
        <v>252</v>
      </c>
      <c r="E61" s="487">
        <v>0.44</v>
      </c>
      <c r="F61" s="559">
        <v>1</v>
      </c>
      <c r="G61" s="559">
        <v>1</v>
      </c>
      <c r="H61" s="559">
        <f>N61/F61*(1+$D$31)</f>
        <v>1.2483539120184379</v>
      </c>
      <c r="I61" s="578">
        <v>1E-3</v>
      </c>
      <c r="J61" s="487">
        <v>0</v>
      </c>
      <c r="K61" s="48" t="s">
        <v>912</v>
      </c>
      <c r="L61" s="486">
        <v>1</v>
      </c>
      <c r="M61" s="486">
        <f>IF(C61="","",SUMIFS(Energy_Balance!I$55:I$160,Energy_Balance!$C$55:$C$160,C61,Energy_Balance!$D$55:$D$160,D61)*L61)</f>
        <v>2.8371679818600861</v>
      </c>
      <c r="N61" s="486">
        <f t="shared" si="16"/>
        <v>1.2483539120184379</v>
      </c>
      <c r="O61" s="25"/>
      <c r="P61" s="605">
        <f>E61</f>
        <v>0.44</v>
      </c>
      <c r="Q61" s="361">
        <f>IF($AO61="","",($S61-$P61)*1/3+$P61)</f>
        <v>0.44</v>
      </c>
      <c r="R61" s="361">
        <f>IF($AO61="","",($S61-$P61)*2/3+$P61)</f>
        <v>0.44</v>
      </c>
      <c r="S61" s="361">
        <f>IF($AO61="","",IF($AO61="*",$AP61*(1+$P$29),E61))</f>
        <v>0.44</v>
      </c>
      <c r="T61" s="204"/>
      <c r="U61" s="273"/>
      <c r="V61" s="603">
        <f>IF((IFERROR(IF(N61/(SUMIF(RES!$D$39:$D$145,D61,$N$39:$N$145))=1,1,(N61/(SUMIF(RES!$D$39:$D$145,D61,$N$39:$N$145))+$V$29)),0))&lt;1,(IFERROR(IF(N61/(SUMIF(RES!$D$39:$D$145,D61,$N$39:$N$145))=1,1,(N61/(SUMIF(RES!$D$39:$D$145,D61,$N$39:$N$145))+$V$29)),0)),1)</f>
        <v>0.2632763185635752</v>
      </c>
      <c r="W61" s="63">
        <f>IF($V61*(1+'Census 2011_17'!B$20)+W$28&lt;1,$V61*(1+'Census 2011_17'!B$20)+W$28,1)</f>
        <v>0.27587250225234605</v>
      </c>
      <c r="X61" s="63">
        <f>IF($V61*(1+'Census 2011_17'!C$20)+X$28&lt;1,$V61*(1+'Census 2011_17'!C$20)+X$28,1)</f>
        <v>0.28596226794773189</v>
      </c>
      <c r="Y61" s="63">
        <f>IF($V61*(1+'Census 2011_17'!D$20)+Y$28&lt;1,$V61*(1+'Census 2011_17'!D$20)+Y$28,1)</f>
        <v>0.29505203364311766</v>
      </c>
      <c r="Z61" s="63">
        <f>IF($V61*(1+'Census 2011_17'!E$20)+Z$28&lt;1,$V61*(1+'Census 2011_17'!E$20)+Z$28,1)</f>
        <v>0.32064179933850351</v>
      </c>
      <c r="AA61" s="63">
        <f>IF($V61*(1+'Census 2011_17'!F$20)+AA$28&lt;1,$V61*(1+'Census 2011_17'!F$20)+AA$28,1)</f>
        <v>0.34923156503388925</v>
      </c>
      <c r="AB61" s="63">
        <f>IF($V61*(1+'Census 2011_17'!G$20)+AB$28&lt;1,$V61*(1+'Census 2011_17'!G$20)+AB$28,1)</f>
        <v>0.38923156503388928</v>
      </c>
      <c r="AC61" s="63">
        <f>IF($V61*(1+'Census 2011_17'!H$20)+AC$28&lt;1,$V61*(1+'Census 2011_17'!H$20)+AC$28,1)</f>
        <v>0.4692315650338893</v>
      </c>
      <c r="AD61" s="273"/>
      <c r="AE61" s="63">
        <f>(IFERROR(IF($N61/(SUMIF(RES!$D$39:$D$145,$D61,$N$39:$N$145))=1,1,($N61/(SUMIF(RES!$D$39:$D$145,$D61,$N$39:$N$145))-AE$28)),0))</f>
        <v>0.26217631856357521</v>
      </c>
      <c r="AF61" s="63">
        <f>$AE61*(1+'Census 2011_17'!B$20)-AF$28</f>
        <v>0.26872405200764787</v>
      </c>
      <c r="AG61" s="63">
        <f>$AE61*(1+'Census 2011_17'!C$20)-AG$28</f>
        <v>0.27877792863288686</v>
      </c>
      <c r="AH61" s="63">
        <f>$AE61*(1+'Census 2011_17'!D$20)-AH$28</f>
        <v>0.28733180525812579</v>
      </c>
      <c r="AI61" s="63">
        <f>$AE61*(1+'Census 2011_17'!E$20)-AI$28</f>
        <v>0.29688568188336484</v>
      </c>
      <c r="AJ61" s="63">
        <f>$AE61*(1+'Census 2011_17'!F$20)-AJ$28</f>
        <v>0.30543955850860383</v>
      </c>
      <c r="AK61" s="63">
        <f>$AE61*(1+'Census 2011_17'!G$20)-AK$28</f>
        <v>0.30543955850860383</v>
      </c>
      <c r="AL61" s="63">
        <f>$AE61*(1+'Census 2011_17'!H$20)-AL$28</f>
        <v>0.30543955850860383</v>
      </c>
      <c r="AM61"/>
      <c r="AN61"/>
      <c r="AO61" s="180" t="s">
        <v>507</v>
      </c>
      <c r="AP61" s="497">
        <f>E61</f>
        <v>0.44</v>
      </c>
      <c r="AQ61"/>
      <c r="AR61"/>
      <c r="AS61"/>
      <c r="AT61"/>
      <c r="AU61"/>
      <c r="AV61"/>
      <c r="AW61"/>
      <c r="AX61"/>
      <c r="AY61"/>
      <c r="AZ61"/>
      <c r="BA61"/>
      <c r="BB61"/>
      <c r="BC61"/>
      <c r="BD61"/>
    </row>
    <row r="62" spans="1:3695" ht="15" outlineLevel="1">
      <c r="A62" s="108" t="s">
        <v>976</v>
      </c>
      <c r="B62" s="30" t="s">
        <v>339</v>
      </c>
      <c r="C62" s="43" t="s">
        <v>236</v>
      </c>
      <c r="D62" s="43" t="s">
        <v>252</v>
      </c>
      <c r="E62" s="495">
        <v>0.95</v>
      </c>
      <c r="F62" s="559">
        <v>1</v>
      </c>
      <c r="G62" s="559">
        <v>1</v>
      </c>
      <c r="H62" s="559">
        <f>N62/F62*(1+$D$31)</f>
        <v>2.0610066254032655</v>
      </c>
      <c r="I62" s="578">
        <v>1E-3</v>
      </c>
      <c r="J62" s="487">
        <v>0</v>
      </c>
      <c r="K62" s="48"/>
      <c r="L62" s="486">
        <v>1</v>
      </c>
      <c r="M62" s="486">
        <f>IF(C62="","",SUMIFS(Energy_Balance!I$55:I$160,Energy_Balance!$C$55:$C$160,C62,Energy_Balance!$D$55:$D$160,D62)*L62)</f>
        <v>2.1694806583192268</v>
      </c>
      <c r="N62" s="486">
        <f t="shared" ref="N62" si="42">E62*M62</f>
        <v>2.0610066254032655</v>
      </c>
      <c r="O62" s="25"/>
      <c r="P62" s="605">
        <f>E62</f>
        <v>0.95</v>
      </c>
      <c r="Q62" s="361">
        <f>IF($AO62="","",($S62-$P62)*1/3+$P62)</f>
        <v>0.95</v>
      </c>
      <c r="R62" s="361">
        <f>IF($AO62="","",($S62-$P62)*2/3+$P62)</f>
        <v>0.95</v>
      </c>
      <c r="S62" s="361">
        <f>IF($AO62="","",IF($AO62="*",$AP62*(1+$P$29),E62))</f>
        <v>0.95</v>
      </c>
      <c r="T62" s="204"/>
      <c r="U62" s="273"/>
      <c r="V62" s="63">
        <f>IF((IFERROR(IF(N62/(SUMIF(RES!$D$39:$D$145,D62,$N$39:$N$145))=1,1,(N62/(SUMIF(RES!$D$39:$D$145,D62,$N$39:$N$145))+$V$29)),0))&lt;1,(IFERROR(IF(N62/(SUMIF(RES!$D$39:$D$145,D62,$N$39:$N$145))=1,1,(N62/(SUMIF(RES!$D$39:$D$145,D62,$N$39:$N$145))+$V$29)),0)),1)</f>
        <v>0.43401280593729746</v>
      </c>
      <c r="W62" s="63">
        <f>$V62-$V$61*'Census 2011_17'!B$20*RES!$V62/(1-RES!$V$61)+RES!W$29</f>
        <v>0.43218135427130122</v>
      </c>
      <c r="X62" s="63">
        <f>$V62-$V$61*'Census 2011_17'!C$20*RES!$V62/(1-RES!$V$61)+RES!X$29</f>
        <v>0.4251210197038966</v>
      </c>
      <c r="Y62" s="63">
        <f>$V62-$V$61*'Census 2011_17'!D$20*RES!$V62/(1-RES!$V$61)+RES!Y$29</f>
        <v>0.42006068513649197</v>
      </c>
      <c r="Z62" s="63">
        <f>$V62-$V$61*'Census 2011_17'!E$20*RES!$V62/(1-RES!$V$61)+RES!Z$29</f>
        <v>0.41450035056908735</v>
      </c>
      <c r="AA62" s="63">
        <f>$V62-$V$61*'Census 2011_17'!F$20*RES!$V62/(1-RES!$V$61)+RES!AA$29</f>
        <v>0.40694001600168267</v>
      </c>
      <c r="AB62" s="63">
        <f>$V62-$V$61*'Census 2011_17'!G$20*RES!$V62/(1-RES!$V$61)+RES!AB$29</f>
        <v>0.40694001600168267</v>
      </c>
      <c r="AC62" s="63">
        <f>$V62-$V$61*'Census 2011_17'!H$20*RES!$V62/(1-RES!$V$61)+RES!AC$29</f>
        <v>0.40694001600168267</v>
      </c>
      <c r="AD62" s="273"/>
      <c r="AE62" s="63">
        <f>(IFERROR(IF($N62/(SUMIF(RES!$D$39:$D$145,$D62,$N$39:$N$145))=1,1,($N62/(SUMIF(RES!$D$39:$D$145,$D62,$N$39:$N$145)))),0))-AE$29</f>
        <v>0.43291280593729747</v>
      </c>
      <c r="AF62" s="63">
        <f>IF(W62-AF$29&lt;0,0,W62-AF$29)</f>
        <v>0.42718135427130122</v>
      </c>
      <c r="AG62" s="63">
        <f t="shared" ref="AG62:AG65" si="43">IF(X62-AG$29&lt;0,0,X62-AG$29)</f>
        <v>0.42162101970389659</v>
      </c>
      <c r="AH62" s="63">
        <f t="shared" ref="AH62:AH65" si="44">IF(Y62-AH$29&lt;0,0,Y62-AH$29)</f>
        <v>0.41006068513649196</v>
      </c>
      <c r="AI62" s="63">
        <f t="shared" ref="AI62:AI65" si="45">IF(Z62-AI$29&lt;0,0,Z62-AI$29)</f>
        <v>0.40450035056908734</v>
      </c>
      <c r="AJ62" s="63">
        <f t="shared" ref="AJ62:AJ65" si="46">IF(AA62-AJ$29&lt;0,0,AA62-AJ$29)</f>
        <v>0.39594001600168266</v>
      </c>
      <c r="AK62" s="63">
        <f t="shared" ref="AK62:AK65" si="47">IF(AB62-AK$29&lt;0,0,AB62-AK$29)</f>
        <v>0.39444001600168266</v>
      </c>
      <c r="AL62" s="63">
        <f t="shared" ref="AL62:AL65" si="48">IF(AC62-AL$29&lt;0,0,AC62-AL$29)</f>
        <v>0.39194001600168266</v>
      </c>
      <c r="AO62" s="180" t="s">
        <v>507</v>
      </c>
      <c r="AP62" s="497">
        <f>E62</f>
        <v>0.95</v>
      </c>
    </row>
    <row r="63" spans="1:3695" ht="15" hidden="1" outlineLevel="1">
      <c r="A63" s="108" t="s">
        <v>977</v>
      </c>
      <c r="B63" s="30" t="s">
        <v>343</v>
      </c>
      <c r="C63" s="43" t="s">
        <v>239</v>
      </c>
      <c r="D63" s="43" t="s">
        <v>252</v>
      </c>
      <c r="E63" s="487">
        <v>0.11</v>
      </c>
      <c r="F63" s="559">
        <v>1</v>
      </c>
      <c r="G63" s="559">
        <v>1</v>
      </c>
      <c r="H63" s="559">
        <f>N63/F63*(1+$D$31)</f>
        <v>1.0329443830208256</v>
      </c>
      <c r="I63" s="578">
        <v>1E-3</v>
      </c>
      <c r="J63" s="487">
        <v>0</v>
      </c>
      <c r="K63" s="48"/>
      <c r="L63" s="486">
        <v>1</v>
      </c>
      <c r="M63" s="486">
        <f>IF(C63="","",SUMIFS(Energy_Balance!I$55:I$160,Energy_Balance!$C$55:$C$160,C63,Energy_Balance!$D$55:$D$160,D63)*L63)</f>
        <v>9.3904034820075051</v>
      </c>
      <c r="N63" s="486">
        <f t="shared" si="16"/>
        <v>1.0329443830208256</v>
      </c>
      <c r="O63" s="25"/>
      <c r="P63" s="605">
        <f>E63</f>
        <v>0.11</v>
      </c>
      <c r="Q63" s="361">
        <f>IF($AO63="","",($S63-$P63)*1/3+$P63)</f>
        <v>0.11</v>
      </c>
      <c r="R63" s="361">
        <f>IF($AO63="","",($S63-$P63)*2/3+$P63)</f>
        <v>0.11</v>
      </c>
      <c r="S63" s="361">
        <f>IF($AO63="","",IF($AO63="*",$AP63*(1+$P$29),E63))</f>
        <v>0.11</v>
      </c>
      <c r="T63" s="204"/>
      <c r="U63" s="273"/>
      <c r="V63" s="603">
        <f>IF((IFERROR(IF(N63/(SUMIF(RES!$D$39:$D$145,D63,$N$39:$N$145))=1,1,(N63/(SUMIF(RES!$D$39:$D$145,D63,$N$39:$N$145))+$V$29)),0))&lt;1,(IFERROR(IF(N63/(SUMIF(RES!$D$39:$D$145,D63,$N$39:$N$145))=1,1,(N63/(SUMIF(RES!$D$39:$D$145,D63,$N$39:$N$145))+$V$29)),0)),1)</f>
        <v>0.21801926629250976</v>
      </c>
      <c r="W63" s="63">
        <f>$V63-$V$61*'Census 2011_17'!B$20*RES!$V63/(1-RES!$V$61)+RES!W$29</f>
        <v>0.21958759778052483</v>
      </c>
      <c r="X63" s="63">
        <f>$V63-$V$61*'Census 2011_17'!C$20*RES!$V63/(1-RES!$V$61)+RES!X$29</f>
        <v>0.21504562110498043</v>
      </c>
      <c r="Y63" s="63">
        <f>$V63-$V$61*'Census 2011_17'!D$20*RES!$V63/(1-RES!$V$61)+RES!Y$29</f>
        <v>0.21250364442943606</v>
      </c>
      <c r="Z63" s="63">
        <f>$V63-$V$61*'Census 2011_17'!E$20*RES!$V63/(1-RES!$V$61)+RES!Z$29</f>
        <v>0.20946166775389169</v>
      </c>
      <c r="AA63" s="63">
        <f>$V63-$V$61*'Census 2011_17'!F$20*RES!$V63/(1-RES!$V$61)+RES!AA$29</f>
        <v>0.20441969107834729</v>
      </c>
      <c r="AB63" s="63">
        <f>$V63-$V$61*'Census 2011_17'!G$20*RES!$V63/(1-RES!$V$61)+RES!AB$29</f>
        <v>0.20441969107834729</v>
      </c>
      <c r="AC63" s="63">
        <f>$V63-$V$61*'Census 2011_17'!H$20*RES!$V63/(1-RES!$V$61)+RES!AC$29</f>
        <v>0.20441969107834729</v>
      </c>
      <c r="AD63" s="273"/>
      <c r="AE63" s="63">
        <f>(IFERROR(IF($N63/(SUMIF(RES!$D$39:$D$145,$D63,$N$39:$N$145))=1,1,($N63/(SUMIF(RES!$D$39:$D$145,$D63,$N$39:$N$145)))),0))-AE$29</f>
        <v>0.21691926629250977</v>
      </c>
      <c r="AF63" s="63">
        <f t="shared" ref="AF63:AF65" si="49">IF(W63-AF$29&lt;0,0,W63-AF$29)</f>
        <v>0.21458759778052483</v>
      </c>
      <c r="AG63" s="63">
        <f t="shared" si="43"/>
        <v>0.21154562110498043</v>
      </c>
      <c r="AH63" s="63">
        <f t="shared" si="44"/>
        <v>0.20250364442943605</v>
      </c>
      <c r="AI63" s="63">
        <f t="shared" si="45"/>
        <v>0.19946166775389168</v>
      </c>
      <c r="AJ63" s="63">
        <f t="shared" si="46"/>
        <v>0.19341969107834728</v>
      </c>
      <c r="AK63" s="63">
        <f t="shared" si="47"/>
        <v>0.19191969107834728</v>
      </c>
      <c r="AL63" s="63">
        <f t="shared" si="48"/>
        <v>0.18941969107834727</v>
      </c>
      <c r="AO63" s="180" t="s">
        <v>507</v>
      </c>
      <c r="AP63" s="497">
        <f>E63</f>
        <v>0.11</v>
      </c>
    </row>
    <row r="64" spans="1:3695" s="14" customFormat="1" ht="15" hidden="1" outlineLevel="1">
      <c r="A64" s="247" t="s">
        <v>978</v>
      </c>
      <c r="B64" s="247" t="s">
        <v>389</v>
      </c>
      <c r="C64" s="248" t="s">
        <v>240</v>
      </c>
      <c r="D64" s="248" t="s">
        <v>252</v>
      </c>
      <c r="E64" s="487">
        <v>0.11</v>
      </c>
      <c r="F64" s="559">
        <v>1</v>
      </c>
      <c r="G64" s="559">
        <v>1</v>
      </c>
      <c r="H64" s="559">
        <f>N64/F64*(1+$D$31)</f>
        <v>6.1013249681946165E-2</v>
      </c>
      <c r="I64" s="578">
        <v>1E-3</v>
      </c>
      <c r="J64" s="487">
        <v>0</v>
      </c>
      <c r="K64" s="48"/>
      <c r="L64" s="486">
        <v>1</v>
      </c>
      <c r="M64" s="486">
        <f>IF(C64="","",SUMIFS(Energy_Balance!I$55:I$160,Energy_Balance!$C$55:$C$160,C64,Energy_Balance!$D$55:$D$160,D64)*L64)</f>
        <v>0.55466590619951062</v>
      </c>
      <c r="N64" s="486">
        <f t="shared" si="16"/>
        <v>6.1013249681946165E-2</v>
      </c>
      <c r="O64" s="25"/>
      <c r="P64" s="605">
        <f>E64</f>
        <v>0.11</v>
      </c>
      <c r="Q64" s="361">
        <f>IF($AO64="","",($S64-$P64)*1/3+$P64)</f>
        <v>0.11</v>
      </c>
      <c r="R64" s="361">
        <f>IF($AO64="","",($S64-$P64)*2/3+$P64)</f>
        <v>0.11</v>
      </c>
      <c r="S64" s="361">
        <f>IF($AO64="","",IF($AO64="*",$AP64*(1+$P$29),E64))</f>
        <v>0.11</v>
      </c>
      <c r="T64" s="204"/>
      <c r="U64" s="273"/>
      <c r="V64" s="603">
        <f>IF((IFERROR(IF(N64/(SUMIF(RES!$D$39:$D$145,D64,$N$39:$N$145))=1,1,(N64/(SUMIF(RES!$D$39:$D$145,D64,$N$39:$N$145))+$V$29)),0))&lt;1,(IFERROR(IF(N64/(SUMIF(RES!$D$39:$D$145,D64,$N$39:$N$145))=1,1,(N64/(SUMIF(RES!$D$39:$D$145,D64,$N$39:$N$145))+$V$29)),0)),1)</f>
        <v>1.3818745033856002E-2</v>
      </c>
      <c r="W64" s="63">
        <f>$V64-$V$61*'Census 2011_17'!B$20*RES!$V64/(1-RES!$V$61)+RES!W$29</f>
        <v>1.8601235118268045E-2</v>
      </c>
      <c r="X64" s="63">
        <f>$V64-$V$61*'Census 2011_17'!C$20*RES!$V64/(1-RES!$V$61)+RES!X$29</f>
        <v>1.6440116662276971E-2</v>
      </c>
      <c r="Y64" s="63">
        <f>$V64-$V$61*'Census 2011_17'!D$20*RES!$V64/(1-RES!$V$61)+RES!Y$29</f>
        <v>1.6278998206285891E-2</v>
      </c>
      <c r="Z64" s="63">
        <f>$V64-$V$61*'Census 2011_17'!E$20*RES!$V64/(1-RES!$V$61)+RES!Z$29</f>
        <v>1.5617879750294814E-2</v>
      </c>
      <c r="AA64" s="63">
        <f>$V64-$V$61*'Census 2011_17'!F$20*RES!$V64/(1-RES!$V$61)+RES!AA$29</f>
        <v>1.2956761294303737E-2</v>
      </c>
      <c r="AB64" s="63">
        <f>$V64-$V$61*'Census 2011_17'!G$20*RES!$V64/(1-RES!$V$61)+RES!AB$29</f>
        <v>1.2956761294303737E-2</v>
      </c>
      <c r="AC64" s="63">
        <f>$V64-$V$61*'Census 2011_17'!H$20*RES!$V64/(1-RES!$V$61)+RES!AC$29</f>
        <v>1.2956761294303737E-2</v>
      </c>
      <c r="AD64" s="273"/>
      <c r="AE64" s="63">
        <f>(IFERROR(IF($N64/(SUMIF(RES!$D$39:$D$145,$D64,$N$39:$N$145))=1,1,($N64/(SUMIF(RES!$D$39:$D$145,$D64,$N$39:$N$145)))),0))-AE$29</f>
        <v>1.2718745033856003E-2</v>
      </c>
      <c r="AF64" s="63">
        <f t="shared" si="49"/>
        <v>1.3601235118268044E-2</v>
      </c>
      <c r="AG64" s="63">
        <f t="shared" si="43"/>
        <v>1.2940116662276971E-2</v>
      </c>
      <c r="AH64" s="63">
        <f t="shared" si="44"/>
        <v>6.2789982062858903E-3</v>
      </c>
      <c r="AI64" s="63">
        <f t="shared" si="45"/>
        <v>5.6178797502948134E-3</v>
      </c>
      <c r="AJ64" s="63">
        <f t="shared" si="46"/>
        <v>1.9567612943037372E-3</v>
      </c>
      <c r="AK64" s="63">
        <f t="shared" si="47"/>
        <v>4.5676129430373587E-4</v>
      </c>
      <c r="AL64" s="63">
        <f t="shared" si="48"/>
        <v>0</v>
      </c>
      <c r="AM64"/>
      <c r="AN64"/>
      <c r="AO64" s="180" t="s">
        <v>507</v>
      </c>
      <c r="AP64" s="497">
        <f>E64</f>
        <v>0.11</v>
      </c>
      <c r="AQ64"/>
      <c r="AR64"/>
      <c r="AS64"/>
      <c r="AT64"/>
      <c r="AU64"/>
      <c r="AV64"/>
      <c r="AW64"/>
      <c r="AX64"/>
      <c r="AY64"/>
      <c r="AZ64"/>
      <c r="BA64"/>
      <c r="BB64"/>
      <c r="BC64"/>
      <c r="BD64"/>
    </row>
    <row r="65" spans="1:3695" ht="15" hidden="1" outlineLevel="1">
      <c r="A65" s="108" t="s">
        <v>979</v>
      </c>
      <c r="B65" s="30" t="s">
        <v>344</v>
      </c>
      <c r="C65" s="43" t="s">
        <v>237</v>
      </c>
      <c r="D65" s="43" t="s">
        <v>252</v>
      </c>
      <c r="E65" s="487">
        <v>0.61</v>
      </c>
      <c r="F65" s="559">
        <v>1</v>
      </c>
      <c r="G65" s="559">
        <v>1</v>
      </c>
      <c r="H65" s="559">
        <f>N65/F65*(1+$D$31)</f>
        <v>0.35637160612133489</v>
      </c>
      <c r="I65" s="578">
        <v>1E-3</v>
      </c>
      <c r="J65" s="487">
        <v>0</v>
      </c>
      <c r="K65" s="48"/>
      <c r="L65" s="486">
        <v>1</v>
      </c>
      <c r="M65" s="486">
        <f>IF(C65="","",SUMIFS(Energy_Balance!I$55:I$160,Energy_Balance!$C$55:$C$160,C65,Energy_Balance!$D$55:$D$160,D65)*L65)</f>
        <v>0.58421574773989327</v>
      </c>
      <c r="N65" s="486">
        <f t="shared" si="16"/>
        <v>0.35637160612133489</v>
      </c>
      <c r="O65" s="25"/>
      <c r="P65" s="605">
        <f>E65</f>
        <v>0.61</v>
      </c>
      <c r="Q65" s="361">
        <f>IF($AO65="","",($S65-$P65)*1/3+$P65)</f>
        <v>0.61</v>
      </c>
      <c r="R65" s="361">
        <f>IF($AO65="","",($S65-$P65)*2/3+$P65)</f>
        <v>0.61</v>
      </c>
      <c r="S65" s="361">
        <f>IF($AO65="","",IF($AO65="*",$AP65*(1+$P$29),E65))</f>
        <v>0.61</v>
      </c>
      <c r="T65" s="204"/>
      <c r="U65" s="273"/>
      <c r="V65" s="603">
        <f>IF((IFERROR(IF(N65/(SUMIF(RES!$D$39:$D$145,D65,$N$39:$N$145))=1,1,(N65/(SUMIF(RES!$D$39:$D$145,D65,$N$39:$N$145))+$V$29)),0))&lt;1,(IFERROR(IF(N65/(SUMIF(RES!$D$39:$D$145,D65,$N$39:$N$145))=1,1,(N65/(SUMIF(RES!$D$39:$D$145,D65,$N$39:$N$145))+$V$29)),0)),1)</f>
        <v>7.5872864172761664E-2</v>
      </c>
      <c r="W65" s="63">
        <f>$V65-$V$61*'Census 2011_17'!B$20*RES!$V65/(1-RES!$V$61)+RES!W$29</f>
        <v>7.9678609539565889E-2</v>
      </c>
      <c r="X65" s="63">
        <f>$V65-$V$61*'Census 2011_17'!C$20*RES!$V65/(1-RES!$V$61)+RES!X$29</f>
        <v>7.6793976477939382E-2</v>
      </c>
      <c r="Y65" s="63">
        <f>$V65-$V$61*'Census 2011_17'!D$20*RES!$V65/(1-RES!$V$61)+RES!Y$29</f>
        <v>7.5909343416312877E-2</v>
      </c>
      <c r="Z65" s="63">
        <f>$V65-$V$61*'Census 2011_17'!E$20*RES!$V65/(1-RES!$V$61)+RES!Z$29</f>
        <v>7.4524710354686358E-2</v>
      </c>
      <c r="AA65" s="63">
        <f>$V65-$V$61*'Census 2011_17'!F$20*RES!$V65/(1-RES!$V$61)+RES!AA$29</f>
        <v>7.114007729305985E-2</v>
      </c>
      <c r="AB65" s="63">
        <f>$V65-$V$61*'Census 2011_17'!G$20*RES!$V65/(1-RES!$V$61)+RES!AB$29</f>
        <v>7.114007729305985E-2</v>
      </c>
      <c r="AC65" s="63">
        <f>$V65-$V$61*'Census 2011_17'!H$20*RES!$V65/(1-RES!$V$61)+RES!AC$29</f>
        <v>7.114007729305985E-2</v>
      </c>
      <c r="AD65" s="273"/>
      <c r="AE65" s="63">
        <f>(IFERROR(IF($N65/(SUMIF(RES!$D$39:$D$145,$D65,$N$39:$N$145))=1,1,($N65/(SUMIF(RES!$D$39:$D$145,$D65,$N$39:$N$145)))),0))-AE$29</f>
        <v>7.4772864172761661E-2</v>
      </c>
      <c r="AF65" s="63">
        <f t="shared" si="49"/>
        <v>7.4678609539565885E-2</v>
      </c>
      <c r="AG65" s="63">
        <f t="shared" si="43"/>
        <v>7.3293976477939379E-2</v>
      </c>
      <c r="AH65" s="63">
        <f t="shared" si="44"/>
        <v>6.5909343416312882E-2</v>
      </c>
      <c r="AI65" s="63">
        <f t="shared" si="45"/>
        <v>6.4524710354686363E-2</v>
      </c>
      <c r="AJ65" s="63">
        <f t="shared" si="46"/>
        <v>6.0140077293059854E-2</v>
      </c>
      <c r="AK65" s="63">
        <f t="shared" si="47"/>
        <v>5.8640077293059853E-2</v>
      </c>
      <c r="AL65" s="63">
        <f t="shared" si="48"/>
        <v>5.6140077293059851E-2</v>
      </c>
      <c r="AO65" s="180" t="s">
        <v>507</v>
      </c>
      <c r="AP65" s="497">
        <f>E65</f>
        <v>0.61</v>
      </c>
    </row>
    <row r="66" spans="1:3695" s="192" customFormat="1" ht="15" hidden="1" outlineLevel="1">
      <c r="A66" s="526" t="s">
        <v>955</v>
      </c>
      <c r="B66" s="527"/>
      <c r="C66" s="528"/>
      <c r="D66" s="528"/>
      <c r="E66" s="529" t="str">
        <f>IF(D66="","",IF(COUNTIF(#REF!,$B66)=1,SUMIF(#REF!,RES!B66,#REF!),SUMIF(#REF!,RES!$B66,#REF!)))</f>
        <v/>
      </c>
      <c r="F66" s="529"/>
      <c r="G66" s="529"/>
      <c r="H66" s="529"/>
      <c r="I66" s="579"/>
      <c r="J66" s="529"/>
      <c r="K66" s="530"/>
      <c r="L66" s="531"/>
      <c r="M66" s="531">
        <f>SUM(M61:M65)</f>
        <v>15.535933776126221</v>
      </c>
      <c r="N66" s="531">
        <f>SUM(N61:N65)</f>
        <v>4.7596897762458097</v>
      </c>
      <c r="O66" s="193"/>
      <c r="P66" s="532"/>
      <c r="Q66" s="532" t="str">
        <f>IF($AO66="","",($R66-$AP66)*15/25+$AP66)</f>
        <v/>
      </c>
      <c r="R66" s="532" t="str">
        <f>IF($AO66="","",IF($AO66="*",$AP66*(1+$P$29),E66))</f>
        <v/>
      </c>
      <c r="S66" s="532" t="str">
        <f>IF(G66="","",IF(COUNTIF(#REF!,$B66)=1,SUMIF(#REF!,RES!$B66,#REF!),SUMIF(#REF!,RES!$B66,#REF!)))</f>
        <v/>
      </c>
      <c r="T66" s="533"/>
      <c r="U66" s="534"/>
      <c r="V66" s="534">
        <f>SUM(V61:V65)</f>
        <v>1.0050000000000001</v>
      </c>
      <c r="W66" s="534">
        <f t="shared" ref="W66:AC66" si="50">SUM(W61:W65)</f>
        <v>1.0259212989620061</v>
      </c>
      <c r="X66" s="534">
        <f t="shared" si="50"/>
        <v>1.0193630018968252</v>
      </c>
      <c r="Y66" s="534">
        <f t="shared" si="50"/>
        <v>1.0198047048316443</v>
      </c>
      <c r="Z66" s="534">
        <f t="shared" si="50"/>
        <v>1.0347464077664639</v>
      </c>
      <c r="AA66" s="534">
        <f t="shared" si="50"/>
        <v>1.0446881107012829</v>
      </c>
      <c r="AB66" s="534">
        <f t="shared" si="50"/>
        <v>1.0846881107012829</v>
      </c>
      <c r="AC66" s="534">
        <f t="shared" si="50"/>
        <v>1.164688110701283</v>
      </c>
      <c r="AD66" s="534"/>
      <c r="AE66" s="535">
        <f t="shared" ref="AE66:AL66" si="51">SUM(AE61:AE65)</f>
        <v>0.99950000000000006</v>
      </c>
      <c r="AF66" s="535">
        <f t="shared" si="51"/>
        <v>0.99877284871730787</v>
      </c>
      <c r="AG66" s="535">
        <f t="shared" si="51"/>
        <v>0.99817866258198018</v>
      </c>
      <c r="AH66" s="535">
        <f t="shared" si="51"/>
        <v>0.97208447644665252</v>
      </c>
      <c r="AI66" s="535">
        <f t="shared" si="51"/>
        <v>0.97099029031132489</v>
      </c>
      <c r="AJ66" s="535">
        <f t="shared" si="51"/>
        <v>0.95689610417599724</v>
      </c>
      <c r="AK66" s="535">
        <f t="shared" si="51"/>
        <v>0.95089610417599735</v>
      </c>
      <c r="AL66" s="535">
        <f t="shared" si="51"/>
        <v>0.94293934288169345</v>
      </c>
    </row>
    <row r="67" spans="1:3695" s="233" customFormat="1" ht="15" hidden="1">
      <c r="A67" s="539" t="s">
        <v>980</v>
      </c>
      <c r="B67" s="540" t="s">
        <v>328</v>
      </c>
      <c r="C67" s="549"/>
      <c r="D67" s="549"/>
      <c r="E67" s="551" t="str">
        <f>IF(D67="","",IF(COUNTIF(#REF!,$B67)=1,SUMIF(#REF!,RES!B67,#REF!),SUMIF(#REF!,RES!$B67,#REF!)))</f>
        <v/>
      </c>
      <c r="F67" s="551"/>
      <c r="G67" s="551"/>
      <c r="H67" s="551"/>
      <c r="I67" s="580"/>
      <c r="J67" s="551"/>
      <c r="K67" s="541"/>
      <c r="L67" s="553"/>
      <c r="M67" s="553"/>
      <c r="N67" s="553"/>
      <c r="O67" s="546"/>
      <c r="P67" s="554"/>
      <c r="Q67" s="554" t="str">
        <f>IF($AO67="","",($R67-$AP67)*15/25+$AP67)</f>
        <v/>
      </c>
      <c r="R67" s="554" t="str">
        <f>IF($AO67="","",IF($AO67="*",$AP67*(1+$P$29),E67))</f>
        <v/>
      </c>
      <c r="S67" s="554" t="str">
        <f>IF(G67="","",IF(COUNTIF(#REF!,$B67)=1,SUMIF(#REF!,RES!$B67,#REF!),SUMIF(#REF!,RES!$B67,#REF!)))</f>
        <v/>
      </c>
      <c r="T67" s="555"/>
      <c r="U67" s="556"/>
      <c r="V67" s="556"/>
      <c r="W67" s="556"/>
      <c r="X67" s="556"/>
      <c r="Y67" s="556"/>
      <c r="Z67" s="556"/>
      <c r="AA67" s="556"/>
      <c r="AB67" s="556"/>
      <c r="AC67" s="556"/>
      <c r="AD67" s="556"/>
      <c r="AE67" s="598"/>
      <c r="AF67" s="556"/>
      <c r="AG67" s="556"/>
      <c r="AH67" s="556"/>
      <c r="AI67" s="556"/>
      <c r="AJ67" s="556"/>
      <c r="AK67" s="556"/>
      <c r="AL67" s="556"/>
      <c r="AO67" s="548"/>
    </row>
    <row r="68" spans="1:3695" s="166" customFormat="1" ht="15" outlineLevel="1">
      <c r="A68" s="108" t="s">
        <v>981</v>
      </c>
      <c r="B68" s="30" t="s">
        <v>345</v>
      </c>
      <c r="C68" s="43" t="s">
        <v>236</v>
      </c>
      <c r="D68" s="43" t="s">
        <v>253</v>
      </c>
      <c r="E68" s="495">
        <f>INDEX('Electrical efficiency'!$L$8:$L$23,MATCH(RES!D68,'Electrical efficiency'!$K$8:$K$23,0))</f>
        <v>0.4</v>
      </c>
      <c r="F68" s="559">
        <v>1</v>
      </c>
      <c r="G68" s="559">
        <v>1</v>
      </c>
      <c r="H68" s="559">
        <f>N68/F68*(1+$D$31)</f>
        <v>4.2989748368189522</v>
      </c>
      <c r="I68" s="578">
        <v>1E-3</v>
      </c>
      <c r="J68" s="487">
        <v>0</v>
      </c>
      <c r="K68" s="48" t="s">
        <v>912</v>
      </c>
      <c r="L68" s="486">
        <v>1</v>
      </c>
      <c r="M68" s="486">
        <f>IF(C68="","",SUMIFS(Energy_Balance!I$55:I$160,Energy_Balance!$C$55:$C$160,C68,Energy_Balance!$D$55:$D$160,D68)*L68)</f>
        <v>10.747437092047381</v>
      </c>
      <c r="N68" s="486">
        <f t="shared" si="16"/>
        <v>4.2989748368189522</v>
      </c>
      <c r="O68" s="25"/>
      <c r="P68" s="605">
        <f>INDEX('Electrical efficiency'!$M$8:$M$23,MATCH(RES!D68,'Electrical efficiency'!$K$8:$K$23,0))</f>
        <v>0.46511627906976749</v>
      </c>
      <c r="Q68" s="361">
        <f>INDEX('Electrical efficiency'!$N$8:$N$23,MATCH(RES!D68,'Electrical efficiency'!$K$8:$K$23,0))</f>
        <v>0.75471698113207542</v>
      </c>
      <c r="R68" s="361">
        <f>INDEX('Electrical efficiency'!$O$8:$O$23,MATCH(RES!D68,'Electrical efficiency'!$K$8:$K$23,0))</f>
        <v>0.81632653061224492</v>
      </c>
      <c r="S68" s="361">
        <f>INDEX('Electrical efficiency'!$P$8:$P$23,MATCH(RES!D68,'Electrical efficiency'!$K$8:$K$23,0))</f>
        <v>0.81632653061224492</v>
      </c>
      <c r="T68" s="204"/>
      <c r="U68" s="50"/>
      <c r="V68" s="50">
        <f>(IFERROR(IF(N68/(SUMIF(RES!$D$39:$D$145,D68,$N$39:$N$145))=1,1,(N68/(SUMIF(RES!$D$39:$D$145,D68,$N$39:$N$145))+#REF!)),0))</f>
        <v>1</v>
      </c>
      <c r="W68" s="50">
        <f>V68</f>
        <v>1</v>
      </c>
      <c r="X68" s="50">
        <f t="shared" ref="X68:AC68" si="52">W68</f>
        <v>1</v>
      </c>
      <c r="Y68" s="50">
        <f t="shared" si="52"/>
        <v>1</v>
      </c>
      <c r="Z68" s="50">
        <f t="shared" si="52"/>
        <v>1</v>
      </c>
      <c r="AA68" s="50">
        <f t="shared" si="52"/>
        <v>1</v>
      </c>
      <c r="AB68" s="50">
        <f t="shared" si="52"/>
        <v>1</v>
      </c>
      <c r="AC68" s="50">
        <f t="shared" si="52"/>
        <v>1</v>
      </c>
      <c r="AD68" s="50"/>
      <c r="AE68" s="273">
        <f>(IFERROR(IF($N68/(SUMIF(RES!$D$39:$D$145,$D68,$N$39:$N$145))=1,1,($N68/(SUMIF(RES!$D$39:$D$145,$D68,$N$39:$N$145))-$AE$28)),0))</f>
        <v>1</v>
      </c>
      <c r="AF68" s="50">
        <f>AE68</f>
        <v>1</v>
      </c>
      <c r="AG68" s="50">
        <f t="shared" ref="AG68:AL68" si="53">AF68</f>
        <v>1</v>
      </c>
      <c r="AH68" s="50">
        <f t="shared" si="53"/>
        <v>1</v>
      </c>
      <c r="AI68" s="50">
        <f t="shared" si="53"/>
        <v>1</v>
      </c>
      <c r="AJ68" s="50">
        <f t="shared" si="53"/>
        <v>1</v>
      </c>
      <c r="AK68" s="50">
        <f t="shared" si="53"/>
        <v>1</v>
      </c>
      <c r="AL68" s="50">
        <f t="shared" si="53"/>
        <v>1</v>
      </c>
      <c r="AM68"/>
      <c r="AN68"/>
      <c r="AO68" s="250" t="s">
        <v>110</v>
      </c>
      <c r="AP68" s="497">
        <f>E68</f>
        <v>0.4</v>
      </c>
      <c r="AQ68"/>
      <c r="AR68"/>
      <c r="AS68"/>
      <c r="AT68"/>
      <c r="AU68"/>
      <c r="AV68"/>
      <c r="AW68"/>
      <c r="AX68"/>
      <c r="AY68"/>
      <c r="AZ68"/>
      <c r="BA68"/>
      <c r="BB68"/>
      <c r="BC68"/>
      <c r="BD68"/>
    </row>
    <row r="69" spans="1:3695" s="192" customFormat="1" ht="15" hidden="1" outlineLevel="1">
      <c r="A69" s="526" t="s">
        <v>955</v>
      </c>
      <c r="B69" s="527"/>
      <c r="C69" s="528"/>
      <c r="D69" s="528"/>
      <c r="E69" s="529" t="str">
        <f>IF(D69="","",IF(COUNTIF(#REF!,$B69)=1,SUMIF(#REF!,RES!B69,#REF!),SUMIF(#REF!,RES!$B69,#REF!)))</f>
        <v/>
      </c>
      <c r="F69" s="529"/>
      <c r="G69" s="529"/>
      <c r="H69" s="529"/>
      <c r="I69" s="579"/>
      <c r="J69" s="529"/>
      <c r="K69" s="530"/>
      <c r="L69" s="531"/>
      <c r="M69" s="531">
        <f>SUM(M68:M68)</f>
        <v>10.747437092047381</v>
      </c>
      <c r="N69" s="531">
        <f>SUM(N68:N68)</f>
        <v>4.2989748368189522</v>
      </c>
      <c r="O69" s="193"/>
      <c r="P69" s="532"/>
      <c r="Q69" s="532" t="str">
        <f>IF($AO69="","",($R69-$AP69)*15/25+$AP69)</f>
        <v/>
      </c>
      <c r="R69" s="532" t="str">
        <f>IF($AO69="","",IF($AO69="*",$AP69*(1+$P$29),E69))</f>
        <v/>
      </c>
      <c r="S69" s="532" t="str">
        <f>IF(G69="","",IF(COUNTIF(#REF!,$B69)=1,SUMIF(#REF!,RES!$B69,#REF!),SUMIF(#REF!,RES!$B69,#REF!)))</f>
        <v/>
      </c>
      <c r="T69" s="533"/>
      <c r="U69" s="534"/>
      <c r="V69" s="534"/>
      <c r="W69" s="534"/>
      <c r="X69" s="534"/>
      <c r="Y69" s="534"/>
      <c r="Z69" s="534"/>
      <c r="AA69" s="534"/>
      <c r="AB69" s="534"/>
      <c r="AC69" s="534"/>
      <c r="AD69" s="534"/>
      <c r="AE69" s="535"/>
      <c r="AF69" s="534"/>
      <c r="AG69" s="534"/>
      <c r="AH69" s="534"/>
      <c r="AI69" s="534"/>
      <c r="AJ69" s="534"/>
      <c r="AK69" s="534"/>
      <c r="AL69" s="534"/>
      <c r="AO69" s="536"/>
    </row>
    <row r="70" spans="1:3695" s="233" customFormat="1" ht="15" hidden="1">
      <c r="A70" s="539" t="s">
        <v>982</v>
      </c>
      <c r="B70" s="540" t="s">
        <v>328</v>
      </c>
      <c r="C70" s="549"/>
      <c r="D70" s="549"/>
      <c r="E70" s="551" t="str">
        <f>IF(D70="","",IF(COUNTIF(#REF!,$B70)=1,SUMIF(#REF!,RES!B70,#REF!),SUMIF(#REF!,RES!$B70,#REF!)))</f>
        <v/>
      </c>
      <c r="F70" s="551"/>
      <c r="G70" s="551"/>
      <c r="H70" s="551"/>
      <c r="I70" s="580"/>
      <c r="J70" s="551"/>
      <c r="K70" s="541"/>
      <c r="L70" s="553"/>
      <c r="M70" s="553"/>
      <c r="N70" s="553"/>
      <c r="O70" s="546"/>
      <c r="P70" s="554"/>
      <c r="Q70" s="554" t="str">
        <f>IF($AO70="","",($R70-$AP70)*15/25+$AP70)</f>
        <v/>
      </c>
      <c r="R70" s="554" t="str">
        <f>IF($AO70="","",IF($AO70="*",$AP70*(1+$P$29),E70))</f>
        <v/>
      </c>
      <c r="S70" s="554" t="str">
        <f>IF(G70="","",IF(COUNTIF(#REF!,$B70)=1,SUMIF(#REF!,RES!$B70,#REF!),SUMIF(#REF!,RES!$B70,#REF!)))</f>
        <v/>
      </c>
      <c r="T70" s="555"/>
      <c r="U70" s="556"/>
      <c r="V70" s="556"/>
      <c r="W70" s="556"/>
      <c r="X70" s="556"/>
      <c r="Y70" s="556"/>
      <c r="Z70" s="556"/>
      <c r="AA70" s="556"/>
      <c r="AB70" s="556"/>
      <c r="AC70" s="556"/>
      <c r="AD70" s="556"/>
      <c r="AE70" s="598"/>
      <c r="AF70" s="556"/>
      <c r="AG70" s="556"/>
      <c r="AH70" s="556"/>
      <c r="AI70" s="556"/>
      <c r="AJ70" s="556"/>
      <c r="AK70" s="556"/>
      <c r="AL70" s="556"/>
      <c r="AO70" s="548"/>
    </row>
    <row r="71" spans="1:3695" s="166" customFormat="1" ht="15" outlineLevel="1">
      <c r="A71" s="108" t="s">
        <v>983</v>
      </c>
      <c r="B71" s="30" t="s">
        <v>346</v>
      </c>
      <c r="C71" s="43" t="s">
        <v>236</v>
      </c>
      <c r="D71" s="43" t="s">
        <v>254</v>
      </c>
      <c r="E71" s="495">
        <f>INDEX('Electrical efficiency'!$L$8:$L$23,MATCH(RES!D71,'Electrical efficiency'!$K$8:$K$23,0))</f>
        <v>0.8</v>
      </c>
      <c r="F71" s="559">
        <v>1</v>
      </c>
      <c r="G71" s="559">
        <v>1</v>
      </c>
      <c r="H71" s="559">
        <f>N71/F71*(1+$D$31)</f>
        <v>5.8462981862284051</v>
      </c>
      <c r="I71" s="578">
        <v>1E-3</v>
      </c>
      <c r="J71" s="487">
        <v>0</v>
      </c>
      <c r="K71" s="48" t="s">
        <v>912</v>
      </c>
      <c r="L71" s="486">
        <v>1</v>
      </c>
      <c r="M71" s="486">
        <f>IF(C71="","",SUMIFS(Energy_Balance!I$55:I$160,Energy_Balance!$C$55:$C$160,C71,Energy_Balance!$D$55:$D$160,D71)*L71)</f>
        <v>7.3078727327855058</v>
      </c>
      <c r="N71" s="486">
        <f t="shared" si="16"/>
        <v>5.8462981862284051</v>
      </c>
      <c r="O71" s="25"/>
      <c r="P71" s="605">
        <f>INDEX('Electrical efficiency'!$M$8:$M$23,MATCH(RES!D71,'Electrical efficiency'!$K$8:$K$23,0))</f>
        <v>0.80808080808080818</v>
      </c>
      <c r="Q71" s="361">
        <f>INDEX('Electrical efficiency'!$N$8:$N$23,MATCH(RES!D71,'Electrical efficiency'!$K$8:$K$23,0))</f>
        <v>0.85106382978723405</v>
      </c>
      <c r="R71" s="361">
        <f>INDEX('Electrical efficiency'!$O$8:$O$23,MATCH(RES!D71,'Electrical efficiency'!$K$8:$K$23,0))</f>
        <v>0.88888888888888895</v>
      </c>
      <c r="S71" s="361">
        <f>INDEX('Electrical efficiency'!$P$8:$P$23,MATCH(RES!D71,'Electrical efficiency'!$K$8:$K$23,0))</f>
        <v>0.88888888888888895</v>
      </c>
      <c r="T71" s="204"/>
      <c r="U71" s="50"/>
      <c r="V71" s="50">
        <f>(IFERROR(IF(N71/(SUMIF(RES!$D$39:$D$145,D71,$N$39:$N$145))=1,1,(N71/(SUMIF(RES!$D$39:$D$145,D71,$N$39:$N$145))+#REF!)),0))</f>
        <v>1</v>
      </c>
      <c r="W71" s="50">
        <f>V71</f>
        <v>1</v>
      </c>
      <c r="X71" s="50">
        <f t="shared" ref="X71:AC71" si="54">W71</f>
        <v>1</v>
      </c>
      <c r="Y71" s="50">
        <f t="shared" si="54"/>
        <v>1</v>
      </c>
      <c r="Z71" s="50">
        <f t="shared" si="54"/>
        <v>1</v>
      </c>
      <c r="AA71" s="50">
        <f t="shared" si="54"/>
        <v>1</v>
      </c>
      <c r="AB71" s="50">
        <f t="shared" si="54"/>
        <v>1</v>
      </c>
      <c r="AC71" s="50">
        <f t="shared" si="54"/>
        <v>1</v>
      </c>
      <c r="AD71" s="50"/>
      <c r="AE71" s="273">
        <f>(IFERROR(IF($N71/(SUMIF(RES!$D$39:$D$145,$D71,$N$39:$N$145))=1,1,($N71/(SUMIF(RES!$D$39:$D$145,$D71,$N$39:$N$145))-$AE$28)),0))</f>
        <v>1</v>
      </c>
      <c r="AF71" s="50">
        <f>AE71</f>
        <v>1</v>
      </c>
      <c r="AG71" s="50">
        <f t="shared" ref="AG71:AL71" si="55">AF71</f>
        <v>1</v>
      </c>
      <c r="AH71" s="50">
        <f t="shared" si="55"/>
        <v>1</v>
      </c>
      <c r="AI71" s="50">
        <f t="shared" si="55"/>
        <v>1</v>
      </c>
      <c r="AJ71" s="50">
        <f t="shared" si="55"/>
        <v>1</v>
      </c>
      <c r="AK71" s="50">
        <f t="shared" si="55"/>
        <v>1</v>
      </c>
      <c r="AL71" s="50">
        <f t="shared" si="55"/>
        <v>1</v>
      </c>
      <c r="AM71"/>
      <c r="AN71"/>
      <c r="AO71" s="250" t="s">
        <v>110</v>
      </c>
      <c r="AP71" s="497">
        <f>E71</f>
        <v>0.8</v>
      </c>
      <c r="AQ71"/>
      <c r="AR71"/>
      <c r="AS71"/>
      <c r="AT71"/>
      <c r="AU71"/>
      <c r="AV71"/>
      <c r="AW71"/>
      <c r="AX71"/>
      <c r="AY71"/>
      <c r="AZ71"/>
      <c r="BA71"/>
      <c r="BB71"/>
      <c r="BC71"/>
      <c r="BD71"/>
    </row>
    <row r="72" spans="1:3695" ht="15" hidden="1" outlineLevel="1">
      <c r="A72" s="108" t="s">
        <v>984</v>
      </c>
      <c r="B72" s="30" t="s">
        <v>347</v>
      </c>
      <c r="C72" s="43" t="s">
        <v>238</v>
      </c>
      <c r="D72" s="43" t="s">
        <v>294</v>
      </c>
      <c r="E72" s="487">
        <v>1</v>
      </c>
      <c r="F72" s="559">
        <v>1</v>
      </c>
      <c r="G72" s="559">
        <v>1</v>
      </c>
      <c r="H72" s="559">
        <f>N72/F72*(1+$D$31)</f>
        <v>0</v>
      </c>
      <c r="I72" s="578">
        <v>1E-3</v>
      </c>
      <c r="J72" s="487">
        <v>0</v>
      </c>
      <c r="K72" s="48"/>
      <c r="L72" s="486">
        <v>1</v>
      </c>
      <c r="M72" s="486">
        <f>IF(C72="","",SUMIFS(Energy_Balance!I$55:I$160,Energy_Balance!$C$55:$C$160,C72,Energy_Balance!$D$55:$D$160,D72)*L72)</f>
        <v>0</v>
      </c>
      <c r="N72" s="486">
        <f t="shared" si="16"/>
        <v>0</v>
      </c>
      <c r="O72" s="25"/>
      <c r="P72" s="605">
        <f>E72</f>
        <v>1</v>
      </c>
      <c r="Q72" s="361">
        <f>IF($AO72="","",($S72-$P72)*1/3+$P72)</f>
        <v>1</v>
      </c>
      <c r="R72" s="361">
        <f>IF($AO72="","",($S72-$P72)*2/3+$P72)</f>
        <v>1</v>
      </c>
      <c r="S72" s="361">
        <f>IF($AO72="","",IF($AO72="*",$AP72*(1+$P$29),E72))</f>
        <v>1</v>
      </c>
      <c r="T72" s="204"/>
      <c r="U72" s="50"/>
      <c r="V72" s="50">
        <v>0</v>
      </c>
      <c r="W72" s="50">
        <v>0</v>
      </c>
      <c r="X72" s="50">
        <v>0</v>
      </c>
      <c r="Y72" s="50">
        <v>0</v>
      </c>
      <c r="Z72" s="50">
        <v>0</v>
      </c>
      <c r="AA72" s="50">
        <v>0</v>
      </c>
      <c r="AB72" s="50">
        <v>0</v>
      </c>
      <c r="AC72" s="50">
        <v>0</v>
      </c>
      <c r="AD72" s="50"/>
      <c r="AE72" s="273">
        <v>0</v>
      </c>
      <c r="AF72" s="50">
        <v>0</v>
      </c>
      <c r="AG72" s="50">
        <v>0</v>
      </c>
      <c r="AH72" s="50">
        <v>0</v>
      </c>
      <c r="AI72" s="50">
        <v>0</v>
      </c>
      <c r="AJ72" s="50">
        <v>0</v>
      </c>
      <c r="AK72" s="50">
        <v>0</v>
      </c>
      <c r="AL72" s="50">
        <v>0</v>
      </c>
      <c r="AO72" s="21" t="s">
        <v>507</v>
      </c>
      <c r="AP72" s="497">
        <f>E72</f>
        <v>1</v>
      </c>
    </row>
    <row r="73" spans="1:3695" s="192" customFormat="1" ht="15" hidden="1" outlineLevel="1">
      <c r="A73" s="526" t="s">
        <v>955</v>
      </c>
      <c r="B73" s="527"/>
      <c r="C73" s="528"/>
      <c r="D73" s="528"/>
      <c r="E73" s="529" t="str">
        <f>IF(D73="","",IF(COUNTIF(#REF!,$B73)=1,SUMIF(#REF!,RES!B73,#REF!),SUMIF(#REF!,RES!$B73,#REF!)))</f>
        <v/>
      </c>
      <c r="F73" s="529"/>
      <c r="G73" s="529"/>
      <c r="H73" s="529"/>
      <c r="I73" s="579"/>
      <c r="J73" s="529"/>
      <c r="K73" s="530"/>
      <c r="L73" s="531"/>
      <c r="M73" s="531">
        <f>SUM(M71:M72)</f>
        <v>7.3078727327855058</v>
      </c>
      <c r="N73" s="531">
        <f>SUM(N71:N72)</f>
        <v>5.8462981862284051</v>
      </c>
      <c r="O73" s="193"/>
      <c r="P73" s="532"/>
      <c r="Q73" s="532" t="str">
        <f>IF($AO73="","",($R73-$AP73)*15/25+$AP73)</f>
        <v/>
      </c>
      <c r="R73" s="532" t="str">
        <f>IF($AO73="","",IF($AO73="*",$AP73*(1+$P$29),E73))</f>
        <v/>
      </c>
      <c r="S73" s="532" t="str">
        <f>IF(G73="","",IF(COUNTIF(#REF!,$B73)=1,SUMIF(#REF!,RES!$B73,#REF!),SUMIF(#REF!,RES!$B73,#REF!)))</f>
        <v/>
      </c>
      <c r="T73" s="533"/>
      <c r="U73" s="534"/>
      <c r="V73" s="534" t="e">
        <f>IF($G$16=1,#REF!,IF($G$16=2,#REF!,IF($G$16=3,#REF!,#REF!)))</f>
        <v>#REF!</v>
      </c>
      <c r="W73" s="534"/>
      <c r="X73" s="534"/>
      <c r="Y73" s="534"/>
      <c r="Z73" s="534"/>
      <c r="AA73" s="534"/>
      <c r="AB73" s="534"/>
      <c r="AC73" s="534"/>
      <c r="AD73" s="534"/>
      <c r="AE73" s="535"/>
      <c r="AF73" s="534"/>
      <c r="AG73" s="534"/>
      <c r="AH73" s="534"/>
      <c r="AI73" s="534"/>
      <c r="AJ73" s="534"/>
      <c r="AK73" s="534"/>
      <c r="AL73" s="534"/>
      <c r="AO73" s="536"/>
    </row>
    <row r="74" spans="1:3695" s="233" customFormat="1" ht="15" hidden="1">
      <c r="A74" s="539" t="s">
        <v>985</v>
      </c>
      <c r="B74" s="540" t="s">
        <v>328</v>
      </c>
      <c r="C74" s="549"/>
      <c r="D74" s="549"/>
      <c r="E74" s="551" t="str">
        <f>IF(D74="","",IF(COUNTIF(#REF!,$B74)=1,SUMIF(#REF!,RES!B74,#REF!),SUMIF(#REF!,RES!$B74,#REF!)))</f>
        <v/>
      </c>
      <c r="F74" s="551"/>
      <c r="G74" s="551"/>
      <c r="H74" s="551"/>
      <c r="I74" s="580"/>
      <c r="J74" s="551"/>
      <c r="K74" s="541"/>
      <c r="L74" s="553"/>
      <c r="M74" s="553"/>
      <c r="N74" s="553"/>
      <c r="O74" s="546"/>
      <c r="P74" s="554"/>
      <c r="Q74" s="554" t="str">
        <f>IF($AO74="","",($R74-$AP74)*15/25+$AP74)</f>
        <v/>
      </c>
      <c r="R74" s="554" t="str">
        <f>IF($AO74="","",IF($AO74="*",$AP74*(1+$P$29),E74))</f>
        <v/>
      </c>
      <c r="S74" s="554" t="str">
        <f>IF(G74="","",IF(COUNTIF(#REF!,$B74)=1,SUMIF(#REF!,RES!$B74,#REF!),SUMIF(#REF!,RES!$B74,#REF!)))</f>
        <v/>
      </c>
      <c r="T74" s="555"/>
      <c r="U74" s="556"/>
      <c r="V74" s="556"/>
      <c r="W74" s="556"/>
      <c r="X74" s="556"/>
      <c r="Y74" s="556"/>
      <c r="Z74" s="556"/>
      <c r="AA74" s="556"/>
      <c r="AB74" s="556"/>
      <c r="AC74" s="556"/>
      <c r="AD74" s="556"/>
      <c r="AE74" s="598"/>
      <c r="AF74" s="556"/>
      <c r="AG74" s="556"/>
      <c r="AH74" s="556"/>
      <c r="AI74" s="556"/>
      <c r="AJ74" s="556"/>
      <c r="AK74" s="556"/>
      <c r="AL74" s="556"/>
      <c r="AO74" s="548"/>
    </row>
    <row r="75" spans="1:3695" s="166" customFormat="1" ht="15.75" customHeight="1" outlineLevel="2">
      <c r="A75" s="108" t="s">
        <v>986</v>
      </c>
      <c r="B75" s="30" t="s">
        <v>348</v>
      </c>
      <c r="C75" s="43" t="s">
        <v>236</v>
      </c>
      <c r="D75" s="43" t="s">
        <v>255</v>
      </c>
      <c r="E75" s="559">
        <f>INDEX(Lighting!$V$25:$V$35,MATCH(RES!D75,Lighting!$E$25:$E$35,0))</f>
        <v>3.5618185364705877</v>
      </c>
      <c r="F75" s="559">
        <v>1</v>
      </c>
      <c r="G75" s="559">
        <v>1</v>
      </c>
      <c r="H75" s="559">
        <f>N75/F75*(1+$D$31)</f>
        <v>18.841537311732708</v>
      </c>
      <c r="I75" s="578">
        <v>1E-3</v>
      </c>
      <c r="J75" s="487">
        <v>0</v>
      </c>
      <c r="K75" s="48" t="s">
        <v>440</v>
      </c>
      <c r="L75" s="486">
        <v>1</v>
      </c>
      <c r="M75" s="486">
        <f>IF(C75="","",SUMIFS(Energy_Balance!I$55:I$160,Energy_Balance!$C$55:$C$160,C75,Energy_Balance!$D$55:$D$160,D75)*L75)</f>
        <v>5.2898644663697052</v>
      </c>
      <c r="N75" s="486">
        <f t="shared" si="16"/>
        <v>18.841537311732708</v>
      </c>
      <c r="O75" s="25"/>
      <c r="P75" s="605">
        <f>INDEX(Lighting!$V$25:$V$35,MATCH(RES!D75,Lighting!$E$25:$E$35,0))</f>
        <v>3.5618185364705877</v>
      </c>
      <c r="Q75" s="203">
        <f>IF($B75="","",SUMIF(Lighting!$A$25:$A$35,RES!$B75,Lighting!$W$25:$W$35))</f>
        <v>4.579538282274509</v>
      </c>
      <c r="R75" s="203">
        <f>IF($B75="","",SUMIF(Lighting!$A$25:$A$35,RES!$B75,Lighting!$X$25:$X$35))</f>
        <v>5.3019294117647053</v>
      </c>
      <c r="S75" s="361">
        <f>R75</f>
        <v>5.3019294117647053</v>
      </c>
      <c r="T75" s="204"/>
      <c r="U75" s="50"/>
      <c r="V75" s="50">
        <f>(IFERROR(IF(N75/(SUMIF(RES!$D$39:$D$145,D75,$N$39:$N$145))=1,1,(N75/(SUMIF(RES!$D$39:$D$145,D75,$N$39:$N$145))+#REF!)),0))</f>
        <v>1</v>
      </c>
      <c r="W75" s="50">
        <f>V75</f>
        <v>1</v>
      </c>
      <c r="X75" s="50">
        <f t="shared" ref="X75:AC76" si="56">W75</f>
        <v>1</v>
      </c>
      <c r="Y75" s="50">
        <f t="shared" si="56"/>
        <v>1</v>
      </c>
      <c r="Z75" s="50">
        <f t="shared" si="56"/>
        <v>1</v>
      </c>
      <c r="AA75" s="50">
        <f t="shared" si="56"/>
        <v>1</v>
      </c>
      <c r="AB75" s="50">
        <f t="shared" si="56"/>
        <v>1</v>
      </c>
      <c r="AC75" s="50">
        <f t="shared" si="56"/>
        <v>1</v>
      </c>
      <c r="AD75" s="50"/>
      <c r="AE75" s="273">
        <f>(IFERROR(IF($N75/(SUMIF(RES!$D$39:$D$145,$D75,$N$39:$N$145))=1,1,($N75/(SUMIF(RES!$D$39:$D$145,$D75,$N$39:$N$145))-$AE$28)),0))</f>
        <v>1</v>
      </c>
      <c r="AF75" s="50">
        <f>AE75</f>
        <v>1</v>
      </c>
      <c r="AG75" s="50">
        <f t="shared" ref="AG75:AL76" si="57">AF75</f>
        <v>1</v>
      </c>
      <c r="AH75" s="50">
        <f t="shared" si="57"/>
        <v>1</v>
      </c>
      <c r="AI75" s="50">
        <f t="shared" si="57"/>
        <v>1</v>
      </c>
      <c r="AJ75" s="50">
        <f t="shared" si="57"/>
        <v>1</v>
      </c>
      <c r="AK75" s="50">
        <f t="shared" si="57"/>
        <v>1</v>
      </c>
      <c r="AL75" s="50">
        <f t="shared" si="57"/>
        <v>1</v>
      </c>
      <c r="AM75"/>
      <c r="AN75"/>
      <c r="AO75" s="170" t="s">
        <v>507</v>
      </c>
      <c r="AP75" s="497">
        <f>E75</f>
        <v>3.5618185364705877</v>
      </c>
      <c r="AQ75"/>
      <c r="AR75"/>
      <c r="AS75"/>
      <c r="AT75"/>
      <c r="AU75"/>
      <c r="AV75"/>
      <c r="AW75"/>
      <c r="AX75"/>
      <c r="AY75"/>
      <c r="AZ75"/>
      <c r="BA75"/>
      <c r="BB75"/>
      <c r="BC75"/>
      <c r="BD75"/>
    </row>
    <row r="76" spans="1:3695" s="166" customFormat="1" ht="15" hidden="1" outlineLevel="2">
      <c r="A76" s="108" t="s">
        <v>987</v>
      </c>
      <c r="B76" s="30" t="s">
        <v>846</v>
      </c>
      <c r="C76" s="43" t="s">
        <v>238</v>
      </c>
      <c r="D76" s="43" t="s">
        <v>278</v>
      </c>
      <c r="E76" s="487">
        <v>0.1</v>
      </c>
      <c r="F76" s="559">
        <v>1</v>
      </c>
      <c r="G76" s="559">
        <v>1</v>
      </c>
      <c r="H76" s="559">
        <f>N76/F76*(1+$D$31)</f>
        <v>7.1482186957706251E-2</v>
      </c>
      <c r="I76" s="578">
        <v>1E-3</v>
      </c>
      <c r="J76" s="487">
        <v>0</v>
      </c>
      <c r="K76" s="48"/>
      <c r="L76" s="487">
        <v>1</v>
      </c>
      <c r="M76" s="486">
        <f>IF(C76="","",SUMIFS(Energy_Balance!I$55:I$160,Energy_Balance!$C$55:$C$160,C76,Energy_Balance!$D$55:$D$160,D76)*L76)</f>
        <v>0.71482186957706251</v>
      </c>
      <c r="N76" s="486">
        <f t="shared" si="16"/>
        <v>7.1482186957706251E-2</v>
      </c>
      <c r="O76" s="25"/>
      <c r="P76" s="605">
        <f>E76</f>
        <v>0.1</v>
      </c>
      <c r="Q76" s="361">
        <f>IF($AO76="","",($S76-$P76)*1/3+$P76)</f>
        <v>0.1</v>
      </c>
      <c r="R76" s="361">
        <f>IF($AO76="","",($S76-$P76)*2/3+$P76)</f>
        <v>0.1</v>
      </c>
      <c r="S76" s="361">
        <f>IF($AO76="","",IF($AO76="*",$AP76*(1+$P$29),E76))</f>
        <v>0.1</v>
      </c>
      <c r="T76" s="204"/>
      <c r="U76" s="50"/>
      <c r="V76" s="50">
        <f>(IFERROR(IF(N76/(SUMIF(RES!$D$39:$D$145,D76,$N$39:$N$145))=1,1,(N76/(SUMIF(RES!$D$39:$D$145,D76,$N$39:$N$145))+#REF!)),0))</f>
        <v>1</v>
      </c>
      <c r="W76" s="50">
        <f>V76</f>
        <v>1</v>
      </c>
      <c r="X76" s="50">
        <f t="shared" si="56"/>
        <v>1</v>
      </c>
      <c r="Y76" s="50">
        <f t="shared" si="56"/>
        <v>1</v>
      </c>
      <c r="Z76" s="50">
        <f t="shared" si="56"/>
        <v>1</v>
      </c>
      <c r="AA76" s="50">
        <f t="shared" si="56"/>
        <v>1</v>
      </c>
      <c r="AB76" s="50">
        <f t="shared" si="56"/>
        <v>1</v>
      </c>
      <c r="AC76" s="50">
        <f t="shared" si="56"/>
        <v>1</v>
      </c>
      <c r="AD76" s="50"/>
      <c r="AE76" s="273">
        <f>(IFERROR(IF($N76/(SUMIF(RES!$D$39:$D$145,$D76,$N$39:$N$145))=1,1,($N76/(SUMIF(RES!$D$39:$D$145,$D76,$N$39:$N$145))-$AE$28)),0))</f>
        <v>1</v>
      </c>
      <c r="AF76" s="50">
        <f>AE76</f>
        <v>1</v>
      </c>
      <c r="AG76" s="50">
        <f t="shared" si="57"/>
        <v>1</v>
      </c>
      <c r="AH76" s="50">
        <f t="shared" si="57"/>
        <v>1</v>
      </c>
      <c r="AI76" s="50">
        <f t="shared" si="57"/>
        <v>1</v>
      </c>
      <c r="AJ76" s="50">
        <f t="shared" si="57"/>
        <v>1</v>
      </c>
      <c r="AK76" s="50">
        <f t="shared" si="57"/>
        <v>1</v>
      </c>
      <c r="AL76" s="50">
        <f t="shared" si="57"/>
        <v>1</v>
      </c>
      <c r="AM76"/>
      <c r="AN76"/>
      <c r="AO76" s="166" t="s">
        <v>507</v>
      </c>
      <c r="AP76" s="497">
        <f>E76</f>
        <v>0.1</v>
      </c>
      <c r="AQ76"/>
      <c r="AR76"/>
      <c r="AS76"/>
      <c r="AT76"/>
      <c r="AU76"/>
      <c r="AV76"/>
      <c r="AW76"/>
      <c r="AX76"/>
      <c r="AY76"/>
      <c r="AZ76"/>
      <c r="BA76"/>
      <c r="BB76"/>
      <c r="BC76"/>
      <c r="BD76"/>
    </row>
    <row r="77" spans="1:3695" s="192" customFormat="1" ht="15" hidden="1" outlineLevel="1">
      <c r="A77" s="526" t="s">
        <v>955</v>
      </c>
      <c r="B77" s="527"/>
      <c r="C77" s="528"/>
      <c r="D77" s="528"/>
      <c r="E77" s="529" t="str">
        <f>IF(D77="","",IF(COUNTIF(#REF!,$B77)=1,SUMIF(#REF!,RES!B77,#REF!),SUMIF(#REF!,RES!$B77,#REF!)))</f>
        <v/>
      </c>
      <c r="F77" s="529"/>
      <c r="G77" s="529"/>
      <c r="H77" s="529"/>
      <c r="I77" s="579"/>
      <c r="J77" s="529"/>
      <c r="K77" s="530"/>
      <c r="L77" s="531"/>
      <c r="M77" s="531">
        <f>SUM(M75:M76)</f>
        <v>6.0046863359467677</v>
      </c>
      <c r="N77" s="531">
        <f>SUM(N75:N76)</f>
        <v>18.913019498690414</v>
      </c>
      <c r="O77" s="193"/>
      <c r="P77" s="532"/>
      <c r="Q77" s="532" t="str">
        <f>IF($AO77="","",($R77-$AP77)*15/25+$AP77)</f>
        <v/>
      </c>
      <c r="R77" s="532" t="str">
        <f>IF($AO77="","",IF($AO77="*",$AP77*(1+$P$29),E77))</f>
        <v/>
      </c>
      <c r="S77" s="532" t="str">
        <f>IF(G77="","",IF(COUNTIF(#REF!,$B77)=1,SUMIF(#REF!,RES!$B77,#REF!),SUMIF(#REF!,RES!$B77,#REF!)))</f>
        <v/>
      </c>
      <c r="T77" s="533"/>
      <c r="U77" s="534"/>
      <c r="V77" s="534"/>
      <c r="W77" s="534"/>
      <c r="X77" s="534"/>
      <c r="Y77" s="534"/>
      <c r="Z77" s="534"/>
      <c r="AA77" s="534"/>
      <c r="AB77" s="534"/>
      <c r="AC77" s="534"/>
      <c r="AD77" s="534"/>
      <c r="AE77" s="535"/>
      <c r="AF77" s="534"/>
      <c r="AG77" s="534"/>
      <c r="AH77" s="534"/>
      <c r="AI77" s="534"/>
      <c r="AJ77" s="534"/>
      <c r="AK77" s="534"/>
      <c r="AL77" s="534"/>
      <c r="AO77" s="536"/>
    </row>
    <row r="78" spans="1:3695" s="233" customFormat="1" ht="15" hidden="1">
      <c r="A78" s="539" t="s">
        <v>988</v>
      </c>
      <c r="B78" s="540" t="s">
        <v>328</v>
      </c>
      <c r="C78" s="549"/>
      <c r="D78" s="549"/>
      <c r="E78" s="551" t="str">
        <f>IF(D78="","",IF(COUNTIF(#REF!,$B78)=1,SUMIF(#REF!,RES!B78,#REF!),SUMIF(#REF!,RES!$B78,#REF!)))</f>
        <v/>
      </c>
      <c r="F78" s="551"/>
      <c r="G78" s="551"/>
      <c r="H78" s="551"/>
      <c r="I78" s="580"/>
      <c r="J78" s="551"/>
      <c r="K78" s="541"/>
      <c r="L78" s="553"/>
      <c r="M78" s="553"/>
      <c r="N78" s="553"/>
      <c r="O78" s="546"/>
      <c r="P78" s="554"/>
      <c r="Q78" s="554" t="str">
        <f>IF($AO78="","",($R78-$AP78)*15/25+$AP78)</f>
        <v/>
      </c>
      <c r="R78" s="554" t="str">
        <f>IF($AO78="","",IF($AO78="*",$AP78*(1+$P$29),E78))</f>
        <v/>
      </c>
      <c r="S78" s="554" t="str">
        <f>IF(G78="","",IF(COUNTIF(#REF!,$B78)=1,SUMIF(#REF!,RES!$B78,#REF!),SUMIF(#REF!,RES!$B78,#REF!)))</f>
        <v/>
      </c>
      <c r="T78" s="555"/>
      <c r="U78" s="556"/>
      <c r="V78" s="556"/>
      <c r="W78" s="556"/>
      <c r="X78" s="556"/>
      <c r="Y78" s="556"/>
      <c r="Z78" s="556"/>
      <c r="AA78" s="556"/>
      <c r="AB78" s="556"/>
      <c r="AC78" s="556"/>
      <c r="AD78" s="556"/>
      <c r="AE78" s="556"/>
      <c r="AF78" s="556"/>
      <c r="AG78" s="556"/>
      <c r="AH78" s="556"/>
      <c r="AI78" s="556"/>
      <c r="AJ78" s="556"/>
      <c r="AK78" s="556"/>
      <c r="AL78" s="556"/>
      <c r="AO78" s="548"/>
    </row>
    <row r="79" spans="1:3695" ht="15" outlineLevel="1">
      <c r="A79" s="108" t="s">
        <v>989</v>
      </c>
      <c r="B79" s="30" t="s">
        <v>349</v>
      </c>
      <c r="C79" s="43" t="s">
        <v>236</v>
      </c>
      <c r="D79" s="43" t="s">
        <v>256</v>
      </c>
      <c r="E79" s="495">
        <f>INDEX('Electrical efficiency'!$L$8:$L$23,MATCH(RES!D79,'Electrical efficiency'!$K$8:$K$23,0))</f>
        <v>0.65</v>
      </c>
      <c r="F79" s="559">
        <v>1</v>
      </c>
      <c r="G79" s="559">
        <v>1</v>
      </c>
      <c r="H79" s="559">
        <f t="shared" ref="H79:H84" si="58">N79/F79*(1+$D$31)</f>
        <v>5.6431502643056408</v>
      </c>
      <c r="I79" s="578">
        <v>1E-3</v>
      </c>
      <c r="J79" s="487">
        <v>0</v>
      </c>
      <c r="K79" s="48" t="s">
        <v>912</v>
      </c>
      <c r="L79" s="486">
        <v>1</v>
      </c>
      <c r="M79" s="486">
        <f>IF(C79="","",SUMIFS(Energy_Balance!I$55:I$160,Energy_Balance!$C$55:$C$160,C79,Energy_Balance!$D$55:$D$160,D79)*L79)</f>
        <v>8.6817696373932929</v>
      </c>
      <c r="N79" s="486">
        <f t="shared" si="16"/>
        <v>5.6431502643056408</v>
      </c>
      <c r="O79" s="25"/>
      <c r="P79" s="605">
        <f>INDEX('Electrical efficiency'!$M$8:$M$23,MATCH(RES!D79,'Electrical efficiency'!$K$8:$K$23,0))</f>
        <v>0.66326530612244905</v>
      </c>
      <c r="Q79" s="361">
        <f>INDEX('Electrical efficiency'!$N$8:$N$23,MATCH(RES!D79,'Electrical efficiency'!$K$8:$K$23,0))</f>
        <v>0.71428571428571419</v>
      </c>
      <c r="R79" s="361">
        <f>INDEX('Electrical efficiency'!$O$8:$O$23,MATCH(RES!D79,'Electrical efficiency'!$K$8:$K$23,0))</f>
        <v>0.73033707865168551</v>
      </c>
      <c r="S79" s="361">
        <f>INDEX('Electrical efficiency'!$P$8:$P$23,MATCH(RES!D79,'Electrical efficiency'!$K$8:$K$23,0))</f>
        <v>0.73033707865168551</v>
      </c>
      <c r="T79" s="204"/>
      <c r="U79" s="50"/>
      <c r="V79" s="63">
        <f>(IFERROR(IF(N79/(SUMIF(RES!$D$39:$D$145,D79,$N$39:$N$145))=1,1,(N79/(SUMIF(RES!$D$39:$D$145,D79,$N$39:$N$145))+$V$28)),0))</f>
        <v>0.52961437580371462</v>
      </c>
      <c r="W79" s="63">
        <f>IF($V79*(1+'Census 2011_17'!B$20)+W$28&lt;1,$V79*(1+'Census 2011_17'!B$20)+W$28,1)</f>
        <v>0.55394159953405775</v>
      </c>
      <c r="X79" s="63">
        <f>IF($V79*(1+'Census 2011_17'!C$20)+X$28&lt;1,$V79*(1+'Census 2011_17'!C$20)+X$28,1)</f>
        <v>0.57272102451949691</v>
      </c>
      <c r="Y79" s="63">
        <f>IF($V79*(1+'Census 2011_17'!D$20)+Y$28&lt;1,$V79*(1+'Census 2011_17'!D$20)+Y$28,1)</f>
        <v>0.5905004495049363</v>
      </c>
      <c r="Z79" s="63">
        <f>IF($V79*(1+'Census 2011_17'!E$20)+Z$28&lt;1,$V79*(1+'Census 2011_17'!E$20)+Z$28,1)</f>
        <v>0.62477987449037564</v>
      </c>
      <c r="AA79" s="63">
        <f>IF($V79*(1+'Census 2011_17'!F$20)+AA$28&lt;1,$V79*(1+'Census 2011_17'!F$20)+AA$28,1)</f>
        <v>0.66205929947581488</v>
      </c>
      <c r="AB79" s="63">
        <f>IF($V79*(1+'Census 2011_17'!G$20)+AB$28&lt;1,$V79*(1+'Census 2011_17'!G$20)+AB$28,1)</f>
        <v>0.7020592994758148</v>
      </c>
      <c r="AC79" s="63">
        <f>IF($V79*(1+'Census 2011_17'!H$20)+AC$28&lt;1,$V79*(1+'Census 2011_17'!H$20)+AC$28,1)</f>
        <v>0.78205929947581487</v>
      </c>
      <c r="AD79" s="50"/>
      <c r="AE79" s="63">
        <f>(IFERROR(IF($N79/(SUMIF(RES!$D$39:$D$145,$D79,$N$39:$N$145))=1,1,($N79/(SUMIF(RES!$D$39:$D$145,$D79,$N$39:$N$145))-AE$28)),0))</f>
        <v>0.52851437580371463</v>
      </c>
      <c r="AF79" s="63">
        <f>$AE79*(1+'Census 2011_17'!B$20)-AF$28</f>
        <v>0.54679314928935951</v>
      </c>
      <c r="AG79" s="63">
        <f>$AE79*(1+'Census 2011_17'!C$20)-AG$28</f>
        <v>0.56553668520465206</v>
      </c>
      <c r="AH79" s="63">
        <f>$AE79*(1+'Census 2011_17'!D$20)-AH$28</f>
        <v>0.58278022111994443</v>
      </c>
      <c r="AI79" s="63">
        <f>$AE79*(1+'Census 2011_17'!E$20)-AI$28</f>
        <v>0.60102375703523703</v>
      </c>
      <c r="AJ79" s="63">
        <f>$AE79*(1+'Census 2011_17'!F$20)-AJ$28</f>
        <v>0.6182672929505294</v>
      </c>
      <c r="AK79" s="63">
        <f>$AE79*(1+'Census 2011_17'!G$20)-AK$28</f>
        <v>0.6182672929505294</v>
      </c>
      <c r="AL79" s="63">
        <f>$AE79*(1+'Census 2011_17'!H$20)-AL$28</f>
        <v>0.6182672929505294</v>
      </c>
      <c r="AO79" s="250" t="s">
        <v>110</v>
      </c>
      <c r="AP79" s="497">
        <f t="shared" ref="AP79:AP84" si="59">E79</f>
        <v>0.65</v>
      </c>
    </row>
    <row r="80" spans="1:3695" s="35" customFormat="1" ht="15" hidden="1" outlineLevel="1">
      <c r="A80" s="108" t="s">
        <v>990</v>
      </c>
      <c r="B80" s="30" t="s">
        <v>350</v>
      </c>
      <c r="C80" s="43" t="s">
        <v>237</v>
      </c>
      <c r="D80" s="43" t="s">
        <v>256</v>
      </c>
      <c r="E80" s="487">
        <v>0.61</v>
      </c>
      <c r="F80" s="559">
        <v>1</v>
      </c>
      <c r="G80" s="559">
        <v>1</v>
      </c>
      <c r="H80" s="559">
        <f t="shared" si="58"/>
        <v>0.35192513068893289</v>
      </c>
      <c r="I80" s="578">
        <v>1E-3</v>
      </c>
      <c r="J80" s="487">
        <v>0</v>
      </c>
      <c r="K80" s="48"/>
      <c r="L80" s="486">
        <v>1</v>
      </c>
      <c r="M80" s="486">
        <f>IF(C80="","",SUMIFS(Energy_Balance!I$55:I$160,Energy_Balance!$C$55:$C$160,C80,Energy_Balance!$D$55:$D$160,D80)*L80)</f>
        <v>0.57692644375234903</v>
      </c>
      <c r="N80" s="486">
        <f t="shared" si="16"/>
        <v>0.35192513068893289</v>
      </c>
      <c r="O80" s="25"/>
      <c r="P80" s="605">
        <f>E80</f>
        <v>0.61</v>
      </c>
      <c r="Q80" s="361">
        <f>IF($AO80="","",($S80-$P80)*1/3+$P80)</f>
        <v>0.61</v>
      </c>
      <c r="R80" s="361">
        <f>IF($AO80="","",($S80-$P80)*2/3+$P80)</f>
        <v>0.61</v>
      </c>
      <c r="S80" s="361">
        <f>IF($AO80="","",IF($AO80="*",$AP80*(1+$P$29),E80))</f>
        <v>0.61</v>
      </c>
      <c r="T80" s="204"/>
      <c r="U80" s="50"/>
      <c r="V80" s="63">
        <f>(IFERROR(IF(N80/(SUMIF(RES!$D$39:$D$145,D80,$N$39:$N$145))=1,1,(N80/(SUMIF(RES!$D$39:$D$145,D80,$N$39:$N$145))+$V$28)),0))</f>
        <v>3.396610484847E-2</v>
      </c>
      <c r="W80" s="63">
        <f>$V80-$V$79*'Census 2011_17'!B$20*RES!$V80/(1-RES!$V$79)+RES!W$29</f>
        <v>3.72816678965492E-2</v>
      </c>
      <c r="X80" s="63">
        <f>$V80-$V$79*'Census 2011_17'!C$20*RES!$V80/(1-RES!$V$79)+RES!X$29</f>
        <v>3.4033936821052324E-2</v>
      </c>
      <c r="Y80" s="63">
        <f>$V80-$V$79*'Census 2011_17'!D$20*RES!$V80/(1-RES!$V$79)+RES!Y$29</f>
        <v>3.2786205745555443E-2</v>
      </c>
      <c r="Z80" s="63">
        <f>$V80-$V$79*'Census 2011_17'!E$20*RES!$V80/(1-RES!$V$79)+RES!Z$29</f>
        <v>3.1038474670058561E-2</v>
      </c>
      <c r="AA80" s="63">
        <f>$V80-$V$79*'Census 2011_17'!F$20*RES!$V80/(1-RES!$V$79)+RES!AA$29</f>
        <v>2.7290743594561677E-2</v>
      </c>
      <c r="AB80" s="63">
        <f>$V80-$V$79*'Census 2011_17'!G$20*RES!$V80/(1-RES!$V$79)+RES!AB$29</f>
        <v>2.7290743594561677E-2</v>
      </c>
      <c r="AC80" s="63">
        <f>$V80-$V$79*'Census 2011_17'!H$20*RES!$V80/(1-RES!$V$79)+RES!AC$29</f>
        <v>2.7290743594561677E-2</v>
      </c>
      <c r="AD80" s="50"/>
      <c r="AE80" s="63">
        <f>(IFERROR(IF($N80/(SUMIF(RES!$D$39:$D$145,$D80,$N$39:$N$145))=1,1,($N80/(SUMIF(RES!$D$39:$D$145,$D80,$N$39:$N$145)))),0))-AE$29</f>
        <v>3.2866104848469996E-2</v>
      </c>
      <c r="AF80" s="63">
        <f t="shared" ref="AF80:AF83" si="60">IF(W80-AF$29&lt;0,0,W80-AF$29)</f>
        <v>3.2281667896549203E-2</v>
      </c>
      <c r="AG80" s="63">
        <f t="shared" ref="AG80:AG83" si="61">IF(X80-AG$29&lt;0,0,X80-AG$29)</f>
        <v>3.0533936821052324E-2</v>
      </c>
      <c r="AH80" s="63">
        <f t="shared" ref="AH80:AH83" si="62">IF(Y80-AH$29&lt;0,0,Y80-AH$29)</f>
        <v>2.2786205745555441E-2</v>
      </c>
      <c r="AI80" s="63">
        <f t="shared" ref="AI80:AI83" si="63">IF(Z80-AI$29&lt;0,0,Z80-AI$29)</f>
        <v>2.1038474670058559E-2</v>
      </c>
      <c r="AJ80" s="63">
        <f t="shared" ref="AJ80:AJ83" si="64">IF(AA80-AJ$29&lt;0,0,AA80-AJ$29)</f>
        <v>1.6290743594561678E-2</v>
      </c>
      <c r="AK80" s="63">
        <f t="shared" ref="AK80:AK83" si="65">IF(AB80-AK$29&lt;0,0,AB80-AK$29)</f>
        <v>1.4790743594561676E-2</v>
      </c>
      <c r="AL80" s="63">
        <f t="shared" ref="AL80:AL83" si="66">IF(AC80-AL$29&lt;0,0,AC80-AL$29)</f>
        <v>1.2290743594561677E-2</v>
      </c>
      <c r="AM80"/>
      <c r="AN80"/>
      <c r="AO80" s="21" t="s">
        <v>507</v>
      </c>
      <c r="AP80" s="497">
        <f t="shared" si="59"/>
        <v>0.61</v>
      </c>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row>
    <row r="81" spans="1:56" ht="15" hidden="1" outlineLevel="1">
      <c r="A81" s="108" t="s">
        <v>991</v>
      </c>
      <c r="B81" s="30" t="s">
        <v>351</v>
      </c>
      <c r="C81" s="43" t="s">
        <v>239</v>
      </c>
      <c r="D81" s="43" t="s">
        <v>256</v>
      </c>
      <c r="E81" s="487">
        <v>0.26</v>
      </c>
      <c r="F81" s="559">
        <v>1</v>
      </c>
      <c r="G81" s="559">
        <v>1</v>
      </c>
      <c r="H81" s="559">
        <f t="shared" si="58"/>
        <v>4.4072841850708251</v>
      </c>
      <c r="I81" s="578">
        <v>1E-3</v>
      </c>
      <c r="J81" s="487">
        <v>0</v>
      </c>
      <c r="K81" s="48"/>
      <c r="L81" s="486">
        <v>1</v>
      </c>
      <c r="M81" s="486">
        <f>IF(C81="","",SUMIFS(Energy_Balance!I$55:I$160,Energy_Balance!$C$55:$C$160,C81,Energy_Balance!$D$55:$D$160,D81)*L81)</f>
        <v>16.951093019503173</v>
      </c>
      <c r="N81" s="486">
        <f t="shared" si="16"/>
        <v>4.4072841850708251</v>
      </c>
      <c r="O81" s="25"/>
      <c r="P81" s="605">
        <f>E81</f>
        <v>0.26</v>
      </c>
      <c r="Q81" s="361">
        <f>IF($AO81="","",($S81-$P81)*1/3+$P81)</f>
        <v>0.26</v>
      </c>
      <c r="R81" s="361">
        <f>IF($AO81="","",($S81-$P81)*2/3+$P81)</f>
        <v>0.26</v>
      </c>
      <c r="S81" s="361">
        <f>IF($AO81="","",IF($AO81="*",$AP81*(1+$P$29),E81))</f>
        <v>0.26</v>
      </c>
      <c r="T81" s="204"/>
      <c r="U81" s="50"/>
      <c r="V81" s="63">
        <f>IF((IFERROR(IF(N81/(SUMIF(RES!$D$39:$D$145,D81,$N$39:$N$145))=1,1,(N81/(SUMIF(RES!$D$39:$D$145,D81,$N$39:$N$145))+$V$29)),0))&lt;1,(IFERROR(IF(N81/(SUMIF(RES!$D$39:$D$145,D81,$N$39:$N$145))=1,1,(N81/(SUMIF(RES!$D$39:$D$145,D81,$N$39:$N$145))+$V$29)),0)),1)</f>
        <v>0.41384631267345151</v>
      </c>
      <c r="W81" s="63">
        <f>$V81-$V$79*'Census 2011_17'!B$20*RES!$V81/(1-RES!$V$79)+RES!W$29</f>
        <v>0.39832296963505393</v>
      </c>
      <c r="X81" s="63">
        <f>$V81-$V$79*'Census 2011_17'!C$20*RES!$V81/(1-RES!$V$79)+RES!X$29</f>
        <v>0.38112049331031506</v>
      </c>
      <c r="Y81" s="63">
        <f>$V81-$V$79*'Census 2011_17'!D$20*RES!$V81/(1-RES!$V$79)+RES!Y$29</f>
        <v>0.36591801698557619</v>
      </c>
      <c r="Z81" s="63">
        <f>$V81-$V$79*'Census 2011_17'!E$20*RES!$V81/(1-RES!$V$79)+RES!Z$29</f>
        <v>0.35021554066083727</v>
      </c>
      <c r="AA81" s="63">
        <f>$V81-$V$79*'Census 2011_17'!F$20*RES!$V81/(1-RES!$V$79)+RES!AA$29</f>
        <v>0.33251306433609829</v>
      </c>
      <c r="AB81" s="63">
        <f>$V81-$V$79*'Census 2011_17'!G$20*RES!$V81/(1-RES!$V$79)+RES!AB$29</f>
        <v>0.33251306433609829</v>
      </c>
      <c r="AC81" s="63">
        <f>$V81-$V$79*'Census 2011_17'!H$20*RES!$V81/(1-RES!$V$79)+RES!AC$29</f>
        <v>0.33251306433609829</v>
      </c>
      <c r="AD81" s="50"/>
      <c r="AE81" s="63">
        <f>(IFERROR(IF($N81/(SUMIF(RES!$D$39:$D$145,$D81,$N$39:$N$145))=1,1,($N81/(SUMIF(RES!$D$39:$D$145,$D81,$N$39:$N$145)))),0))-AE$29</f>
        <v>0.41274631267345152</v>
      </c>
      <c r="AF81" s="63">
        <f t="shared" si="60"/>
        <v>0.39332296963505392</v>
      </c>
      <c r="AG81" s="63">
        <f t="shared" si="61"/>
        <v>0.37762049331031505</v>
      </c>
      <c r="AH81" s="63">
        <f t="shared" si="62"/>
        <v>0.35591801698557618</v>
      </c>
      <c r="AI81" s="63">
        <f t="shared" si="63"/>
        <v>0.34021554066083726</v>
      </c>
      <c r="AJ81" s="63">
        <f t="shared" si="64"/>
        <v>0.32151306433609828</v>
      </c>
      <c r="AK81" s="63">
        <f t="shared" si="65"/>
        <v>0.32001306433609827</v>
      </c>
      <c r="AL81" s="63">
        <f t="shared" si="66"/>
        <v>0.31751306433609827</v>
      </c>
      <c r="AO81" s="250" t="s">
        <v>110</v>
      </c>
      <c r="AP81" s="497">
        <f t="shared" si="59"/>
        <v>0.26</v>
      </c>
    </row>
    <row r="82" spans="1:56" ht="15" hidden="1" outlineLevel="1">
      <c r="A82" s="108" t="s">
        <v>992</v>
      </c>
      <c r="B82" s="30" t="s">
        <v>390</v>
      </c>
      <c r="C82" s="43" t="s">
        <v>240</v>
      </c>
      <c r="D82" s="43" t="s">
        <v>256</v>
      </c>
      <c r="E82" s="487">
        <v>0.11</v>
      </c>
      <c r="F82" s="559">
        <v>1</v>
      </c>
      <c r="G82" s="559">
        <v>1</v>
      </c>
      <c r="H82" s="559">
        <f t="shared" si="58"/>
        <v>0.18229543813022031</v>
      </c>
      <c r="I82" s="578">
        <v>1E-3</v>
      </c>
      <c r="J82" s="487">
        <v>0</v>
      </c>
      <c r="K82" s="48"/>
      <c r="L82" s="486">
        <v>1</v>
      </c>
      <c r="M82" s="486">
        <f>IF(C82="","",SUMIFS(Energy_Balance!I$55:I$160,Energy_Balance!$C$55:$C$160,C82,Energy_Balance!$D$55:$D$160,D82)*L82)</f>
        <v>1.6572312557292754</v>
      </c>
      <c r="N82" s="486">
        <f t="shared" si="16"/>
        <v>0.18229543813022031</v>
      </c>
      <c r="O82" s="25"/>
      <c r="P82" s="605">
        <f>E82</f>
        <v>0.11</v>
      </c>
      <c r="Q82" s="361">
        <f>IF($AO82="","",($S82-$P82)*1/3+$P82)</f>
        <v>0.11</v>
      </c>
      <c r="R82" s="361">
        <f>IF($AO82="","",($S82-$P82)*2/3+$P82)</f>
        <v>0.11</v>
      </c>
      <c r="S82" s="361">
        <f>IF($AO82="","",IF($AO82="*",$AP82*(1+$P$29),E82))</f>
        <v>0.11</v>
      </c>
      <c r="T82" s="204"/>
      <c r="U82" s="50"/>
      <c r="V82" s="63">
        <f>IF((IFERROR(IF(N82/(SUMIF(RES!$D$39:$D$145,D82,$N$39:$N$145))=1,1,(N82/(SUMIF(RES!$D$39:$D$145,D82,$N$39:$N$145))+$V$29)),0))&lt;1,(IFERROR(IF(N82/(SUMIF(RES!$D$39:$D$145,D82,$N$39:$N$145))=1,1,(N82/(SUMIF(RES!$D$39:$D$145,D82,$N$39:$N$145))+$V$29)),0)),1)</f>
        <v>1.8076275613037953E-2</v>
      </c>
      <c r="W82" s="63">
        <f>$V82-$V$79*'Census 2011_17'!B$20*RES!$V82/(1-RES!$V$79)+RES!W$29</f>
        <v>2.2179842338408955E-2</v>
      </c>
      <c r="X82" s="63">
        <f>$V82-$V$79*'Census 2011_17'!C$20*RES!$V82/(1-RES!$V$79)+RES!X$29</f>
        <v>1.9515817690535626E-2</v>
      </c>
      <c r="Y82" s="63">
        <f>$V82-$V$79*'Census 2011_17'!D$20*RES!$V82/(1-RES!$V$79)+RES!Y$29</f>
        <v>1.8851793042662296E-2</v>
      </c>
      <c r="Z82" s="63">
        <f>$V82-$V$79*'Census 2011_17'!E$20*RES!$V82/(1-RES!$V$79)+RES!Z$29</f>
        <v>1.7687768394788965E-2</v>
      </c>
      <c r="AA82" s="63">
        <f>$V82-$V$79*'Census 2011_17'!F$20*RES!$V82/(1-RES!$V$79)+RES!AA$29</f>
        <v>1.4523743746915634E-2</v>
      </c>
      <c r="AB82" s="63">
        <f>$V82-$V$79*'Census 2011_17'!G$20*RES!$V82/(1-RES!$V$79)+RES!AB$29</f>
        <v>1.4523743746915634E-2</v>
      </c>
      <c r="AC82" s="63">
        <f>$V82-$V$79*'Census 2011_17'!H$20*RES!$V82/(1-RES!$V$79)+RES!AC$29</f>
        <v>1.4523743746915634E-2</v>
      </c>
      <c r="AD82" s="50"/>
      <c r="AE82" s="63">
        <f>(IFERROR(IF($N82/(SUMIF(RES!$D$39:$D$145,$D82,$N$39:$N$145))=1,1,($N82/(SUMIF(RES!$D$39:$D$145,$D82,$N$39:$N$145)))),0))-AE$29</f>
        <v>1.6976275613037953E-2</v>
      </c>
      <c r="AF82" s="63">
        <f t="shared" si="60"/>
        <v>1.7179842338408954E-2</v>
      </c>
      <c r="AG82" s="63">
        <f t="shared" si="61"/>
        <v>1.6015817690535627E-2</v>
      </c>
      <c r="AH82" s="63">
        <f t="shared" si="62"/>
        <v>8.8517930426622957E-3</v>
      </c>
      <c r="AI82" s="63">
        <f t="shared" si="63"/>
        <v>7.6877683947889647E-3</v>
      </c>
      <c r="AJ82" s="63">
        <f t="shared" si="64"/>
        <v>3.5237437469156346E-3</v>
      </c>
      <c r="AK82" s="63">
        <f t="shared" si="65"/>
        <v>2.0237437469156332E-3</v>
      </c>
      <c r="AL82" s="63">
        <f t="shared" si="66"/>
        <v>0</v>
      </c>
      <c r="AO82" s="250" t="s">
        <v>110</v>
      </c>
      <c r="AP82" s="497">
        <f t="shared" si="59"/>
        <v>0.11</v>
      </c>
    </row>
    <row r="83" spans="1:56" s="166" customFormat="1" ht="15" hidden="1" outlineLevel="1">
      <c r="A83" s="108" t="s">
        <v>993</v>
      </c>
      <c r="B83" s="30" t="s">
        <v>352</v>
      </c>
      <c r="C83" s="43" t="s">
        <v>238</v>
      </c>
      <c r="D83" s="43" t="s">
        <v>256</v>
      </c>
      <c r="E83" s="487">
        <v>0.44</v>
      </c>
      <c r="F83" s="559">
        <v>1</v>
      </c>
      <c r="G83" s="559">
        <v>1</v>
      </c>
      <c r="H83" s="559">
        <f t="shared" si="58"/>
        <v>9.0707822108707314E-2</v>
      </c>
      <c r="I83" s="578">
        <v>1E-3</v>
      </c>
      <c r="J83" s="487">
        <v>0</v>
      </c>
      <c r="K83" s="48"/>
      <c r="L83" s="486">
        <v>1</v>
      </c>
      <c r="M83" s="486">
        <f>IF(C83="","",SUMIFS(Energy_Balance!I$55:I$160,Energy_Balance!$C$55:$C$160,C83,Energy_Balance!$D$55:$D$160,D83)*L83)</f>
        <v>0.20615414115615299</v>
      </c>
      <c r="N83" s="486">
        <f t="shared" si="16"/>
        <v>9.0707822108707314E-2</v>
      </c>
      <c r="O83" s="25"/>
      <c r="P83" s="605">
        <f>E83</f>
        <v>0.44</v>
      </c>
      <c r="Q83" s="361">
        <f>IF($AO83="","",($S83-$P83)*1/3+$P83)</f>
        <v>0.44</v>
      </c>
      <c r="R83" s="361">
        <f>IF($AO83="","",($S83-$P83)*2/3+$P83)</f>
        <v>0.44</v>
      </c>
      <c r="S83" s="361">
        <f>IF($AO83="","",IF($AO83="*",$AP83*(1+$P$29),E83))</f>
        <v>0.44</v>
      </c>
      <c r="T83" s="204"/>
      <c r="U83" s="63"/>
      <c r="V83" s="63">
        <f>IF((IFERROR(IF(N83/(SUMIF(RES!$D$39:$D$145,D83,$N$39:$N$145))=1,1,(N83/(SUMIF(RES!$D$39:$D$145,D83,$N$39:$N$145))+$V$29)),0))&lt;1,(IFERROR(IF(N83/(SUMIF(RES!$D$39:$D$145,D83,$N$39:$N$145))=1,1,(N83/(SUMIF(RES!$D$39:$D$145,D83,$N$39:$N$145))+$V$29)),0)),1)</f>
        <v>9.4969310613260138E-3</v>
      </c>
      <c r="W83" s="63">
        <f>$V83-$V$79*'Census 2011_17'!B$20*RES!$V83/(1-RES!$V$79)+RES!W$29</f>
        <v>1.402596208561014E-2</v>
      </c>
      <c r="X83" s="63">
        <f>$V83-$V$79*'Census 2011_17'!C$20*RES!$V83/(1-RES!$V$79)+RES!X$29</f>
        <v>1.1677096177672455E-2</v>
      </c>
      <c r="Y83" s="63">
        <f>$V83-$V$79*'Census 2011_17'!D$20*RES!$V83/(1-RES!$V$79)+RES!Y$29</f>
        <v>1.1328230269734771E-2</v>
      </c>
      <c r="Z83" s="63">
        <f>$V83-$V$79*'Census 2011_17'!E$20*RES!$V83/(1-RES!$V$79)+RES!Z$29</f>
        <v>1.0479364361797089E-2</v>
      </c>
      <c r="AA83" s="63">
        <f>$V83-$V$79*'Census 2011_17'!F$20*RES!$V83/(1-RES!$V$79)+RES!AA$29</f>
        <v>7.6304984538594044E-3</v>
      </c>
      <c r="AB83" s="63">
        <f>$V83-$V$79*'Census 2011_17'!G$20*RES!$V83/(1-RES!$V$79)+RES!AB$29</f>
        <v>7.6304984538594044E-3</v>
      </c>
      <c r="AC83" s="63">
        <f>$V83-$V$79*'Census 2011_17'!H$20*RES!$V83/(1-RES!$V$79)+RES!AC$29</f>
        <v>7.6304984538594044E-3</v>
      </c>
      <c r="AD83" s="63"/>
      <c r="AE83" s="63">
        <f>(IFERROR(IF($N83/(SUMIF(RES!$D$39:$D$145,$D83,$N$39:$N$145))=1,1,($N83/(SUMIF(RES!$D$39:$D$145,$D83,$N$39:$N$145)))),0))-AE$29</f>
        <v>8.3969310613260136E-3</v>
      </c>
      <c r="AF83" s="63">
        <f t="shared" si="60"/>
        <v>9.025962085610139E-3</v>
      </c>
      <c r="AG83" s="63">
        <f t="shared" si="61"/>
        <v>8.1770961776724549E-3</v>
      </c>
      <c r="AH83" s="63">
        <f t="shared" si="62"/>
        <v>1.3282302697347707E-3</v>
      </c>
      <c r="AI83" s="63">
        <f t="shared" si="63"/>
        <v>4.793643617970883E-4</v>
      </c>
      <c r="AJ83" s="63">
        <f t="shared" si="64"/>
        <v>0</v>
      </c>
      <c r="AK83" s="63">
        <f t="shared" si="65"/>
        <v>0</v>
      </c>
      <c r="AL83" s="63">
        <f t="shared" si="66"/>
        <v>0</v>
      </c>
      <c r="AM83"/>
      <c r="AN83"/>
      <c r="AO83" s="170" t="s">
        <v>507</v>
      </c>
      <c r="AP83" s="497">
        <f t="shared" si="59"/>
        <v>0.44</v>
      </c>
      <c r="AQ83"/>
      <c r="AR83"/>
      <c r="AS83"/>
      <c r="AT83"/>
      <c r="AU83"/>
      <c r="AV83"/>
      <c r="AW83"/>
      <c r="AX83"/>
      <c r="AY83"/>
      <c r="AZ83"/>
      <c r="BA83"/>
      <c r="BB83"/>
      <c r="BC83"/>
      <c r="BD83"/>
    </row>
    <row r="84" spans="1:56" ht="15" hidden="1" outlineLevel="1">
      <c r="A84" s="108" t="s">
        <v>994</v>
      </c>
      <c r="B84" s="30" t="s">
        <v>353</v>
      </c>
      <c r="C84" s="43" t="s">
        <v>168</v>
      </c>
      <c r="D84" s="43" t="s">
        <v>256</v>
      </c>
      <c r="E84" s="487">
        <v>0.9</v>
      </c>
      <c r="F84" s="559">
        <v>1</v>
      </c>
      <c r="G84" s="559">
        <v>1</v>
      </c>
      <c r="H84" s="559">
        <f t="shared" si="58"/>
        <v>0</v>
      </c>
      <c r="I84" s="578">
        <v>1E-3</v>
      </c>
      <c r="J84" s="487">
        <v>0</v>
      </c>
      <c r="K84" s="48"/>
      <c r="L84" s="486">
        <v>1</v>
      </c>
      <c r="M84" s="486">
        <f>IF(C84="","",SUMIFS(Energy_Balance!I$55:I$160,Energy_Balance!$C$55:$C$160,C84,Energy_Balance!$D$55:$D$160,D84)*L84)</f>
        <v>0</v>
      </c>
      <c r="N84" s="486">
        <f t="shared" si="16"/>
        <v>0</v>
      </c>
      <c r="O84" s="25"/>
      <c r="P84" s="605">
        <f>E84</f>
        <v>0.9</v>
      </c>
      <c r="Q84" s="361">
        <f>IF($AO84="","",($S84-$P84)*1/3+$P84)</f>
        <v>0.9</v>
      </c>
      <c r="R84" s="361">
        <f>IF($AO84="","",($S84-$P84)*2/3+$P84)</f>
        <v>0.9</v>
      </c>
      <c r="S84" s="361">
        <f>IF($AO84="","",IF($AO84="*",$AP84*(1+$P$29),E84))</f>
        <v>0.9</v>
      </c>
      <c r="T84" s="204"/>
      <c r="U84" s="50"/>
      <c r="V84" s="63">
        <f>IF((IFERROR(IF(N84/(SUMIF(RES!$D$39:$D$145,D84,$N$39:$N$145))=1,1,(N84/(SUMIF(RES!$D$39:$D$145,D84,$N$39:$N$145))+$V$29)),0))&lt;1,(IFERROR(IF(N84/(SUMIF(RES!$D$39:$D$145,D84,$N$39:$N$145))=1,1,(N84/(SUMIF(RES!$D$39:$D$145,D84,$N$39:$N$145))+$V$29)),0)),1)</f>
        <v>1E-3</v>
      </c>
      <c r="W84" s="63">
        <f>IF($V84*(1+'Census 2011_17'!B$20)+W$28&lt;1,$V84*(1+'Census 2011_17'!B$20)+W$28,1)</f>
        <v>2.0440456769983688E-3</v>
      </c>
      <c r="X84" s="63">
        <f>IF($V84*(1+'Census 2011_17'!C$20)+X$28&lt;1,$V84*(1+'Census 2011_17'!C$20)+X$28,1)</f>
        <v>3.5766721044045678E-3</v>
      </c>
      <c r="Y84" s="63">
        <f>IF($V84*(1+'Census 2011_17'!D$20)+Y$28&lt;1,$V84*(1+'Census 2011_17'!D$20)+Y$28,1)</f>
        <v>4.1092985318107664E-3</v>
      </c>
      <c r="Z84" s="63">
        <f>IF($V84*(1+'Census 2011_17'!E$20)+Z$28&lt;1,$V84*(1+'Census 2011_17'!E$20)+Z$28,1)</f>
        <v>2.1141924959216966E-2</v>
      </c>
      <c r="AA84" s="63">
        <f>IF($V84*(1+'Census 2011_17'!F$20)+AA$28&lt;1,$V84*(1+'Census 2011_17'!F$20)+AA$28,1)</f>
        <v>4.1174551386623168E-2</v>
      </c>
      <c r="AB84" s="63">
        <f>IF($V84*(1+'Census 2011_17'!G$20)+AB$28&lt;1,$V84*(1+'Census 2011_17'!G$20)+AB$28,1)</f>
        <v>8.1174551386623162E-2</v>
      </c>
      <c r="AC84" s="63">
        <f>IF($V84*(1+'Census 2011_17'!H$20)+AC$28&lt;1,$V84*(1+'Census 2011_17'!H$20)+AC$28,1)</f>
        <v>0.16117455138662318</v>
      </c>
      <c r="AD84" s="50"/>
      <c r="AE84" s="63">
        <f>(IFERROR(IF($N84/(SUMIF(RES!$D$39:$D$145,$D84,$N$39:$N$145))=1,1,IF(($N84/(SUMIF(RES!$D$39:$D$145,$D84,$N$39:$N$145))-AE$28)&lt;0,0,$N84/(SUMIF(RES!$D$39:$D$145,$D84,$N$39:$N$145))-AE$28)),0))</f>
        <v>0</v>
      </c>
      <c r="AF84" s="63">
        <f>(IFERROR(IF($N84/(SUMIF(RES!$D$39:$D$145,$D84,$N$39:$N$145))=1,1,IF(($N84/(SUMIF(RES!$D$39:$D$145,$D84,$N$39:$N$145))-AF$28)&lt;0,0,$N84/(SUMIF(RES!$D$39:$D$145,$D84,$N$39:$N$145))-AF$28)),0))</f>
        <v>0</v>
      </c>
      <c r="AG84" s="63">
        <f>(IFERROR(IF($N84/(SUMIF(RES!$D$39:$D$145,$D84,$N$39:$N$145))=1,1,IF(($N84/(SUMIF(RES!$D$39:$D$145,$D84,$N$39:$N$145))-AG$28)&lt;0,0,$N84/(SUMIF(RES!$D$39:$D$145,$D84,$N$39:$N$145))-AG$28)),0))</f>
        <v>0</v>
      </c>
      <c r="AH84" s="63">
        <f>(IFERROR(IF($N84/(SUMIF(RES!$D$39:$D$145,$D84,$N$39:$N$145))=1,1,IF(($N84/(SUMIF(RES!$D$39:$D$145,$D84,$N$39:$N$145))-AH$28)&lt;0,0,$N84/(SUMIF(RES!$D$39:$D$145,$D84,$N$39:$N$145))-AH$28)),0))</f>
        <v>0</v>
      </c>
      <c r="AI84" s="63">
        <f>(IFERROR(IF($N84/(SUMIF(RES!$D$39:$D$145,$D84,$N$39:$N$145))=1,1,IF(($N84/(SUMIF(RES!$D$39:$D$145,$D84,$N$39:$N$145))-AI$28)&lt;0,0,$N84/(SUMIF(RES!$D$39:$D$145,$D84,$N$39:$N$145))-AI$28)),0))</f>
        <v>0</v>
      </c>
      <c r="AJ84" s="63">
        <f>(IFERROR(IF($N84/(SUMIF(RES!$D$39:$D$145,$D84,$N$39:$N$145))=1,1,IF(($N84/(SUMIF(RES!$D$39:$D$145,$D84,$N$39:$N$145))-AJ$28)&lt;0,0,$N84/(SUMIF(RES!$D$39:$D$145,$D84,$N$39:$N$145))-AJ$28)),0))</f>
        <v>0</v>
      </c>
      <c r="AK84" s="63">
        <f>(IFERROR(IF($N84/(SUMIF(RES!$D$39:$D$145,$D84,$N$39:$N$145))=1,1,IF(($N84/(SUMIF(RES!$D$39:$D$145,$D84,$N$39:$N$145))-AK$28)&lt;0,0,$N84/(SUMIF(RES!$D$39:$D$145,$D84,$N$39:$N$145))-AK$28)),0))</f>
        <v>0</v>
      </c>
      <c r="AL84" s="63">
        <f>(IFERROR(IF($N84/(SUMIF(RES!$D$39:$D$145,$D84,$N$39:$N$145))=1,1,IF(($N84/(SUMIF(RES!$D$39:$D$145,$D84,$N$39:$N$145))-AL$28)&lt;0,0,$N84/(SUMIF(RES!$D$39:$D$145,$D84,$N$39:$N$145))-AL$28)),0))</f>
        <v>0</v>
      </c>
      <c r="AO84" s="21" t="s">
        <v>507</v>
      </c>
      <c r="AP84" s="497">
        <f t="shared" si="59"/>
        <v>0.9</v>
      </c>
    </row>
    <row r="85" spans="1:56" s="192" customFormat="1" ht="15" hidden="1" outlineLevel="1">
      <c r="A85" s="526" t="s">
        <v>955</v>
      </c>
      <c r="B85" s="527"/>
      <c r="C85" s="528"/>
      <c r="D85" s="528"/>
      <c r="E85" s="529" t="str">
        <f>IF(D85="","",IF(COUNTIF(#REF!,$B85)=1,SUMIF(#REF!,RES!B85,#REF!),SUMIF(#REF!,RES!$B85,#REF!)))</f>
        <v/>
      </c>
      <c r="F85" s="529"/>
      <c r="G85" s="529"/>
      <c r="H85" s="529"/>
      <c r="I85" s="579"/>
      <c r="J85" s="529"/>
      <c r="K85" s="530"/>
      <c r="L85" s="531"/>
      <c r="M85" s="531">
        <f>SUM(M79:M84)</f>
        <v>28.073174497534239</v>
      </c>
      <c r="N85" s="531">
        <f>SUM(N79:N84)</f>
        <v>10.675362840304325</v>
      </c>
      <c r="O85" s="193"/>
      <c r="P85" s="532"/>
      <c r="Q85" s="532" t="str">
        <f>IF($AO85="","",($R85-$AP85)*15/25+$AP85)</f>
        <v/>
      </c>
      <c r="R85" s="532" t="str">
        <f>IF($AO85="","",IF($AO85="*",$AP85*(1+$P$29),E85))</f>
        <v/>
      </c>
      <c r="S85" s="532" t="str">
        <f>IF(G85="","",IF(COUNTIF(#REF!,$B85)=1,SUMIF(#REF!,RES!$B85,#REF!),SUMIF(#REF!,RES!$B85,#REF!)))</f>
        <v/>
      </c>
      <c r="T85" s="533"/>
      <c r="U85" s="534"/>
      <c r="V85" s="535">
        <f>SUM(V79:V84)</f>
        <v>1.006</v>
      </c>
      <c r="W85" s="535">
        <f t="shared" ref="W85:AC85" si="67">SUM(W79:W84)</f>
        <v>1.0277960871666785</v>
      </c>
      <c r="X85" s="535">
        <f t="shared" si="67"/>
        <v>1.0226450406234768</v>
      </c>
      <c r="Y85" s="535">
        <f>SUM(Y79:Y84)</f>
        <v>1.0234939940802759</v>
      </c>
      <c r="Z85" s="535">
        <f t="shared" si="67"/>
        <v>1.0553429475370746</v>
      </c>
      <c r="AA85" s="535">
        <f t="shared" si="67"/>
        <v>1.0851919009938729</v>
      </c>
      <c r="AB85" s="535">
        <f t="shared" si="67"/>
        <v>1.1651919009938727</v>
      </c>
      <c r="AC85" s="535">
        <f t="shared" si="67"/>
        <v>1.3251919009938729</v>
      </c>
      <c r="AD85" s="534"/>
      <c r="AE85" s="535">
        <f>SUM(AE79:AE84)</f>
        <v>0.99950000000000006</v>
      </c>
      <c r="AF85" s="535">
        <f t="shared" ref="AF85:AL85" si="68">SUM(AF79:AF84)</f>
        <v>0.99860359124498166</v>
      </c>
      <c r="AG85" s="535">
        <f t="shared" si="68"/>
        <v>0.99788402920422759</v>
      </c>
      <c r="AH85" s="535">
        <f t="shared" si="68"/>
        <v>0.9716644671634731</v>
      </c>
      <c r="AI85" s="535">
        <f t="shared" si="68"/>
        <v>0.97044490512271897</v>
      </c>
      <c r="AJ85" s="535">
        <f t="shared" si="68"/>
        <v>0.95959484462810507</v>
      </c>
      <c r="AK85" s="535">
        <f t="shared" si="68"/>
        <v>0.95509484462810501</v>
      </c>
      <c r="AL85" s="535">
        <f t="shared" si="68"/>
        <v>0.9480711008811894</v>
      </c>
      <c r="AO85" s="536"/>
    </row>
    <row r="86" spans="1:56" s="233" customFormat="1" ht="15" hidden="1">
      <c r="A86" s="539" t="s">
        <v>995</v>
      </c>
      <c r="B86" s="540" t="s">
        <v>328</v>
      </c>
      <c r="C86" s="549"/>
      <c r="D86" s="549"/>
      <c r="E86" s="551" t="str">
        <f>IF(D86="","",IF(COUNTIF(#REF!,$B86)=1,SUMIF(#REF!,RES!B86,#REF!),SUMIF(#REF!,RES!$B86,#REF!)))</f>
        <v/>
      </c>
      <c r="F86" s="551"/>
      <c r="G86" s="551"/>
      <c r="H86" s="551"/>
      <c r="I86" s="580"/>
      <c r="J86" s="551"/>
      <c r="K86" s="541"/>
      <c r="L86" s="553"/>
      <c r="M86" s="553"/>
      <c r="N86" s="553"/>
      <c r="O86" s="546"/>
      <c r="P86" s="554"/>
      <c r="Q86" s="554" t="str">
        <f>IF($AO86="","",($R86-$AP86)*15/25+$AP86)</f>
        <v/>
      </c>
      <c r="R86" s="554" t="str">
        <f>IF($AO86="","",IF($AO86="*",$AP86*(1+$P$29),E86))</f>
        <v/>
      </c>
      <c r="S86" s="554" t="str">
        <f>IF(G86="","",IF(COUNTIF(#REF!,$B86)=1,SUMIF(#REF!,RES!$B86,#REF!),SUMIF(#REF!,RES!$B86,#REF!)))</f>
        <v/>
      </c>
      <c r="T86" s="555"/>
      <c r="U86" s="556"/>
      <c r="V86" s="556"/>
      <c r="W86" s="556"/>
      <c r="X86" s="556"/>
      <c r="Y86" s="556"/>
      <c r="Z86" s="556"/>
      <c r="AA86" s="556"/>
      <c r="AB86" s="556"/>
      <c r="AC86" s="556"/>
      <c r="AD86" s="556"/>
      <c r="AE86" s="598"/>
      <c r="AF86" s="556"/>
      <c r="AG86" s="556"/>
      <c r="AH86" s="556"/>
      <c r="AI86" s="556"/>
      <c r="AJ86" s="556"/>
      <c r="AK86" s="556"/>
      <c r="AL86" s="556"/>
      <c r="AO86" s="548"/>
    </row>
    <row r="87" spans="1:56" s="166" customFormat="1" ht="15" outlineLevel="1">
      <c r="A87" s="108" t="s">
        <v>996</v>
      </c>
      <c r="B87" s="30" t="s">
        <v>354</v>
      </c>
      <c r="C87" s="43" t="s">
        <v>236</v>
      </c>
      <c r="D87" s="43" t="s">
        <v>257</v>
      </c>
      <c r="E87" s="495">
        <f>INDEX('Electrical efficiency'!$L$8:$L$23,MATCH(RES!D87,'Electrical efficiency'!$K$8:$K$23,0))</f>
        <v>0.94750000000000012</v>
      </c>
      <c r="F87" s="559">
        <v>1</v>
      </c>
      <c r="G87" s="559">
        <v>1</v>
      </c>
      <c r="H87" s="559">
        <f t="shared" ref="H87:H92" si="69">N87/F87*(1+$D$31)</f>
        <v>2.5919919594643832</v>
      </c>
      <c r="I87" s="578">
        <v>1E-3</v>
      </c>
      <c r="J87" s="487">
        <v>0</v>
      </c>
      <c r="K87" s="48" t="s">
        <v>912</v>
      </c>
      <c r="L87" s="486">
        <v>1</v>
      </c>
      <c r="M87" s="486">
        <f>IF(C87="","",SUMIFS(Energy_Balance!I$55:I$160,Energy_Balance!$C$55:$C$160,C87,Energy_Balance!$D$55:$D$160,D87)*L87)</f>
        <v>3.5506739170744979</v>
      </c>
      <c r="N87" s="486">
        <f>E88*M87</f>
        <v>2.5919919594643832</v>
      </c>
      <c r="O87" s="25"/>
      <c r="P87" s="605">
        <f>INDEX('Electrical efficiency'!$M$8:$M$23,MATCH(RES!D87,'Electrical efficiency'!$K$8:$K$23,0))</f>
        <v>0.94750000000000012</v>
      </c>
      <c r="Q87" s="361">
        <f>INDEX('Electrical efficiency'!$N$8:$N$23,MATCH(RES!D87,'Electrical efficiency'!$K$8:$K$23,0))</f>
        <v>0.94750000000000012</v>
      </c>
      <c r="R87" s="361">
        <f>INDEX('Electrical efficiency'!$O$8:$O$23,MATCH(RES!D87,'Electrical efficiency'!$K$8:$K$23,0))</f>
        <v>0.94750000000000012</v>
      </c>
      <c r="S87" s="361">
        <f>INDEX('Electrical efficiency'!$P$8:$P$23,MATCH(RES!D87,'Electrical efficiency'!$K$8:$K$23,0))</f>
        <v>0.94750000000000012</v>
      </c>
      <c r="T87" s="204"/>
      <c r="U87" s="50"/>
      <c r="V87" s="63">
        <f>(IFERROR(IF(N87/(SUMIF(RES!$D$39:$D$145,D87,$N$39:$N$145))=1,1,(N87/(SUMIF(RES!$D$39:$D$145,D87,$N$39:$N$145))+$V$28)),0))</f>
        <v>0.23960218309868969</v>
      </c>
      <c r="W87" s="63">
        <f>IF($V87*(1+'Census 2011_17'!B$20)+W$28&lt;1,$V87*(1+'Census 2011_17'!B$20)+W$28,1)</f>
        <v>0.25115562346355857</v>
      </c>
      <c r="X87" s="63">
        <f>IF($V87*(1+'Census 2011_17'!C$20)+X$28&lt;1,$V87*(1+'Census 2011_17'!C$20)+X$28,1)</f>
        <v>0.26047298669679481</v>
      </c>
      <c r="Y87" s="63">
        <f>IF($V87*(1+'Census 2011_17'!D$20)+Y$28&lt;1,$V87*(1+'Census 2011_17'!D$20)+Y$28,1)</f>
        <v>0.26879034993003098</v>
      </c>
      <c r="Z87" s="63">
        <f>IF($V87*(1+'Census 2011_17'!E$20)+Z$28&lt;1,$V87*(1+'Census 2011_17'!E$20)+Z$28,1)</f>
        <v>0.29360771316326723</v>
      </c>
      <c r="AA87" s="63">
        <f>IF($V87*(1+'Census 2011_17'!F$20)+AA$28&lt;1,$V87*(1+'Census 2011_17'!F$20)+AA$28,1)</f>
        <v>0.32142507639650336</v>
      </c>
      <c r="AB87" s="63">
        <f>IF($V87*(1+'Census 2011_17'!G$20)+AB$28&lt;1,$V87*(1+'Census 2011_17'!G$20)+AB$28,1)</f>
        <v>0.3614250763965034</v>
      </c>
      <c r="AC87" s="63">
        <f>IF($V87*(1+'Census 2011_17'!H$20)+AC$28&lt;1,$V87*(1+'Census 2011_17'!H$20)+AC$28,1)</f>
        <v>0.44142507639650341</v>
      </c>
      <c r="AD87" s="50"/>
      <c r="AE87" s="63">
        <f>(IFERROR(IF($N87/(SUMIF(RES!$D$39:$D$145,$D87,$N$39:$N$145))=1,1,($N87/(SUMIF(RES!$D$39:$D$145,$D87,$N$39:$N$145))-AE$28)),0))</f>
        <v>0.2385021830986897</v>
      </c>
      <c r="AF87" s="63">
        <f>$AE87*(1+'Census 2011_17'!B$20)-AF$28</f>
        <v>0.2440071732188604</v>
      </c>
      <c r="AG87" s="63">
        <f>$AE87*(1+'Census 2011_17'!C$20)-AG$28</f>
        <v>0.25328864738194978</v>
      </c>
      <c r="AH87" s="63">
        <f>$AE87*(1+'Census 2011_17'!D$20)-AH$28</f>
        <v>0.26107012154503911</v>
      </c>
      <c r="AI87" s="63">
        <f>$AE87*(1+'Census 2011_17'!E$20)-AI$28</f>
        <v>0.26985159570812856</v>
      </c>
      <c r="AJ87" s="63">
        <f>$AE87*(1+'Census 2011_17'!F$20)-AJ$28</f>
        <v>0.27763306987121789</v>
      </c>
      <c r="AK87" s="63">
        <f>$AE87*(1+'Census 2011_17'!G$20)-AK$28</f>
        <v>0.27763306987121789</v>
      </c>
      <c r="AL87" s="63">
        <f>$AE87*(1+'Census 2011_17'!H$20)-AL$28</f>
        <v>0.27763306987121789</v>
      </c>
      <c r="AM87"/>
      <c r="AN87"/>
      <c r="AO87" s="180" t="s">
        <v>507</v>
      </c>
      <c r="AP87" s="497">
        <f t="shared" ref="AP87:AP92" si="70">E87</f>
        <v>0.94750000000000012</v>
      </c>
      <c r="AQ87"/>
      <c r="AR87"/>
      <c r="AS87"/>
      <c r="AT87"/>
      <c r="AU87"/>
      <c r="AV87"/>
      <c r="AW87"/>
      <c r="AX87"/>
      <c r="AY87"/>
      <c r="AZ87"/>
      <c r="BA87"/>
      <c r="BB87"/>
      <c r="BC87"/>
      <c r="BD87"/>
    </row>
    <row r="88" spans="1:56" ht="15" hidden="1" outlineLevel="1">
      <c r="A88" s="108" t="s">
        <v>997</v>
      </c>
      <c r="B88" s="30" t="s">
        <v>355</v>
      </c>
      <c r="C88" s="43" t="s">
        <v>238</v>
      </c>
      <c r="D88" s="43" t="s">
        <v>257</v>
      </c>
      <c r="E88" s="487">
        <v>0.73</v>
      </c>
      <c r="F88" s="559">
        <v>1</v>
      </c>
      <c r="G88" s="559">
        <v>1</v>
      </c>
      <c r="H88" s="559">
        <f t="shared" si="69"/>
        <v>0.44066852061890316</v>
      </c>
      <c r="I88" s="578">
        <v>1E-3</v>
      </c>
      <c r="J88" s="487">
        <v>0</v>
      </c>
      <c r="K88" s="48"/>
      <c r="L88" s="486">
        <v>1</v>
      </c>
      <c r="M88" s="486">
        <f>IF(C88="","",SUMIFS(Energy_Balance!I$55:I$160,Energy_Balance!$C$55:$C$160,C88,Energy_Balance!$D$55:$D$160,D88)*L88)</f>
        <v>0.74689579765915792</v>
      </c>
      <c r="N88" s="486">
        <f>E89*M88</f>
        <v>0.44066852061890316</v>
      </c>
      <c r="O88" s="25"/>
      <c r="P88" s="605">
        <f>E88</f>
        <v>0.73</v>
      </c>
      <c r="Q88" s="361">
        <f>IF($AO88="","",($S88-$P88)*1/3+$P88)</f>
        <v>0.73</v>
      </c>
      <c r="R88" s="361">
        <f>IF($AO88="","",($S88-$P88)*2/3+$P88)</f>
        <v>0.73</v>
      </c>
      <c r="S88" s="361">
        <f>IF($AO88="","",IF($AO88="*",$AP88*(1+$P$29),E88))</f>
        <v>0.73</v>
      </c>
      <c r="T88" s="204"/>
      <c r="U88" s="50"/>
      <c r="V88" s="63">
        <f>IF((IFERROR(IF(N88/(SUMIF(RES!$D$39:$D$145,D88,$N$39:$N$145))=1,1,(N88/(SUMIF(RES!$D$39:$D$145,D88,$N$39:$N$145))+$V$29)),0))&lt;1,(IFERROR(IF(N88/(SUMIF(RES!$D$39:$D$145,D88,$N$39:$N$145))=1,1,(N88/(SUMIF(RES!$D$39:$D$145,D88,$N$39:$N$145))+$V$29)),0)),1)</f>
        <v>4.1565122379572356E-2</v>
      </c>
      <c r="W88" s="63">
        <f>$V88-$V$87*'Census 2011_17'!B$20*RES!$V88/(1-RES!$V$87)+RES!W$29</f>
        <v>4.5988246656705534E-2</v>
      </c>
      <c r="X88" s="63">
        <f>$V88-$V$87*'Census 2011_17'!C$20*RES!$V88/(1-RES!$V$87)+RES!X$29</f>
        <v>4.356093130643382E-2</v>
      </c>
      <c r="Y88" s="63">
        <f>$V88-$V$87*'Census 2011_17'!D$20*RES!$V88/(1-RES!$V$87)+RES!Y$29</f>
        <v>4.3133615956162108E-2</v>
      </c>
      <c r="Z88" s="63">
        <f>$V88-$V$87*'Census 2011_17'!E$20*RES!$V88/(1-RES!$V$87)+RES!Z$29</f>
        <v>4.2206300605890389E-2</v>
      </c>
      <c r="AA88" s="63">
        <f>$V88-$V$87*'Census 2011_17'!F$20*RES!$V88/(1-RES!$V$87)+RES!AA$29</f>
        <v>3.9278985255618667E-2</v>
      </c>
      <c r="AB88" s="63">
        <f>$V88-$V$87*'Census 2011_17'!G$20*RES!$V88/(1-RES!$V$87)+RES!AB$29</f>
        <v>3.9278985255618667E-2</v>
      </c>
      <c r="AC88" s="63">
        <f>$V88-$V$87*'Census 2011_17'!H$20*RES!$V88/(1-RES!$V$87)+RES!AC$29</f>
        <v>3.9278985255618667E-2</v>
      </c>
      <c r="AD88" s="50"/>
      <c r="AE88" s="63">
        <f>(IFERROR(IF($N88/(SUMIF(RES!$D$39:$D$145,$D88,$N$39:$N$145))=1,1,($N88/(SUMIF(RES!$D$39:$D$145,$D88,$N$39:$N$145)))),0))-AE$29</f>
        <v>4.0465122379572352E-2</v>
      </c>
      <c r="AF88" s="63">
        <f t="shared" ref="AF88:AF90" si="71">IF(W88-AF$29&lt;0,0,W88-AF$29)</f>
        <v>4.0988246656705536E-2</v>
      </c>
      <c r="AG88" s="63">
        <f t="shared" ref="AG88:AG90" si="72">IF(X88-AG$29&lt;0,0,X88-AG$29)</f>
        <v>4.0060931306433817E-2</v>
      </c>
      <c r="AH88" s="63">
        <f t="shared" ref="AH88:AH90" si="73">IF(Y88-AH$29&lt;0,0,Y88-AH$29)</f>
        <v>3.3133615956162106E-2</v>
      </c>
      <c r="AI88" s="63">
        <f t="shared" ref="AI88:AI90" si="74">IF(Z88-AI$29&lt;0,0,Z88-AI$29)</f>
        <v>3.2206300605890387E-2</v>
      </c>
      <c r="AJ88" s="63">
        <f t="shared" ref="AJ88:AJ90" si="75">IF(AA88-AJ$29&lt;0,0,AA88-AJ$29)</f>
        <v>2.8278985255618668E-2</v>
      </c>
      <c r="AK88" s="63">
        <f t="shared" ref="AK88:AK90" si="76">IF(AB88-AK$29&lt;0,0,AB88-AK$29)</f>
        <v>2.6778985255618667E-2</v>
      </c>
      <c r="AL88" s="63">
        <f t="shared" ref="AL88:AL90" si="77">IF(AC88-AL$29&lt;0,0,AC88-AL$29)</f>
        <v>2.4278985255618668E-2</v>
      </c>
      <c r="AO88" s="180" t="s">
        <v>507</v>
      </c>
      <c r="AP88" s="497">
        <f t="shared" si="70"/>
        <v>0.73</v>
      </c>
    </row>
    <row r="89" spans="1:56" ht="15" hidden="1" outlineLevel="1">
      <c r="A89" s="108" t="s">
        <v>998</v>
      </c>
      <c r="B89" s="30" t="s">
        <v>356</v>
      </c>
      <c r="C89" s="43" t="s">
        <v>239</v>
      </c>
      <c r="D89" s="43" t="s">
        <v>257</v>
      </c>
      <c r="E89" s="487">
        <v>0.59</v>
      </c>
      <c r="F89" s="559">
        <v>1</v>
      </c>
      <c r="G89" s="559">
        <v>1</v>
      </c>
      <c r="H89" s="559">
        <f t="shared" si="69"/>
        <v>3.0392353351358481</v>
      </c>
      <c r="I89" s="578">
        <v>1E-3</v>
      </c>
      <c r="J89" s="487">
        <v>0</v>
      </c>
      <c r="K89" s="48"/>
      <c r="L89" s="486">
        <v>1</v>
      </c>
      <c r="M89" s="486">
        <f>IF(C89="","",SUMIFS(Energy_Balance!I$55:I$160,Energy_Balance!$C$55:$C$160,C89,Energy_Balance!$D$55:$D$160,D89)*L89)</f>
        <v>5.1512463307387257</v>
      </c>
      <c r="N89" s="486">
        <f>E90*M89</f>
        <v>3.0392353351358481</v>
      </c>
      <c r="O89" s="25"/>
      <c r="P89" s="605">
        <f>E89</f>
        <v>0.59</v>
      </c>
      <c r="Q89" s="361">
        <f>IF($AO89="","",($S89-$P89)*1/3+$P89)</f>
        <v>0.59</v>
      </c>
      <c r="R89" s="361">
        <f>IF($AO89="","",($S89-$P89)*2/3+$P89)</f>
        <v>0.59</v>
      </c>
      <c r="S89" s="361">
        <f>IF($AO89="","",IF($AO89="*",$AP89*(1+$P$29),E89))</f>
        <v>0.59</v>
      </c>
      <c r="T89" s="204"/>
      <c r="U89" s="50"/>
      <c r="V89" s="63">
        <f>IF((IFERROR(IF(N89/(SUMIF(RES!$D$39:$D$145,D89,$N$39:$N$145))=1,1,(N89/(SUMIF(RES!$D$39:$D$145,D89,$N$39:$N$145))+$V$29)),0))&lt;1,(IFERROR(IF(N89/(SUMIF(RES!$D$39:$D$145,D89,$N$39:$N$145))=1,1,(N89/(SUMIF(RES!$D$39:$D$145,D89,$N$39:$N$145))+$V$29)),0)),1)</f>
        <v>0.28077254453518524</v>
      </c>
      <c r="W89" s="63">
        <f>$V89-$V$87*'Census 2011_17'!B$20*RES!$V89/(1-RES!$V$87)+RES!W$29</f>
        <v>0.28187574704447238</v>
      </c>
      <c r="X89" s="63">
        <f>$V89-$V$87*'Census 2011_17'!C$20*RES!$V89/(1-RES!$V$87)+RES!X$29</f>
        <v>0.27698923038468509</v>
      </c>
      <c r="Y89" s="63">
        <f>$V89-$V$87*'Census 2011_17'!D$20*RES!$V89/(1-RES!$V$87)+RES!Y$29</f>
        <v>0.27410271372489775</v>
      </c>
      <c r="Z89" s="63">
        <f>$V89-$V$87*'Census 2011_17'!E$20*RES!$V89/(1-RES!$V$87)+RES!Z$29</f>
        <v>0.27071619706511046</v>
      </c>
      <c r="AA89" s="63">
        <f>$V89-$V$87*'Census 2011_17'!F$20*RES!$V89/(1-RES!$V$87)+RES!AA$29</f>
        <v>0.26532968040532312</v>
      </c>
      <c r="AB89" s="63">
        <f>$V89-$V$87*'Census 2011_17'!G$20*RES!$V89/(1-RES!$V$87)+RES!AB$29</f>
        <v>0.26532968040532312</v>
      </c>
      <c r="AC89" s="63">
        <f>$V89-$V$87*'Census 2011_17'!H$20*RES!$V89/(1-RES!$V$87)+RES!AC$29</f>
        <v>0.26532968040532312</v>
      </c>
      <c r="AD89" s="50"/>
      <c r="AE89" s="63">
        <f>(IFERROR(IF($N89/(SUMIF(RES!$D$39:$D$145,$D89,$N$39:$N$145))=1,1,($N89/(SUMIF(RES!$D$39:$D$145,$D89,$N$39:$N$145)))),0))-AE$29</f>
        <v>0.27967254453518525</v>
      </c>
      <c r="AF89" s="63">
        <f t="shared" si="71"/>
        <v>0.27687574704447238</v>
      </c>
      <c r="AG89" s="63">
        <f t="shared" si="72"/>
        <v>0.27348923038468509</v>
      </c>
      <c r="AH89" s="63">
        <f t="shared" si="73"/>
        <v>0.26410271372489774</v>
      </c>
      <c r="AI89" s="63">
        <f t="shared" si="74"/>
        <v>0.26071619706511046</v>
      </c>
      <c r="AJ89" s="63">
        <f t="shared" si="75"/>
        <v>0.25432968040532311</v>
      </c>
      <c r="AK89" s="63">
        <f t="shared" si="76"/>
        <v>0.25282968040532311</v>
      </c>
      <c r="AL89" s="63">
        <f>IF(AC89-AL$29&lt;0,0,AC89-AL$29)</f>
        <v>0.25032968040532311</v>
      </c>
      <c r="AO89" s="180" t="s">
        <v>507</v>
      </c>
      <c r="AP89" s="497">
        <f t="shared" si="70"/>
        <v>0.59</v>
      </c>
    </row>
    <row r="90" spans="1:56" ht="15" hidden="1" outlineLevel="1">
      <c r="A90" s="108" t="s">
        <v>999</v>
      </c>
      <c r="B90" s="30" t="s">
        <v>357</v>
      </c>
      <c r="C90" s="43" t="s">
        <v>240</v>
      </c>
      <c r="D90" s="43" t="s">
        <v>257</v>
      </c>
      <c r="E90" s="487">
        <v>0.59</v>
      </c>
      <c r="F90" s="559">
        <v>1</v>
      </c>
      <c r="G90" s="559">
        <v>1</v>
      </c>
      <c r="H90" s="559">
        <f t="shared" si="69"/>
        <v>4.0939901333834783</v>
      </c>
      <c r="I90" s="578">
        <v>1E-3</v>
      </c>
      <c r="J90" s="487">
        <v>0</v>
      </c>
      <c r="K90" s="48"/>
      <c r="L90" s="486">
        <v>1</v>
      </c>
      <c r="M90" s="486">
        <f>IF(C90="","",SUMIFS(Energy_Balance!I$55:I$160,Energy_Balance!$C$55:$C$160,C90,Energy_Balance!$D$55:$D$160,D90)*L90)</f>
        <v>5.1822659916246563</v>
      </c>
      <c r="N90" s="486">
        <f>E91*M90</f>
        <v>4.0939901333834783</v>
      </c>
      <c r="O90" s="25"/>
      <c r="P90" s="605">
        <f>E90</f>
        <v>0.59</v>
      </c>
      <c r="Q90" s="361">
        <f>IF($AO90="","",($S90-$P90)*1/3+$P90)</f>
        <v>0.59</v>
      </c>
      <c r="R90" s="361">
        <f>IF($AO90="","",($S90-$P90)*2/3+$P90)</f>
        <v>0.59</v>
      </c>
      <c r="S90" s="361">
        <f>IF($AO90="","",IF($AO90="*",$AP90*(1+$P$29),E90))</f>
        <v>0.59</v>
      </c>
      <c r="T90" s="204"/>
      <c r="U90" s="50"/>
      <c r="V90" s="63">
        <f>IF((IFERROR(IF(N90/(SUMIF(RES!$D$39:$D$145,D90,$N$39:$N$145))=1,1,(N90/(SUMIF(RES!$D$39:$D$145,D90,$N$39:$N$145))+$V$29)),0))&lt;1,(IFERROR(IF(N90/(SUMIF(RES!$D$39:$D$145,D90,$N$39:$N$145))=1,1,(N90/(SUMIF(RES!$D$39:$D$145,D90,$N$39:$N$145))+$V$29)),0)),1)</f>
        <v>0.37786651759971113</v>
      </c>
      <c r="W90" s="63">
        <f>$V90-$V$87*'Census 2011_17'!B$20*RES!$V90/(1-RES!$V$87)+RES!W$29</f>
        <v>0.37762216829894663</v>
      </c>
      <c r="X90" s="63">
        <f>$V90-$V$87*'Census 2011_17'!C$20*RES!$V90/(1-RES!$V$87)+RES!X$29</f>
        <v>0.37173746511319516</v>
      </c>
      <c r="Y90" s="63">
        <f>$V90-$V$87*'Census 2011_17'!D$20*RES!$V90/(1-RES!$V$87)+RES!Y$29</f>
        <v>0.36785276192744371</v>
      </c>
      <c r="Z90" s="63">
        <f>$V90-$V$87*'Census 2011_17'!E$20*RES!$V90/(1-RES!$V$87)+RES!Z$29</f>
        <v>0.36346805874169225</v>
      </c>
      <c r="AA90" s="63">
        <f>$V90-$V$87*'Census 2011_17'!F$20*RES!$V90/(1-RES!$V$87)+RES!AA$29</f>
        <v>0.35708335555594078</v>
      </c>
      <c r="AB90" s="63">
        <f>$V90-$V$87*'Census 2011_17'!G$20*RES!$V90/(1-RES!$V$87)+RES!AB$29</f>
        <v>0.35708335555594078</v>
      </c>
      <c r="AC90" s="63">
        <f>$V90-$V$87*'Census 2011_17'!H$20*RES!$V90/(1-RES!$V$87)+RES!AC$29</f>
        <v>0.35708335555594078</v>
      </c>
      <c r="AD90" s="50"/>
      <c r="AE90" s="63">
        <f>(IFERROR(IF($N90/(SUMIF(RES!$D$39:$D$145,$D90,$N$39:$N$145))=1,1,($N90/(SUMIF(RES!$D$39:$D$145,$D90,$N$39:$N$145)))),0))-AE$29</f>
        <v>0.37676651759971114</v>
      </c>
      <c r="AF90" s="63">
        <f t="shared" si="71"/>
        <v>0.37262216829894662</v>
      </c>
      <c r="AG90" s="63">
        <f t="shared" si="72"/>
        <v>0.36823746511319516</v>
      </c>
      <c r="AH90" s="63">
        <f t="shared" si="73"/>
        <v>0.3578527619274437</v>
      </c>
      <c r="AI90" s="63">
        <f t="shared" si="74"/>
        <v>0.35346805874169224</v>
      </c>
      <c r="AJ90" s="63">
        <f t="shared" si="75"/>
        <v>0.34608335555594077</v>
      </c>
      <c r="AK90" s="63">
        <f t="shared" si="76"/>
        <v>0.34458335555594077</v>
      </c>
      <c r="AL90" s="63">
        <f t="shared" si="77"/>
        <v>0.34208335555594077</v>
      </c>
      <c r="AO90" s="180" t="s">
        <v>507</v>
      </c>
      <c r="AP90" s="497">
        <f t="shared" si="70"/>
        <v>0.59</v>
      </c>
    </row>
    <row r="91" spans="1:56" ht="15" hidden="1" outlineLevel="1">
      <c r="A91" s="108" t="s">
        <v>1000</v>
      </c>
      <c r="B91" s="30" t="s">
        <v>358</v>
      </c>
      <c r="C91" s="43" t="s">
        <v>237</v>
      </c>
      <c r="D91" s="43" t="s">
        <v>257</v>
      </c>
      <c r="E91" s="487">
        <v>0.79</v>
      </c>
      <c r="F91" s="559">
        <v>1</v>
      </c>
      <c r="G91" s="559">
        <v>1</v>
      </c>
      <c r="H91" s="559">
        <f t="shared" si="69"/>
        <v>0.69735061446057556</v>
      </c>
      <c r="I91" s="578">
        <v>1E-3</v>
      </c>
      <c r="J91" s="487">
        <v>0</v>
      </c>
      <c r="K91" s="48"/>
      <c r="L91" s="486">
        <v>1</v>
      </c>
      <c r="M91" s="486">
        <f>IF(C91="","",SUMIFS(Energy_Balance!I$55:I$160,Energy_Balance!$C$55:$C$160,C91,Energy_Balance!$D$55:$D$160,D91)*L91)</f>
        <v>0.72640689006309955</v>
      </c>
      <c r="N91" s="486">
        <f>E92*M91</f>
        <v>0.69735061446057556</v>
      </c>
      <c r="O91" s="25"/>
      <c r="P91" s="605">
        <f>E91</f>
        <v>0.79</v>
      </c>
      <c r="Q91" s="361">
        <f>IF($AO91="","",($S91-$P91)*1/3+$P91)</f>
        <v>0.79</v>
      </c>
      <c r="R91" s="361">
        <f>IF($AO91="","",($S91-$P91)*2/3+$P91)</f>
        <v>0.79</v>
      </c>
      <c r="S91" s="361">
        <f>IF($AO91="","",IF($AO91="*",$AP91*(1+$P$29),E91))</f>
        <v>0.79</v>
      </c>
      <c r="T91" s="204"/>
      <c r="U91" s="50"/>
      <c r="V91" s="63">
        <f>IF((IFERROR(IF(N91/(SUMIF(RES!$D$39:$D$145,D91,$N$39:$N$145))=1,1,(N91/(SUMIF(RES!$D$39:$D$145,D91,$N$39:$N$145))+$V$29)),0))&lt;1,(IFERROR(IF(N91/(SUMIF(RES!$D$39:$D$145,D91,$N$39:$N$145))=1,1,(N91/(SUMIF(RES!$D$39:$D$145,D91,$N$39:$N$145))+$V$29)),0)),1)</f>
        <v>6.5193632386841657E-2</v>
      </c>
      <c r="W91" s="63">
        <f>IF($V91*(1+'Census 2011_17'!B$20)+W$28&lt;1,$V91*(1+'Census 2011_17'!B$20)+W$28,1)</f>
        <v>6.9065130061302882E-2</v>
      </c>
      <c r="X91" s="63">
        <f>IF($V91*(1+'Census 2011_17'!C$20)+X$28&lt;1,$V91*(1+'Census 2011_17'!C$20)+X$28,1)</f>
        <v>7.2692165375718598E-2</v>
      </c>
      <c r="Y91" s="63">
        <f>IF($V91*(1+'Census 2011_17'!D$20)+Y$28&lt;1,$V91*(1+'Census 2011_17'!D$20)+Y$28,1)</f>
        <v>7.53192006901343E-2</v>
      </c>
      <c r="Z91" s="63">
        <f>IF($V91*(1+'Census 2011_17'!E$20)+Z$28&lt;1,$V91*(1+'Census 2011_17'!E$20)+Z$28,1)</f>
        <v>9.444623600455003E-2</v>
      </c>
      <c r="AA91" s="63">
        <f>IF($V91*(1+'Census 2011_17'!F$20)+AA$28&lt;1,$V91*(1+'Census 2011_17'!F$20)+AA$28,1)</f>
        <v>0.11657327131896572</v>
      </c>
      <c r="AB91" s="63">
        <f>IF($V91*(1+'Census 2011_17'!G$20)+AB$28&lt;1,$V91*(1+'Census 2011_17'!G$20)+AB$28,1)</f>
        <v>0.15657327131896573</v>
      </c>
      <c r="AC91" s="63">
        <f>IF($V91*(1+'Census 2011_17'!H$20)+AC$28&lt;1,$V91*(1+'Census 2011_17'!H$20)+AC$28,1)</f>
        <v>0.23657327131896572</v>
      </c>
      <c r="AD91" s="50"/>
      <c r="AE91" s="63">
        <f>(IFERROR(IF($N91/(SUMIF(RES!$D$39:$D$145,$D91,$N$39:$N$145))=1,1,($N91/(SUMIF(RES!$D$39:$D$145,$D91,$N$39:$N$145))-AE$28)),0))</f>
        <v>6.4093632386841654E-2</v>
      </c>
      <c r="AF91" s="63">
        <f>$AE91*(1+'Census 2011_17'!B$20)-AF$28</f>
        <v>6.1916679816604668E-2</v>
      </c>
      <c r="AG91" s="63">
        <f>$AE91*(1+'Census 2011_17'!C$20)-AG$28</f>
        <v>6.5507826060873561E-2</v>
      </c>
      <c r="AH91" s="63">
        <f>$AE91*(1+'Census 2011_17'!D$20)-AH$28</f>
        <v>6.7598972305142446E-2</v>
      </c>
      <c r="AI91" s="63">
        <f>$AE91*(1+'Census 2011_17'!E$20)-AI$28</f>
        <v>7.0690118549411346E-2</v>
      </c>
      <c r="AJ91" s="63">
        <f>$AE91*(1+'Census 2011_17'!F$20)-AJ$28</f>
        <v>7.2781264793680245E-2</v>
      </c>
      <c r="AK91" s="63">
        <f>$AE91*(1+'Census 2011_17'!G$20)-AK$28</f>
        <v>7.2781264793680245E-2</v>
      </c>
      <c r="AL91" s="63">
        <f>$AE91*(1+'Census 2011_17'!H$20)-AL$28</f>
        <v>7.2781264793680245E-2</v>
      </c>
      <c r="AO91" s="180" t="s">
        <v>507</v>
      </c>
      <c r="AP91" s="497">
        <f t="shared" si="70"/>
        <v>0.79</v>
      </c>
    </row>
    <row r="92" spans="1:56" ht="15" hidden="1" outlineLevel="1">
      <c r="A92" s="108" t="s">
        <v>1001</v>
      </c>
      <c r="B92" s="30" t="s">
        <v>359</v>
      </c>
      <c r="C92" s="43" t="s">
        <v>168</v>
      </c>
      <c r="D92" s="43" t="s">
        <v>257</v>
      </c>
      <c r="E92" s="487">
        <v>0.96</v>
      </c>
      <c r="F92" s="559">
        <v>1</v>
      </c>
      <c r="G92" s="559">
        <v>1</v>
      </c>
      <c r="H92" s="559">
        <f t="shared" si="69"/>
        <v>0</v>
      </c>
      <c r="I92" s="578">
        <v>1E-3</v>
      </c>
      <c r="J92" s="487">
        <v>0</v>
      </c>
      <c r="K92" s="48"/>
      <c r="L92" s="486">
        <v>0.6</v>
      </c>
      <c r="M92" s="486">
        <f>IF(C92="","",SUMIFS(Energy_Balance!I$55:I$160,Energy_Balance!$C$55:$C$160,C92,Energy_Balance!$D$55:$D$160,D92)*L92)</f>
        <v>0</v>
      </c>
      <c r="N92" s="486">
        <f>E92*M92</f>
        <v>0</v>
      </c>
      <c r="O92" s="25"/>
      <c r="P92" s="605">
        <f>E92</f>
        <v>0.96</v>
      </c>
      <c r="Q92" s="361">
        <f>IF($AO92="","",($S92-$P92)*1/3+$P92)</f>
        <v>0.96</v>
      </c>
      <c r="R92" s="361">
        <f>IF($AO92="","",($S92-$P92)*2/3+$P92)</f>
        <v>0.96</v>
      </c>
      <c r="S92" s="361">
        <f>IF($AO92="","",IF($AO92="*",$AP92*(1+$P$29),E92))</f>
        <v>0.96</v>
      </c>
      <c r="T92" s="204"/>
      <c r="U92" s="50"/>
      <c r="V92" s="63">
        <v>0</v>
      </c>
      <c r="W92" s="63">
        <v>0</v>
      </c>
      <c r="X92" s="63">
        <v>0</v>
      </c>
      <c r="Y92" s="63">
        <v>0</v>
      </c>
      <c r="Z92" s="63">
        <v>0</v>
      </c>
      <c r="AA92" s="63">
        <v>0</v>
      </c>
      <c r="AB92" s="63">
        <v>0</v>
      </c>
      <c r="AC92" s="63">
        <v>0</v>
      </c>
      <c r="AD92" s="50"/>
      <c r="AE92" s="63">
        <v>0</v>
      </c>
      <c r="AF92" s="63">
        <v>0</v>
      </c>
      <c r="AG92" s="63">
        <v>0</v>
      </c>
      <c r="AH92" s="63">
        <v>0</v>
      </c>
      <c r="AI92" s="63">
        <v>0</v>
      </c>
      <c r="AJ92" s="63">
        <v>0</v>
      </c>
      <c r="AK92" s="63">
        <v>0</v>
      </c>
      <c r="AL92" s="63">
        <v>0</v>
      </c>
      <c r="AO92" s="180" t="s">
        <v>507</v>
      </c>
      <c r="AP92" s="497">
        <f t="shared" si="70"/>
        <v>0.96</v>
      </c>
    </row>
    <row r="93" spans="1:56" s="192" customFormat="1" ht="15" hidden="1" outlineLevel="1">
      <c r="A93" s="526" t="s">
        <v>955</v>
      </c>
      <c r="B93" s="527"/>
      <c r="C93" s="528"/>
      <c r="D93" s="528"/>
      <c r="F93" s="529"/>
      <c r="G93" s="529"/>
      <c r="H93" s="529"/>
      <c r="I93" s="579"/>
      <c r="J93" s="529"/>
      <c r="K93" s="530"/>
      <c r="L93" s="531"/>
      <c r="M93" s="531">
        <f>SUM(M87:M92)</f>
        <v>15.357488927160137</v>
      </c>
      <c r="N93" s="531">
        <f>SUM(N87:N92)</f>
        <v>10.863236563063188</v>
      </c>
      <c r="O93" s="193"/>
      <c r="P93" s="532"/>
      <c r="Q93" s="532" t="str">
        <f>IF($AO93="","",($R93-$AP93)*15/25+$AP93)</f>
        <v/>
      </c>
      <c r="R93" s="532" t="str">
        <f>IF($AO93="","",IF($AO93="*",$AP93*(1+$P$29),#REF!))</f>
        <v/>
      </c>
      <c r="S93" s="532" t="str">
        <f>IF(G93="","",IF(COUNTIF(#REF!,$B93)=1,SUMIF(#REF!,RES!$B93,#REF!),SUMIF(#REF!,RES!$B93,#REF!)))</f>
        <v/>
      </c>
      <c r="T93" s="533"/>
      <c r="U93" s="534"/>
      <c r="V93" s="534">
        <f>SUM(V87:V92)</f>
        <v>1.0050000000000001</v>
      </c>
      <c r="W93" s="534">
        <f t="shared" ref="W93:AC93" si="78">SUM(W87:W92)</f>
        <v>1.0257069155249861</v>
      </c>
      <c r="X93" s="534">
        <f t="shared" si="78"/>
        <v>1.0254527788768275</v>
      </c>
      <c r="Y93" s="534">
        <f t="shared" si="78"/>
        <v>1.0291986422286687</v>
      </c>
      <c r="Z93" s="534">
        <f t="shared" si="78"/>
        <v>1.0644445055805103</v>
      </c>
      <c r="AA93" s="534">
        <f t="shared" si="78"/>
        <v>1.0996903689323516</v>
      </c>
      <c r="AB93" s="534">
        <f t="shared" si="78"/>
        <v>1.1796903689323517</v>
      </c>
      <c r="AC93" s="534">
        <f t="shared" si="78"/>
        <v>1.3396903689323516</v>
      </c>
      <c r="AD93" s="534"/>
      <c r="AE93" s="535">
        <f>SUM(AE87:AE92)</f>
        <v>0.99950000000000006</v>
      </c>
      <c r="AF93" s="535">
        <f t="shared" ref="AF93:AL93" si="79">SUM(AF87:AF92)</f>
        <v>0.99641001503558946</v>
      </c>
      <c r="AG93" s="535">
        <f t="shared" si="79"/>
        <v>1.0005841002471374</v>
      </c>
      <c r="AH93" s="535">
        <f t="shared" si="79"/>
        <v>0.98375818545868499</v>
      </c>
      <c r="AI93" s="535">
        <f t="shared" si="79"/>
        <v>0.98693227067023304</v>
      </c>
      <c r="AJ93" s="535">
        <f t="shared" si="79"/>
        <v>0.97910635588178074</v>
      </c>
      <c r="AK93" s="535">
        <f t="shared" si="79"/>
        <v>0.97460635588178079</v>
      </c>
      <c r="AL93" s="535">
        <f t="shared" si="79"/>
        <v>0.96710635588178073</v>
      </c>
      <c r="AO93" s="536"/>
    </row>
    <row r="94" spans="1:56" s="233" customFormat="1" ht="15" hidden="1">
      <c r="A94" s="557" t="s">
        <v>1002</v>
      </c>
      <c r="B94" s="540" t="s">
        <v>328</v>
      </c>
      <c r="C94" s="549"/>
      <c r="D94" s="549"/>
      <c r="E94" s="551" t="str">
        <f>IF(D94="","",IF(COUNTIF(#REF!,$B94)=1,SUMIF(#REF!,RES!B94,#REF!),SUMIF(#REF!,RES!$B94,#REF!)))</f>
        <v/>
      </c>
      <c r="F94" s="551"/>
      <c r="G94" s="551"/>
      <c r="H94" s="551"/>
      <c r="I94" s="580"/>
      <c r="J94" s="551"/>
      <c r="K94" s="541"/>
      <c r="L94" s="553"/>
      <c r="M94" s="553"/>
      <c r="N94" s="553"/>
      <c r="O94" s="546"/>
      <c r="P94" s="554"/>
      <c r="Q94" s="554" t="str">
        <f>IF($AO94="","",($R94-$AP94)*15/25+$AP94)</f>
        <v/>
      </c>
      <c r="R94" s="554" t="str">
        <f>IF($AO94="","",IF($AO94="*",$AP94*(1+$P$29),E94))</f>
        <v/>
      </c>
      <c r="S94" s="554" t="str">
        <f>IF(G94="","",IF(COUNTIF(#REF!,$B94)=1,SUMIF(#REF!,RES!$B94,#REF!),SUMIF(#REF!,RES!$B94,#REF!)))</f>
        <v/>
      </c>
      <c r="T94" s="555"/>
      <c r="U94" s="556"/>
      <c r="V94" s="556"/>
      <c r="W94" s="556"/>
      <c r="X94" s="556"/>
      <c r="Y94" s="556"/>
      <c r="Z94" s="556"/>
      <c r="AA94" s="556"/>
      <c r="AB94" s="556"/>
      <c r="AC94" s="556"/>
      <c r="AD94" s="556"/>
      <c r="AE94" s="598"/>
      <c r="AF94" s="556"/>
      <c r="AG94" s="556"/>
      <c r="AH94" s="556"/>
      <c r="AI94" s="556"/>
      <c r="AJ94" s="556"/>
      <c r="AK94" s="556"/>
      <c r="AL94" s="556"/>
      <c r="AO94" s="548"/>
    </row>
    <row r="95" spans="1:56" s="166" customFormat="1" ht="15" outlineLevel="2">
      <c r="A95" s="108" t="s">
        <v>1003</v>
      </c>
      <c r="B95" s="30" t="s">
        <v>360</v>
      </c>
      <c r="C95" s="43" t="s">
        <v>236</v>
      </c>
      <c r="D95" s="43" t="s">
        <v>581</v>
      </c>
      <c r="E95" s="487">
        <f>'Electrical efficiency'!M13</f>
        <v>0.73684210526315785</v>
      </c>
      <c r="F95" s="559">
        <v>1</v>
      </c>
      <c r="G95" s="559">
        <v>1</v>
      </c>
      <c r="H95" s="559">
        <f>N95/F95*(1+$D$31)</f>
        <v>4.5653131993968739</v>
      </c>
      <c r="I95" s="578">
        <v>1E-3</v>
      </c>
      <c r="J95" s="487">
        <v>0</v>
      </c>
      <c r="K95" s="48"/>
      <c r="L95" s="486">
        <v>1</v>
      </c>
      <c r="M95" s="486">
        <f>IF(C95="","",SUMIFS(Energy_Balance!I$55:I$160,Energy_Balance!$C$55:$C$160,C95,Energy_Balance!$D$55:$D$160,D95)*L95)</f>
        <v>6.1957821991814717</v>
      </c>
      <c r="N95" s="486">
        <f>M95*E95</f>
        <v>4.5653131993968739</v>
      </c>
      <c r="O95" s="25"/>
      <c r="P95" s="605">
        <f>E95</f>
        <v>0.73684210526315785</v>
      </c>
      <c r="Q95" s="361">
        <f>IF($AO95="","",($S95-$P95)*1/3+$P95)</f>
        <v>0.73684210526315785</v>
      </c>
      <c r="R95" s="361">
        <f>IF($AO95="","",($S95-$P95)*2/3+$P95)</f>
        <v>0.73684210526315785</v>
      </c>
      <c r="S95" s="361">
        <f>IF($AO95="","",IF($AO95="*",$AP95*(1+$P$29),E95))</f>
        <v>0.73684210526315785</v>
      </c>
      <c r="T95" s="204"/>
      <c r="U95" s="273"/>
      <c r="V95" s="63">
        <f>(IFERROR(IF(N95/(SUMIF(RES!$D$39:$D$145,D95,$N$39:$N$145))=1,1,(N95/(SUMIF(RES!$D$39:$D$145,D95,$N$39:$N$145))+$V$28)),0))</f>
        <v>0.501</v>
      </c>
      <c r="W95" s="63">
        <f>V95</f>
        <v>0.501</v>
      </c>
      <c r="X95" s="63">
        <f t="shared" ref="X95:AC95" si="80">W95</f>
        <v>0.501</v>
      </c>
      <c r="Y95" s="63">
        <f t="shared" si="80"/>
        <v>0.501</v>
      </c>
      <c r="Z95" s="63">
        <f t="shared" si="80"/>
        <v>0.501</v>
      </c>
      <c r="AA95" s="63">
        <f t="shared" si="80"/>
        <v>0.501</v>
      </c>
      <c r="AB95" s="63">
        <f t="shared" si="80"/>
        <v>0.501</v>
      </c>
      <c r="AC95" s="63">
        <f t="shared" si="80"/>
        <v>0.501</v>
      </c>
      <c r="AD95" s="273"/>
      <c r="AE95" s="273">
        <f>(IFERROR(IF($N95/(SUMIF(RES!$D$39:$D$145,$D95,$N$39:$N$145))=1,1,($N95/(SUMIF(RES!$D$39:$D$145,$D95,$N$39:$N$145))-$AE$28)),0))</f>
        <v>0.49990000000000001</v>
      </c>
      <c r="AF95" s="50">
        <f>AE95</f>
        <v>0.49990000000000001</v>
      </c>
      <c r="AG95" s="50">
        <f t="shared" ref="AG95:AL97" si="81">AF95</f>
        <v>0.49990000000000001</v>
      </c>
      <c r="AH95" s="50">
        <f t="shared" si="81"/>
        <v>0.49990000000000001</v>
      </c>
      <c r="AI95" s="50">
        <f t="shared" si="81"/>
        <v>0.49990000000000001</v>
      </c>
      <c r="AJ95" s="50">
        <f t="shared" si="81"/>
        <v>0.49990000000000001</v>
      </c>
      <c r="AK95" s="50">
        <f t="shared" si="81"/>
        <v>0.49990000000000001</v>
      </c>
      <c r="AL95" s="50">
        <f t="shared" si="81"/>
        <v>0.49990000000000001</v>
      </c>
      <c r="AM95"/>
      <c r="AN95"/>
      <c r="AO95" s="250" t="s">
        <v>110</v>
      </c>
      <c r="AP95" s="497">
        <f>E95</f>
        <v>0.73684210526315785</v>
      </c>
      <c r="AQ95"/>
      <c r="AR95"/>
      <c r="AS95"/>
      <c r="AT95"/>
      <c r="AU95"/>
      <c r="AV95"/>
      <c r="AW95"/>
      <c r="AX95"/>
      <c r="AY95"/>
      <c r="AZ95"/>
      <c r="BA95"/>
      <c r="BB95"/>
      <c r="BC95"/>
      <c r="BD95"/>
    </row>
    <row r="96" spans="1:56" ht="15" outlineLevel="2">
      <c r="A96" s="558" t="s">
        <v>1004</v>
      </c>
      <c r="B96" s="30" t="s">
        <v>361</v>
      </c>
      <c r="C96" s="43" t="s">
        <v>236</v>
      </c>
      <c r="D96" s="43" t="s">
        <v>581</v>
      </c>
      <c r="E96" s="487">
        <v>2.15</v>
      </c>
      <c r="F96" s="559">
        <v>1</v>
      </c>
      <c r="G96" s="559">
        <v>1</v>
      </c>
      <c r="H96" s="559">
        <f>N96/F96*(1+$D$31)</f>
        <v>4.5653131993968739</v>
      </c>
      <c r="I96" s="578">
        <v>1E-3</v>
      </c>
      <c r="J96" s="487">
        <v>0</v>
      </c>
      <c r="K96" s="48"/>
      <c r="L96" s="486">
        <v>1</v>
      </c>
      <c r="M96" s="606">
        <v>0</v>
      </c>
      <c r="N96" s="486">
        <f>N95*L96/L95</f>
        <v>4.5653131993968739</v>
      </c>
      <c r="O96" s="25"/>
      <c r="P96" s="605">
        <f>E96</f>
        <v>2.15</v>
      </c>
      <c r="Q96" s="361">
        <f>IF($AO96="","",($S96-$P96)*1/3+$P96)</f>
        <v>2.15</v>
      </c>
      <c r="R96" s="361">
        <f>IF($AO96="","",($S96-$P96)*2/3+$P96)</f>
        <v>2.15</v>
      </c>
      <c r="S96" s="361">
        <f>IF($AO96="","",IF($AO96="*",$AP96*(1+$P$29),E96))</f>
        <v>2.15</v>
      </c>
      <c r="T96" s="204"/>
      <c r="U96" s="273"/>
      <c r="V96" s="63">
        <f>(IFERROR(IF(N96/(SUMIF(RES!$D$39:$D$145,D96,$N$39:$N$145))=1,1,(N96/(SUMIF(RES!$D$39:$D$145,D96,$N$39:$N$145))+$V$28)),0))</f>
        <v>0.501</v>
      </c>
      <c r="W96" s="63">
        <f>V96</f>
        <v>0.501</v>
      </c>
      <c r="X96" s="63">
        <f t="shared" ref="X96:AC96" si="82">W96</f>
        <v>0.501</v>
      </c>
      <c r="Y96" s="63">
        <f t="shared" si="82"/>
        <v>0.501</v>
      </c>
      <c r="Z96" s="63">
        <f t="shared" si="82"/>
        <v>0.501</v>
      </c>
      <c r="AA96" s="63">
        <f t="shared" si="82"/>
        <v>0.501</v>
      </c>
      <c r="AB96" s="63">
        <f t="shared" si="82"/>
        <v>0.501</v>
      </c>
      <c r="AC96" s="63">
        <f t="shared" si="82"/>
        <v>0.501</v>
      </c>
      <c r="AD96" s="273"/>
      <c r="AE96" s="273">
        <f>(IFERROR(IF($N96/(SUMIF(RES!$D$39:$D$145,$D96,$N$39:$N$145))=1,1,($N96/(SUMIF(RES!$D$39:$D$145,$D96,$N$39:$N$145))-$AE$28)),0))</f>
        <v>0.49990000000000001</v>
      </c>
      <c r="AF96" s="50">
        <f>AE96</f>
        <v>0.49990000000000001</v>
      </c>
      <c r="AG96" s="50">
        <f t="shared" si="81"/>
        <v>0.49990000000000001</v>
      </c>
      <c r="AH96" s="50">
        <f t="shared" si="81"/>
        <v>0.49990000000000001</v>
      </c>
      <c r="AI96" s="50">
        <f t="shared" si="81"/>
        <v>0.49990000000000001</v>
      </c>
      <c r="AJ96" s="50">
        <f t="shared" si="81"/>
        <v>0.49990000000000001</v>
      </c>
      <c r="AK96" s="50">
        <f t="shared" si="81"/>
        <v>0.49990000000000001</v>
      </c>
      <c r="AL96" s="50">
        <f t="shared" si="81"/>
        <v>0.49990000000000001</v>
      </c>
      <c r="AO96" s="250" t="s">
        <v>110</v>
      </c>
      <c r="AP96" s="497">
        <f>E96</f>
        <v>2.15</v>
      </c>
    </row>
    <row r="97" spans="1:56" s="192" customFormat="1" ht="15" hidden="1">
      <c r="A97" s="526" t="s">
        <v>955</v>
      </c>
      <c r="B97" s="527"/>
      <c r="C97" s="528"/>
      <c r="D97" s="528"/>
      <c r="E97" s="529" t="str">
        <f>IF(D97="","",IF(COUNTIF(#REF!,$B97)=1,SUMIF(#REF!,RES!B97,#REF!),SUMIF(#REF!,RES!$B97,#REF!)))</f>
        <v/>
      </c>
      <c r="F97" s="529"/>
      <c r="G97" s="529"/>
      <c r="H97" s="529"/>
      <c r="I97" s="579"/>
      <c r="J97" s="529"/>
      <c r="K97" s="530"/>
      <c r="L97" s="531"/>
      <c r="M97" s="531">
        <f>SUM(M95:M96)</f>
        <v>6.1957821991814717</v>
      </c>
      <c r="N97" s="531">
        <f>SUM(N95:N96)</f>
        <v>9.1306263987937477</v>
      </c>
      <c r="O97" s="193"/>
      <c r="P97" s="532"/>
      <c r="Q97" s="532" t="str">
        <f>IF($AO97="","",($R97-$AP97)*15/25+$AP97)</f>
        <v/>
      </c>
      <c r="R97" s="532" t="str">
        <f>IF($AO97="","",IF($AO97="*",$AP97*(1+$P$29),E97))</f>
        <v/>
      </c>
      <c r="S97" s="532" t="str">
        <f>IF(G97="","",IF(COUNTIF(#REF!,$B97)=1,SUMIF(#REF!,RES!$B97,#REF!),SUMIF(#REF!,RES!$B97,#REF!)))</f>
        <v/>
      </c>
      <c r="T97" s="533"/>
      <c r="U97" s="534"/>
      <c r="V97" s="535">
        <f>SUM(V95:V96)</f>
        <v>1.002</v>
      </c>
      <c r="W97" s="535">
        <f>SUM(W95:W96)</f>
        <v>1.002</v>
      </c>
      <c r="X97" s="534">
        <f>$V$32*W97+(1-$V$32)*Y97</f>
        <v>1.002</v>
      </c>
      <c r="Y97" s="535">
        <f>SUM(Y95:Y96)</f>
        <v>1.002</v>
      </c>
      <c r="Z97" s="534">
        <f>$V$32*Y97+(1-$V$32)*AA97</f>
        <v>1.002</v>
      </c>
      <c r="AA97" s="535">
        <f>SUM(AA95:AA96)</f>
        <v>1.002</v>
      </c>
      <c r="AB97" s="534">
        <f>$V$32*AA97+(1-$V$32)*AC97</f>
        <v>1.002</v>
      </c>
      <c r="AC97" s="535">
        <f>SUM(AC95:AC96)</f>
        <v>1.002</v>
      </c>
      <c r="AD97" s="535"/>
      <c r="AE97" s="535">
        <f>SUM(AE95:AE96)</f>
        <v>0.99980000000000002</v>
      </c>
      <c r="AF97" s="50">
        <f>AE97</f>
        <v>0.99980000000000002</v>
      </c>
      <c r="AG97" s="50">
        <f t="shared" si="81"/>
        <v>0.99980000000000002</v>
      </c>
      <c r="AH97" s="50">
        <f t="shared" si="81"/>
        <v>0.99980000000000002</v>
      </c>
      <c r="AI97" s="50">
        <f t="shared" si="81"/>
        <v>0.99980000000000002</v>
      </c>
      <c r="AJ97" s="50">
        <f t="shared" si="81"/>
        <v>0.99980000000000002</v>
      </c>
      <c r="AK97" s="50">
        <f t="shared" si="81"/>
        <v>0.99980000000000002</v>
      </c>
      <c r="AL97" s="50">
        <f t="shared" si="81"/>
        <v>0.99980000000000002</v>
      </c>
      <c r="AO97" s="536"/>
    </row>
    <row r="98" spans="1:56" s="233" customFormat="1" ht="15" hidden="1">
      <c r="A98" s="557" t="s">
        <v>1005</v>
      </c>
      <c r="B98" s="540"/>
      <c r="C98" s="549"/>
      <c r="D98" s="549"/>
      <c r="E98" s="551"/>
      <c r="F98" s="551"/>
      <c r="G98" s="551"/>
      <c r="H98" s="551"/>
      <c r="I98" s="580"/>
      <c r="J98" s="551"/>
      <c r="K98" s="541"/>
      <c r="L98" s="553"/>
      <c r="M98" s="553"/>
      <c r="N98" s="553"/>
      <c r="O98" s="546"/>
      <c r="P98" s="554"/>
      <c r="Q98" s="554" t="str">
        <f>IF($AO98="","",($R98-$AP98)*15/25+$AP98)</f>
        <v/>
      </c>
      <c r="R98" s="554" t="str">
        <f>IF($AO98="","",IF($AO98="*",$AP98*(1+$P$29),E98))</f>
        <v/>
      </c>
      <c r="S98" s="554" t="str">
        <f>IF(G98="","",IF(COUNTIF(#REF!,$B98)=1,SUMIF(#REF!,RES!$B98,#REF!),SUMIF(#REF!,RES!$B98,#REF!)))</f>
        <v/>
      </c>
      <c r="T98" s="555"/>
      <c r="U98" s="556"/>
      <c r="V98" s="556"/>
      <c r="W98" s="556"/>
      <c r="X98" s="556"/>
      <c r="Y98" s="556"/>
      <c r="Z98" s="556"/>
      <c r="AA98" s="556"/>
      <c r="AB98" s="556"/>
      <c r="AC98" s="556"/>
      <c r="AD98" s="556"/>
      <c r="AE98" s="598"/>
      <c r="AF98" s="556"/>
      <c r="AG98" s="556"/>
      <c r="AH98" s="556"/>
      <c r="AI98" s="556"/>
      <c r="AJ98" s="556"/>
      <c r="AK98" s="556"/>
      <c r="AL98" s="556"/>
      <c r="AO98" s="548"/>
    </row>
    <row r="99" spans="1:56" s="166" customFormat="1" ht="15" outlineLevel="1">
      <c r="A99" s="558" t="s">
        <v>1006</v>
      </c>
      <c r="B99" s="30" t="s">
        <v>456</v>
      </c>
      <c r="C99" s="43" t="s">
        <v>236</v>
      </c>
      <c r="D99" s="43" t="s">
        <v>258</v>
      </c>
      <c r="E99" s="487">
        <v>0.95</v>
      </c>
      <c r="F99" s="559">
        <v>1</v>
      </c>
      <c r="G99" s="559">
        <v>1</v>
      </c>
      <c r="H99" s="559">
        <f t="shared" ref="H99:H104" si="83">N99/F99*(1+$D$31)</f>
        <v>1.1530921959972824</v>
      </c>
      <c r="I99" s="578">
        <v>1E-3</v>
      </c>
      <c r="J99" s="487">
        <v>0</v>
      </c>
      <c r="K99" s="48"/>
      <c r="L99" s="486">
        <v>1</v>
      </c>
      <c r="M99" s="486">
        <f>IF(C99="","",SUMIFS(Energy_Balance!I$55:I$160,Energy_Balance!$C$55:$C$160,C99,Energy_Balance!$D$55:$D$160,D99)*L99)</f>
        <v>1.2137812589445078</v>
      </c>
      <c r="N99" s="486">
        <f>E99*M99</f>
        <v>1.1530921959972824</v>
      </c>
      <c r="O99" s="25"/>
      <c r="P99" s="605">
        <f t="shared" ref="P99:P104" si="84">E99</f>
        <v>0.95</v>
      </c>
      <c r="Q99" s="361">
        <f>IF($AO99="","",($S99-$P99)*1/3+$P99)</f>
        <v>0.95</v>
      </c>
      <c r="R99" s="361">
        <f>IF($AO99="","",($S99-$P99)*2/3+$P99)</f>
        <v>0.95</v>
      </c>
      <c r="S99" s="361">
        <f>IF($AO99="","",IF($AO99="*",$AP99*(1+$P$29),E99))</f>
        <v>0.95</v>
      </c>
      <c r="T99" s="204"/>
      <c r="U99" s="273"/>
      <c r="V99" s="63">
        <f>(IFERROR(IF(N99/(SUMIF(RES!$D$39:$D$145,D99,$N$39:$N$145))=1,1,(N99/(SUMIF(RES!$D$39:$D$145,D99,$N$39:$N$145))+$V$28)),0))</f>
        <v>0.20985730675383393</v>
      </c>
      <c r="W99" s="63">
        <f>IF($V99*(1+'Census 2011_17'!B$20)+W$28&lt;1,$V99*(1+'Census 2011_17'!B$20)+W$28,1)</f>
        <v>0.2201006139028609</v>
      </c>
      <c r="X99" s="63">
        <f>IF($V99*(1+'Census 2011_17'!C$20)+X$28&lt;1,$V99*(1+'Census 2011_17'!C$20)+X$28,1)</f>
        <v>0.22844750808732528</v>
      </c>
      <c r="Y99" s="63">
        <f>IF($V99*(1+'Census 2011_17'!D$20)+Y$28&lt;1,$V99*(1+'Census 2011_17'!D$20)+Y$28,1)</f>
        <v>0.23579440227178966</v>
      </c>
      <c r="Z99" s="63">
        <f>IF($V99*(1+'Census 2011_17'!E$20)+Z$28&lt;1,$V99*(1+'Census 2011_17'!E$20)+Z$28,1)</f>
        <v>0.25964129645625411</v>
      </c>
      <c r="AA99" s="63">
        <f>IF($V99*(1+'Census 2011_17'!F$20)+AA$28&lt;1,$V99*(1+'Census 2011_17'!F$20)+AA$28,1)</f>
        <v>0.28648819064071845</v>
      </c>
      <c r="AB99" s="63">
        <f>IF($V99*(1+'Census 2011_17'!G$20)+AB$28&lt;1,$V99*(1+'Census 2011_17'!G$20)+AB$28,1)</f>
        <v>0.32648819064071849</v>
      </c>
      <c r="AC99" s="63">
        <f>IF($V99*(1+'Census 2011_17'!H$20)+AC$28&lt;1,$V99*(1+'Census 2011_17'!H$20)+AC$28,1)</f>
        <v>0.40648819064071851</v>
      </c>
      <c r="AD99" s="273"/>
      <c r="AE99" s="63">
        <f>(IFERROR(IF($N99/(SUMIF(RES!$D$39:$D$145,$D99,$N$39:$N$145))=1,1,($N99/(SUMIF(RES!$D$39:$D$145,$D99,$N$39:$N$145))-AE$28)),0))</f>
        <v>0.20875730675383394</v>
      </c>
      <c r="AF99" s="63">
        <f>$AE99*(1+'Census 2011_17'!B$20)-AF$28</f>
        <v>0.21295216365816269</v>
      </c>
      <c r="AG99" s="63">
        <f>$AE99*(1+'Census 2011_17'!C$20)-AG$28</f>
        <v>0.22126316877248026</v>
      </c>
      <c r="AH99" s="63">
        <f>$AE99*(1+'Census 2011_17'!D$20)-AH$28</f>
        <v>0.22807417388679782</v>
      </c>
      <c r="AI99" s="63">
        <f>$AE99*(1+'Census 2011_17'!E$20)-AI$28</f>
        <v>0.23588517900111544</v>
      </c>
      <c r="AJ99" s="63">
        <f>$AE99*(1+'Census 2011_17'!F$20)-AJ$28</f>
        <v>0.24269618411543301</v>
      </c>
      <c r="AK99" s="63">
        <f>$AE99*(1+'Census 2011_17'!G$20)-AK$28</f>
        <v>0.24269618411543301</v>
      </c>
      <c r="AL99" s="63">
        <f>$AE99*(1+'Census 2011_17'!H$20)-AL$28</f>
        <v>0.24269618411543301</v>
      </c>
      <c r="AM99"/>
      <c r="AN99"/>
      <c r="AO99" s="180" t="s">
        <v>507</v>
      </c>
      <c r="AP99" s="497">
        <f t="shared" ref="AP99:AP104" si="85">E99</f>
        <v>0.95</v>
      </c>
      <c r="AQ99"/>
      <c r="AR99"/>
      <c r="AS99"/>
      <c r="AT99"/>
      <c r="AU99"/>
      <c r="AV99"/>
      <c r="AW99"/>
      <c r="AX99"/>
      <c r="AY99"/>
      <c r="AZ99"/>
      <c r="BA99"/>
      <c r="BB99"/>
      <c r="BC99"/>
      <c r="BD99"/>
    </row>
    <row r="100" spans="1:56" ht="15" hidden="1" outlineLevel="1">
      <c r="A100" s="108" t="s">
        <v>1007</v>
      </c>
      <c r="B100" s="30" t="s">
        <v>362</v>
      </c>
      <c r="C100" s="43" t="s">
        <v>238</v>
      </c>
      <c r="D100" s="43" t="s">
        <v>258</v>
      </c>
      <c r="E100" s="487">
        <v>0.56999999999999995</v>
      </c>
      <c r="F100" s="559">
        <v>1</v>
      </c>
      <c r="G100" s="559">
        <v>1</v>
      </c>
      <c r="H100" s="559">
        <f t="shared" si="83"/>
        <v>1.195937030490883</v>
      </c>
      <c r="I100" s="578">
        <v>1E-3</v>
      </c>
      <c r="J100" s="487">
        <v>0</v>
      </c>
      <c r="K100" s="48"/>
      <c r="L100" s="486">
        <v>1</v>
      </c>
      <c r="M100" s="486">
        <f>IF(C100="","",SUMIFS(Energy_Balance!I$55:I$160,Energy_Balance!$C$55:$C$160,C100,Energy_Balance!$D$55:$D$160,D100)*L100)</f>
        <v>2.0981351412120754</v>
      </c>
      <c r="N100" s="486">
        <f t="shared" ref="N100:N134" si="86">E100*M100</f>
        <v>1.195937030490883</v>
      </c>
      <c r="O100" s="25"/>
      <c r="P100" s="605">
        <f t="shared" si="84"/>
        <v>0.56999999999999995</v>
      </c>
      <c r="Q100" s="361">
        <f>IF($AO100="","",($S100-$P100)*1/3+$P100)</f>
        <v>0.56999999999999995</v>
      </c>
      <c r="R100" s="361">
        <f>IF($AO100="","",($S100-$P100)*2/3+$P100)</f>
        <v>0.56999999999999995</v>
      </c>
      <c r="S100" s="361">
        <f>IF($AO100="","",IF($AO100="*",$AP100*(1+$P$29),E100))</f>
        <v>0.56999999999999995</v>
      </c>
      <c r="T100" s="204"/>
      <c r="U100" s="273"/>
      <c r="V100" s="63">
        <f>IF((IFERROR(IF(N100/(SUMIF(RES!$D$39:$D$145,D100,$N$39:$N$145))=1,1,(N100/(SUMIF(RES!$D$39:$D$145,D100,$N$39:$N$145))+$V$29)),0))&lt;1,(IFERROR(IF(N100/(SUMIF(RES!$D$39:$D$145,D100,$N$39:$N$145))=1,1,(N100/(SUMIF(RES!$D$39:$D$145,D100,$N$39:$N$145))+$V$29)),0)),1)</f>
        <v>0.21761770680832207</v>
      </c>
      <c r="W100" s="63">
        <f>$V100-$V$99*'Census 2011_17'!B$20*RES!$V100/(1-RES!$V$99)+RES!W$29</f>
        <v>0.22007195485454234</v>
      </c>
      <c r="X100" s="63">
        <f>$V100-$V$99*'Census 2011_17'!C$20*RES!$V100/(1-RES!$V$99)+RES!X$29</f>
        <v>0.21618621266655733</v>
      </c>
      <c r="Y100" s="63">
        <f>$V100-$V$99*'Census 2011_17'!D$20*RES!$V100/(1-RES!$V$99)+RES!Y$29</f>
        <v>0.21430047047857234</v>
      </c>
      <c r="Z100" s="63">
        <f>$V100-$V$99*'Census 2011_17'!E$20*RES!$V100/(1-RES!$V$99)+RES!Z$29</f>
        <v>0.21191472829058736</v>
      </c>
      <c r="AA100" s="63">
        <f>$V100-$V$99*'Census 2011_17'!F$20*RES!$V100/(1-RES!$V$99)+RES!AA$29</f>
        <v>0.20752898610260237</v>
      </c>
      <c r="AB100" s="63">
        <f>$V100-$V$99*'Census 2011_17'!G$20*RES!$V100/(1-RES!$V$99)+RES!AB$29</f>
        <v>0.20752898610260237</v>
      </c>
      <c r="AC100" s="63">
        <f>$V100-$V$99*'Census 2011_17'!H$20*RES!$V100/(1-RES!$V$99)+RES!AC$29</f>
        <v>0.20752898610260237</v>
      </c>
      <c r="AD100" s="273"/>
      <c r="AE100" s="63">
        <f>(IFERROR(IF($N100/(SUMIF(RES!$D$39:$D$145,$D100,$N$39:$N$145))=1,1,($N100/(SUMIF(RES!$D$39:$D$145,$D100,$N$39:$N$145)))),0))-AE$29</f>
        <v>0.21651770680832208</v>
      </c>
      <c r="AF100" s="63">
        <f>IF(W100-AF$29&lt;0,0,W100-AF$29*2)</f>
        <v>0.21007195485454233</v>
      </c>
      <c r="AG100" s="63">
        <f t="shared" ref="AG100:AL100" si="87">IF(X100-AG$29&lt;0,0,X100-AG$29*2)</f>
        <v>0.20918621266655732</v>
      </c>
      <c r="AH100" s="63">
        <f t="shared" si="87"/>
        <v>0.19430047047857235</v>
      </c>
      <c r="AI100" s="63">
        <f t="shared" si="87"/>
        <v>0.19191472829058737</v>
      </c>
      <c r="AJ100" s="63">
        <f t="shared" si="87"/>
        <v>0.18552898610260238</v>
      </c>
      <c r="AK100" s="63">
        <f t="shared" si="87"/>
        <v>0.18252898610260238</v>
      </c>
      <c r="AL100" s="63">
        <f t="shared" si="87"/>
        <v>0.17752898610260237</v>
      </c>
      <c r="AO100" s="180" t="s">
        <v>507</v>
      </c>
      <c r="AP100" s="497">
        <f t="shared" si="85"/>
        <v>0.56999999999999995</v>
      </c>
    </row>
    <row r="101" spans="1:56" ht="15" hidden="1" outlineLevel="1">
      <c r="A101" s="108" t="s">
        <v>1008</v>
      </c>
      <c r="B101" s="30" t="s">
        <v>363</v>
      </c>
      <c r="C101" s="43" t="s">
        <v>239</v>
      </c>
      <c r="D101" s="43" t="s">
        <v>258</v>
      </c>
      <c r="E101" s="487">
        <v>0.25</v>
      </c>
      <c r="F101" s="559">
        <v>1</v>
      </c>
      <c r="G101" s="559">
        <v>1</v>
      </c>
      <c r="H101" s="559">
        <f t="shared" si="83"/>
        <v>1.5288042050703874</v>
      </c>
      <c r="I101" s="578">
        <v>1E-3</v>
      </c>
      <c r="J101" s="487">
        <v>0</v>
      </c>
      <c r="K101" s="48"/>
      <c r="L101" s="486">
        <v>1</v>
      </c>
      <c r="M101" s="486">
        <f>IF(C101="","",SUMIFS(Energy_Balance!I$55:I$160,Energy_Balance!$C$55:$C$160,C101,Energy_Balance!$D$55:$D$160,D101)*L101)</f>
        <v>6.1152168202815496</v>
      </c>
      <c r="N101" s="486">
        <f t="shared" si="86"/>
        <v>1.5288042050703874</v>
      </c>
      <c r="O101" s="25"/>
      <c r="P101" s="605">
        <f t="shared" si="84"/>
        <v>0.25</v>
      </c>
      <c r="Q101" s="361">
        <f>IF($AO101="","",($S101-$P101)*1/3+$P101)</f>
        <v>0.25</v>
      </c>
      <c r="R101" s="361">
        <f>IF($AO101="","",($S101-$P101)*2/3+$P101)</f>
        <v>0.25</v>
      </c>
      <c r="S101" s="361">
        <f>IF($AO101="","",IF($AO101="*",$AP101*(1+$P$29),E101))</f>
        <v>0.25</v>
      </c>
      <c r="T101" s="204"/>
      <c r="U101" s="273"/>
      <c r="V101" s="63">
        <f>IF((IFERROR(IF(N101/(SUMIF(RES!$D$39:$D$145,D101,$N$39:$N$145))=1,1,(N101/(SUMIF(RES!$D$39:$D$145,D101,$N$39:$N$145))+$V$29)),0))&lt;1,(IFERROR(IF(N101/(SUMIF(RES!$D$39:$D$145,D101,$N$39:$N$145))=1,1,(N101/(SUMIF(RES!$D$39:$D$145,D101,$N$39:$N$145))+$V$29)),0)),1)</f>
        <v>0.27790927918281538</v>
      </c>
      <c r="W101" s="63">
        <f>$V101-$V$99*'Census 2011_17'!B$20*RES!$V101/(1-RES!$V$99)+RES!W$29</f>
        <v>0.27965821978682454</v>
      </c>
      <c r="X101" s="63">
        <f>$V101-$V$99*'Census 2011_17'!C$20*RES!$V101/(1-RES!$V$99)+RES!X$29</f>
        <v>0.27525002764164619</v>
      </c>
      <c r="Y101" s="63">
        <f>$V101-$V$99*'Census 2011_17'!D$20*RES!$V101/(1-RES!$V$99)+RES!Y$29</f>
        <v>0.27284183549646779</v>
      </c>
      <c r="Z101" s="63">
        <f>$V101-$V$99*'Census 2011_17'!E$20*RES!$V101/(1-RES!$V$99)+RES!Z$29</f>
        <v>0.26993364335128939</v>
      </c>
      <c r="AA101" s="63">
        <f>$V101-$V$99*'Census 2011_17'!F$20*RES!$V101/(1-RES!$V$99)+RES!AA$29</f>
        <v>0.26502545120611098</v>
      </c>
      <c r="AB101" s="63">
        <f>$V101-$V$99*'Census 2011_17'!G$20*RES!$V101/(1-RES!$V$99)+RES!AB$29</f>
        <v>0.26502545120611098</v>
      </c>
      <c r="AC101" s="63">
        <f>$V101-$V$99*'Census 2011_17'!H$20*RES!$V101/(1-RES!$V$99)+RES!AC$29</f>
        <v>0.26502545120611098</v>
      </c>
      <c r="AD101" s="273"/>
      <c r="AE101" s="63">
        <f>(IFERROR(IF($N101/(SUMIF(RES!$D$39:$D$145,$D101,$N$39:$N$145))=1,1,($N101/(SUMIF(RES!$D$39:$D$145,$D101,$N$39:$N$145)))),0))-AE$29</f>
        <v>0.27680927918281539</v>
      </c>
      <c r="AF101" s="63">
        <f>IF(W101-AF$29&lt;0,0,W101-AF$29*2)</f>
        <v>0.26965821978682453</v>
      </c>
      <c r="AG101" s="63">
        <f t="shared" ref="AG101:AG102" si="88">IF(X101-AG$29&lt;0,0,X101-AG$29*2)</f>
        <v>0.26825002764164618</v>
      </c>
      <c r="AH101" s="63">
        <f t="shared" ref="AH101:AH102" si="89">IF(Y101-AH$29&lt;0,0,Y101-AH$29*2)</f>
        <v>0.25284183549646777</v>
      </c>
      <c r="AI101" s="63">
        <f t="shared" ref="AI101:AI102" si="90">IF(Z101-AI$29&lt;0,0,Z101-AI$29*2)</f>
        <v>0.2499336433512894</v>
      </c>
      <c r="AJ101" s="63">
        <f t="shared" ref="AJ101:AJ102" si="91">IF(AA101-AJ$29&lt;0,0,AA101-AJ$29*2)</f>
        <v>0.24302545120611099</v>
      </c>
      <c r="AK101" s="63">
        <f t="shared" ref="AK101:AK102" si="92">IF(AB101-AK$29&lt;0,0,AB101-AK$29*2)</f>
        <v>0.24002545120611099</v>
      </c>
      <c r="AL101" s="63">
        <f t="shared" ref="AL101:AL102" si="93">IF(AC101-AL$29&lt;0,0,AC101-AL$29*2)</f>
        <v>0.23502545120611099</v>
      </c>
      <c r="AO101" s="180" t="s">
        <v>507</v>
      </c>
      <c r="AP101" s="497">
        <f t="shared" si="85"/>
        <v>0.25</v>
      </c>
    </row>
    <row r="102" spans="1:56" s="14" customFormat="1" ht="15" hidden="1" outlineLevel="1">
      <c r="A102" s="247" t="s">
        <v>1009</v>
      </c>
      <c r="B102" s="247" t="s">
        <v>391</v>
      </c>
      <c r="C102" s="248" t="s">
        <v>240</v>
      </c>
      <c r="D102" s="248" t="s">
        <v>258</v>
      </c>
      <c r="E102" s="487">
        <v>0.25</v>
      </c>
      <c r="F102" s="559">
        <v>1</v>
      </c>
      <c r="G102" s="559">
        <v>1</v>
      </c>
      <c r="H102" s="559">
        <f t="shared" si="83"/>
        <v>0.24320202488889708</v>
      </c>
      <c r="I102" s="578">
        <v>1E-3</v>
      </c>
      <c r="J102" s="487">
        <v>0</v>
      </c>
      <c r="K102" s="48"/>
      <c r="L102" s="486">
        <v>1</v>
      </c>
      <c r="M102" s="486">
        <f>IF(C102="","",SUMIFS(Energy_Balance!I$55:I$160,Energy_Balance!$C$55:$C$160,C102,Energy_Balance!$D$55:$D$160,D102)*L102)</f>
        <v>0.97280809955558833</v>
      </c>
      <c r="N102" s="486">
        <f t="shared" ref="N102" si="94">E102*M102</f>
        <v>0.24320202488889708</v>
      </c>
      <c r="O102" s="25"/>
      <c r="P102" s="605">
        <f t="shared" si="84"/>
        <v>0.25</v>
      </c>
      <c r="Q102" s="361">
        <f>IF($AO102="","",($S102-$P102)*1/3+$P102)</f>
        <v>0.25</v>
      </c>
      <c r="R102" s="361">
        <f>IF($AO102="","",($S102-$P102)*2/3+$P102)</f>
        <v>0.25</v>
      </c>
      <c r="S102" s="361">
        <f>IF($AO102="","",IF($AO102="*",$AP102*(1+$P$29),E102))</f>
        <v>0.25</v>
      </c>
      <c r="T102" s="204"/>
      <c r="U102" s="273"/>
      <c r="V102" s="63">
        <f>IF((IFERROR(IF(N102/(SUMIF(RES!$D$39:$D$145,D102,$N$39:$N$145))=1,1,(N102/(SUMIF(RES!$D$39:$D$145,D102,$N$39:$N$145))+$V$29)),0))&lt;1,(IFERROR(IF(N102/(SUMIF(RES!$D$39:$D$145,D102,$N$39:$N$145))=1,1,(N102/(SUMIF(RES!$D$39:$D$145,D102,$N$39:$N$145))+$V$29)),0)),1)</f>
        <v>4.5050701315728657E-2</v>
      </c>
      <c r="W102" s="63">
        <f>$V102-$V$99*'Census 2011_17'!B$20*RES!$V102/(1-RES!$V$99)+RES!W$29</f>
        <v>4.9523685786635331E-2</v>
      </c>
      <c r="X102" s="63">
        <f>$V102-$V$99*'Census 2011_17'!C$20*RES!$V102/(1-RES!$V$99)+RES!X$29</f>
        <v>4.7133303913232873E-2</v>
      </c>
      <c r="Y102" s="63">
        <f>$V102-$V$99*'Census 2011_17'!D$20*RES!$V102/(1-RES!$V$99)+RES!Y$29</f>
        <v>4.6742922039830409E-2</v>
      </c>
      <c r="Z102" s="63">
        <f>$V102-$V$99*'Census 2011_17'!E$20*RES!$V102/(1-RES!$V$99)+RES!Z$29</f>
        <v>4.5852540166427952E-2</v>
      </c>
      <c r="AA102" s="63">
        <f>$V102-$V$99*'Census 2011_17'!F$20*RES!$V102/(1-RES!$V$99)+RES!AA$29</f>
        <v>4.2962158293025486E-2</v>
      </c>
      <c r="AB102" s="63">
        <f>$V102-$V$99*'Census 2011_17'!G$20*RES!$V102/(1-RES!$V$99)+RES!AB$29</f>
        <v>4.2962158293025486E-2</v>
      </c>
      <c r="AC102" s="63">
        <f>$V102-$V$99*'Census 2011_17'!H$20*RES!$V102/(1-RES!$V$99)+RES!AC$29</f>
        <v>4.2962158293025486E-2</v>
      </c>
      <c r="AD102" s="273"/>
      <c r="AE102" s="63">
        <f>(IFERROR(IF($N102/(SUMIF(RES!$D$39:$D$145,$D102,$N$39:$N$145))=1,1,($N102/(SUMIF(RES!$D$39:$D$145,$D102,$N$39:$N$145)))),0))-AE$29</f>
        <v>4.3950701315728653E-2</v>
      </c>
      <c r="AF102" s="63">
        <f>IF(W102-AF$29&lt;0,0,W102-AF$29*2)</f>
        <v>3.9523685786635329E-2</v>
      </c>
      <c r="AG102" s="63">
        <f t="shared" si="88"/>
        <v>4.0133303913232873E-2</v>
      </c>
      <c r="AH102" s="63">
        <f t="shared" si="89"/>
        <v>2.6742922039830409E-2</v>
      </c>
      <c r="AI102" s="63">
        <f t="shared" si="90"/>
        <v>2.5852540166427952E-2</v>
      </c>
      <c r="AJ102" s="63">
        <f t="shared" si="91"/>
        <v>2.0962158293025487E-2</v>
      </c>
      <c r="AK102" s="63">
        <f t="shared" si="92"/>
        <v>1.7962158293025485E-2</v>
      </c>
      <c r="AL102" s="63">
        <f t="shared" si="93"/>
        <v>1.2962158293025487E-2</v>
      </c>
      <c r="AM102"/>
      <c r="AN102"/>
      <c r="AO102" s="180" t="s">
        <v>507</v>
      </c>
      <c r="AP102" s="497">
        <f t="shared" si="85"/>
        <v>0.25</v>
      </c>
      <c r="AQ102"/>
      <c r="AR102"/>
      <c r="AS102"/>
      <c r="AT102"/>
      <c r="AU102"/>
      <c r="AV102"/>
      <c r="AW102"/>
      <c r="AX102"/>
      <c r="AY102"/>
      <c r="AZ102"/>
      <c r="BA102"/>
      <c r="BB102"/>
      <c r="BC102"/>
      <c r="BD102"/>
    </row>
    <row r="103" spans="1:56" ht="15" hidden="1" outlineLevel="1">
      <c r="A103" s="108" t="s">
        <v>1010</v>
      </c>
      <c r="B103" s="30" t="s">
        <v>364</v>
      </c>
      <c r="C103" s="43" t="s">
        <v>237</v>
      </c>
      <c r="D103" s="43" t="s">
        <v>258</v>
      </c>
      <c r="E103" s="487">
        <v>0.61</v>
      </c>
      <c r="F103" s="559">
        <v>1</v>
      </c>
      <c r="G103" s="559">
        <v>1</v>
      </c>
      <c r="H103" s="559">
        <f t="shared" si="83"/>
        <v>1.3999214778309128</v>
      </c>
      <c r="I103" s="578">
        <v>1E-3</v>
      </c>
      <c r="J103" s="487">
        <v>0</v>
      </c>
      <c r="K103" s="48"/>
      <c r="L103" s="486">
        <v>1</v>
      </c>
      <c r="M103" s="486">
        <f>IF(C103="","",SUMIFS(Energy_Balance!I$55:I$160,Energy_Balance!$C$55:$C$160,C103,Energy_Balance!$D$55:$D$160,D103)*L103)</f>
        <v>2.2949532423457586</v>
      </c>
      <c r="N103" s="486">
        <f t="shared" si="86"/>
        <v>1.3999214778309128</v>
      </c>
      <c r="O103" s="25"/>
      <c r="P103" s="605">
        <f t="shared" si="84"/>
        <v>0.61</v>
      </c>
      <c r="Q103" s="361">
        <f>IF($AO103="","",($R103-$AP103)*15/25+$AP103)</f>
        <v>0.61</v>
      </c>
      <c r="R103" s="361">
        <f>IF($AO103="","",IF($AO103="*",$AP103*(1+$P$29),E103))</f>
        <v>0.61</v>
      </c>
      <c r="S103" s="361">
        <f t="shared" ref="S103:S104" si="95">R103</f>
        <v>0.61</v>
      </c>
      <c r="T103" s="204"/>
      <c r="U103" s="273"/>
      <c r="V103" s="63">
        <f>(IFERROR(IF(N103/(SUMIF(RES!$D$39:$D$145,D103,$N$39:$N$145))=1,1,(N103/(SUMIF(RES!$D$39:$D$145,D103,$N$39:$N$145))+$V$28)),0))</f>
        <v>0.25456500593930009</v>
      </c>
      <c r="W103" s="63">
        <f>$V103-$V$99*'Census 2011_17'!B$20*RES!$V103/(1-RES!$V$99)+RES!W$29</f>
        <v>0.25658703429012386</v>
      </c>
      <c r="X103" s="63">
        <f>$V103-$V$99*'Census 2011_17'!C$20*RES!$V103/(1-RES!$V$99)+RES!X$29</f>
        <v>0.25238112936480817</v>
      </c>
      <c r="Y103" s="63">
        <f>$V103-$V$99*'Census 2011_17'!D$20*RES!$V103/(1-RES!$V$99)+RES!Y$29</f>
        <v>0.25017522443949247</v>
      </c>
      <c r="Z103" s="63">
        <f>$V103-$V$99*'Census 2011_17'!E$20*RES!$V103/(1-RES!$V$99)+RES!Z$29</f>
        <v>0.24746931951417675</v>
      </c>
      <c r="AA103" s="63">
        <f>$V103-$V$99*'Census 2011_17'!F$20*RES!$V103/(1-RES!$V$99)+RES!AA$29</f>
        <v>0.24276341458886103</v>
      </c>
      <c r="AB103" s="63">
        <f>$V103-$V$99*'Census 2011_17'!G$20*RES!$V103/(1-RES!$V$99)+RES!AB$29</f>
        <v>0.24276341458886103</v>
      </c>
      <c r="AC103" s="63">
        <f>$V103-$V$99*'Census 2011_17'!H$20*RES!$V103/(1-RES!$V$99)+RES!AC$29</f>
        <v>0.24276341458886103</v>
      </c>
      <c r="AD103" s="273"/>
      <c r="AE103" s="63">
        <f>(IFERROR(IF($N103/(SUMIF(RES!$D$39:$D$145,$D103,$N$39:$N$145))=1,1,($N103/(SUMIF(RES!$D$39:$D$145,$D103,$N$39:$N$145)))),0))-AE$29</f>
        <v>0.2534650059393001</v>
      </c>
      <c r="AF103" s="63">
        <f>$AE103*(1+'Census 2011_17'!B$20)-AF$28</f>
        <v>0.25962904372129214</v>
      </c>
      <c r="AG103" s="63">
        <f>$AE103*(1+'Census 2011_17'!C$20)-AG$28</f>
        <v>0.26939870133758248</v>
      </c>
      <c r="AH103" s="63">
        <f>$AE103*(1+'Census 2011_17'!D$20)-AH$28</f>
        <v>0.27766835895387287</v>
      </c>
      <c r="AI103" s="63">
        <f>$AE103*(1+'Census 2011_17'!E$20)-AI$28</f>
        <v>0.28693801657016327</v>
      </c>
      <c r="AJ103" s="63">
        <f>$AE103*(1+'Census 2011_17'!F$20)-AJ$28</f>
        <v>0.29520767418645361</v>
      </c>
      <c r="AK103" s="63">
        <f>$AE103*(1+'Census 2011_17'!G$20)-AK$28</f>
        <v>0.29520767418645361</v>
      </c>
      <c r="AL103" s="63">
        <f>$AE103*(1+'Census 2011_17'!H$20)-AL$28</f>
        <v>0.29520767418645361</v>
      </c>
      <c r="AO103" s="180" t="s">
        <v>507</v>
      </c>
      <c r="AP103" s="497">
        <f t="shared" si="85"/>
        <v>0.61</v>
      </c>
    </row>
    <row r="104" spans="1:56" s="158" customFormat="1" ht="17.100000000000001" hidden="1" customHeight="1" outlineLevel="1">
      <c r="A104" s="108" t="s">
        <v>1011</v>
      </c>
      <c r="B104" s="30" t="s">
        <v>365</v>
      </c>
      <c r="C104" s="43" t="s">
        <v>168</v>
      </c>
      <c r="D104" s="43" t="s">
        <v>258</v>
      </c>
      <c r="E104" s="487">
        <v>0.86</v>
      </c>
      <c r="F104" s="559">
        <v>1</v>
      </c>
      <c r="G104" s="559">
        <v>1</v>
      </c>
      <c r="H104" s="559">
        <f t="shared" si="83"/>
        <v>0</v>
      </c>
      <c r="I104" s="578">
        <v>1E-3</v>
      </c>
      <c r="J104" s="487">
        <v>0</v>
      </c>
      <c r="K104" s="48"/>
      <c r="L104" s="486">
        <v>0</v>
      </c>
      <c r="M104" s="486">
        <f>IF(C104="","",SUMIFS(Energy_Balance!I$55:I$160,Energy_Balance!$C$55:$C$160,C104,Energy_Balance!$D$55:$D$160,D104)*L104)</f>
        <v>0</v>
      </c>
      <c r="N104" s="486">
        <f t="shared" si="86"/>
        <v>0</v>
      </c>
      <c r="O104" s="25"/>
      <c r="P104" s="605">
        <f t="shared" si="84"/>
        <v>0.86</v>
      </c>
      <c r="Q104" s="361">
        <f>IF($AO104="","",($R104-$AP104)*15/25+$AP104)</f>
        <v>0.86</v>
      </c>
      <c r="R104" s="361">
        <f>IF($AO104="","",IF($AO104="*",$AP104*(1+$P$29),E104))</f>
        <v>0.86</v>
      </c>
      <c r="S104" s="361">
        <f t="shared" si="95"/>
        <v>0.86</v>
      </c>
      <c r="T104" s="204"/>
      <c r="U104" s="273"/>
      <c r="V104" s="63">
        <f>IF((IFERROR(IF(N104/(SUMIF(RES!$D$39:$D$145,D104,$N$39:$N$145))=1,1,(N104/(SUMIF(RES!$D$39:$D$145,D104,$N$39:$N$145))+$V$29)),0))&lt;1,(IFERROR(IF(N104/(SUMIF(RES!$D$39:$D$145,D104,$N$39:$N$145))=1,1,(N104/(SUMIF(RES!$D$39:$D$145,D104,$N$39:$N$145))+$V$29)),0)),1)</f>
        <v>1E-3</v>
      </c>
      <c r="W104" s="63">
        <f>IF($V104*(1+'Census 2011_17'!B$20)+W$28&lt;1,$V104*(1+'Census 2011_17'!B$20)+W$28,1)</f>
        <v>2.0440456769983688E-3</v>
      </c>
      <c r="X104" s="63">
        <f>IF($V104*(1+'Census 2011_17'!C$20)+X$28&lt;1,$V104*(1+'Census 2011_17'!C$20)+X$28,1)</f>
        <v>3.5766721044045678E-3</v>
      </c>
      <c r="Y104" s="63">
        <f>IF($V104*(1+'Census 2011_17'!D$20)+Y$28&lt;1,$V104*(1+'Census 2011_17'!D$20)+Y$28,1)</f>
        <v>4.1092985318107664E-3</v>
      </c>
      <c r="Z104" s="63">
        <f>IF($V104*(1+'Census 2011_17'!E$20)+Z$28&lt;1,$V104*(1+'Census 2011_17'!E$20)+Z$28,1)</f>
        <v>2.1141924959216966E-2</v>
      </c>
      <c r="AA104" s="63">
        <f>IF($V104*(1+'Census 2011_17'!F$20)+AA$28&lt;1,$V104*(1+'Census 2011_17'!F$20)+AA$28,1)</f>
        <v>4.1174551386623168E-2</v>
      </c>
      <c r="AB104" s="63">
        <f>IF($V104*(1+'Census 2011_17'!G$20)+AB$28&lt;1,$V104*(1+'Census 2011_17'!G$20)+AB$28,1)</f>
        <v>8.1174551386623162E-2</v>
      </c>
      <c r="AC104" s="63">
        <f>IF($V104*(1+'Census 2011_17'!H$20)+AC$28&lt;1,$V104*(1+'Census 2011_17'!H$20)+AC$28,1)</f>
        <v>0.16117455138662318</v>
      </c>
      <c r="AD104" s="273"/>
      <c r="AE104" s="50">
        <v>0</v>
      </c>
      <c r="AF104" s="50">
        <v>0</v>
      </c>
      <c r="AG104" s="50">
        <v>0</v>
      </c>
      <c r="AH104" s="50">
        <v>0</v>
      </c>
      <c r="AI104" s="50">
        <v>0</v>
      </c>
      <c r="AJ104" s="50">
        <f t="shared" ref="AJ104:AL104" si="96">AI104</f>
        <v>0</v>
      </c>
      <c r="AK104" s="50">
        <f t="shared" si="96"/>
        <v>0</v>
      </c>
      <c r="AL104" s="50">
        <f t="shared" si="96"/>
        <v>0</v>
      </c>
      <c r="AM104"/>
      <c r="AN104"/>
      <c r="AO104" s="180" t="s">
        <v>507</v>
      </c>
      <c r="AP104" s="497">
        <f t="shared" si="85"/>
        <v>0.86</v>
      </c>
      <c r="AQ104"/>
      <c r="AR104"/>
      <c r="AS104"/>
      <c r="AT104"/>
      <c r="AU104"/>
      <c r="AV104"/>
      <c r="AW104"/>
      <c r="AX104"/>
      <c r="AY104"/>
      <c r="AZ104"/>
      <c r="BA104"/>
      <c r="BB104"/>
      <c r="BC104"/>
      <c r="BD104"/>
    </row>
    <row r="105" spans="1:56" s="192" customFormat="1" ht="15" hidden="1" outlineLevel="1">
      <c r="A105" s="526" t="s">
        <v>955</v>
      </c>
      <c r="B105" s="527"/>
      <c r="C105" s="528"/>
      <c r="D105" s="528"/>
      <c r="E105" s="529" t="str">
        <f>IF(D105="","",IF(COUNTIF(#REF!,$B105)=1,SUMIF(#REF!,RES!B105,#REF!),SUMIF(#REF!,RES!$B105,#REF!)))</f>
        <v/>
      </c>
      <c r="F105" s="529"/>
      <c r="G105" s="529"/>
      <c r="H105" s="529"/>
      <c r="I105" s="579"/>
      <c r="J105" s="529"/>
      <c r="K105" s="530"/>
      <c r="L105" s="531"/>
      <c r="M105" s="531">
        <f>SUM(M99:M104)</f>
        <v>12.694894562339481</v>
      </c>
      <c r="N105" s="531">
        <f>SUM(N99:N104)</f>
        <v>5.5209569342783622</v>
      </c>
      <c r="O105" s="193"/>
      <c r="P105" s="532"/>
      <c r="Q105" s="532" t="str">
        <f>IF($AO105="","",($R105-$AP105)*15/25+$AP105)</f>
        <v/>
      </c>
      <c r="R105" s="532" t="str">
        <f>IF($AO105="","",IF($AO105="*",$AP105*(1+$P$29),E105))</f>
        <v/>
      </c>
      <c r="S105" s="532" t="str">
        <f>IF(G105="","",IF(COUNTIF(#REF!,$B105)=1,SUMIF(#REF!,RES!$B105,#REF!),SUMIF(#REF!,RES!$B105,#REF!)))</f>
        <v/>
      </c>
      <c r="T105" s="533"/>
      <c r="U105" s="535"/>
      <c r="V105" s="535">
        <f>SUM(V99:V104)</f>
        <v>1.006</v>
      </c>
      <c r="W105" s="535">
        <f t="shared" ref="W105:AC105" si="97">SUM(W99:W104)</f>
        <v>1.0279855542979854</v>
      </c>
      <c r="X105" s="535">
        <f t="shared" si="97"/>
        <v>1.0229748537779744</v>
      </c>
      <c r="Y105" s="535">
        <f t="shared" si="97"/>
        <v>1.0239641532579633</v>
      </c>
      <c r="Z105" s="535">
        <f t="shared" si="97"/>
        <v>1.0559534527379526</v>
      </c>
      <c r="AA105" s="535">
        <f t="shared" si="97"/>
        <v>1.0859427522179415</v>
      </c>
      <c r="AB105" s="535">
        <f t="shared" si="97"/>
        <v>1.1659427522179415</v>
      </c>
      <c r="AC105" s="535">
        <f t="shared" si="97"/>
        <v>1.3259427522179417</v>
      </c>
      <c r="AD105" s="535"/>
      <c r="AE105" s="535">
        <f>SUM(AE99:AE104)</f>
        <v>0.99950000000000017</v>
      </c>
      <c r="AF105" s="535">
        <f t="shared" ref="AF105:AL105" si="98">SUM(AF99:AF104)</f>
        <v>0.991835067807457</v>
      </c>
      <c r="AG105" s="535">
        <f t="shared" si="98"/>
        <v>1.0082314143314992</v>
      </c>
      <c r="AH105" s="535">
        <f t="shared" si="98"/>
        <v>0.97962776085554126</v>
      </c>
      <c r="AI105" s="535">
        <f t="shared" si="98"/>
        <v>0.99052410737958341</v>
      </c>
      <c r="AJ105" s="535">
        <f t="shared" si="98"/>
        <v>0.98742045390362554</v>
      </c>
      <c r="AK105" s="535">
        <f t="shared" si="98"/>
        <v>0.97842045390362542</v>
      </c>
      <c r="AL105" s="535">
        <f t="shared" si="98"/>
        <v>0.96342045390362552</v>
      </c>
    </row>
    <row r="106" spans="1:56" s="233" customFormat="1" ht="15" hidden="1">
      <c r="A106" s="539" t="s">
        <v>1012</v>
      </c>
      <c r="B106" s="540" t="s">
        <v>328</v>
      </c>
      <c r="C106" s="549"/>
      <c r="D106" s="549"/>
      <c r="E106" s="551" t="str">
        <f>IF(D106="","",IF(COUNTIF(#REF!,$B106)=1,SUMIF(#REF!,RES!B106,#REF!),SUMIF(#REF!,RES!$B106,#REF!)))</f>
        <v/>
      </c>
      <c r="F106" s="551"/>
      <c r="G106" s="551"/>
      <c r="H106" s="551"/>
      <c r="I106" s="580"/>
      <c r="J106" s="551"/>
      <c r="K106" s="541"/>
      <c r="L106" s="553"/>
      <c r="M106" s="553"/>
      <c r="N106" s="553"/>
      <c r="O106" s="546"/>
      <c r="P106" s="554"/>
      <c r="Q106" s="554" t="str">
        <f>IF($AO106="","",($R106-$AP106)*15/25+$AP106)</f>
        <v/>
      </c>
      <c r="R106" s="554" t="str">
        <f>IF($AO106="","",IF($AO106="*",$AP106*(1+$P$29),E106))</f>
        <v/>
      </c>
      <c r="S106" s="554" t="str">
        <f>IF(G106="","",IF(COUNTIF(#REF!,$B106)=1,SUMIF(#REF!,RES!$B106,#REF!),SUMIF(#REF!,RES!$B106,#REF!)))</f>
        <v/>
      </c>
      <c r="T106" s="555"/>
      <c r="U106" s="556"/>
      <c r="V106" s="556"/>
      <c r="W106" s="556"/>
      <c r="X106" s="556"/>
      <c r="Y106" s="556"/>
      <c r="Z106" s="556"/>
      <c r="AA106" s="556"/>
      <c r="AB106" s="556"/>
      <c r="AC106" s="556"/>
      <c r="AD106" s="556"/>
      <c r="AE106" s="598"/>
      <c r="AF106" s="598"/>
      <c r="AG106" s="556"/>
      <c r="AH106" s="556"/>
      <c r="AI106" s="556"/>
      <c r="AJ106" s="556"/>
      <c r="AK106" s="556"/>
      <c r="AL106" s="556"/>
      <c r="AO106" s="548"/>
    </row>
    <row r="107" spans="1:56" s="166" customFormat="1" ht="15" outlineLevel="1">
      <c r="A107" s="108" t="s">
        <v>1013</v>
      </c>
      <c r="B107" s="30" t="s">
        <v>366</v>
      </c>
      <c r="C107" s="43" t="s">
        <v>236</v>
      </c>
      <c r="D107" s="43" t="s">
        <v>259</v>
      </c>
      <c r="E107" s="495">
        <f>INDEX('Electrical efficiency'!$L$8:$L$23,MATCH(RES!D107,'Electrical efficiency'!$K$8:$K$23,0))</f>
        <v>0.64200000000000002</v>
      </c>
      <c r="F107" s="559">
        <v>1</v>
      </c>
      <c r="G107" s="559">
        <v>1</v>
      </c>
      <c r="H107" s="559">
        <f>N107/F107*(1+$D$31)</f>
        <v>7.1194662826309676</v>
      </c>
      <c r="I107" s="578">
        <v>1E-3</v>
      </c>
      <c r="J107" s="487">
        <v>0</v>
      </c>
      <c r="K107" s="48" t="s">
        <v>912</v>
      </c>
      <c r="L107" s="486">
        <v>1</v>
      </c>
      <c r="M107" s="486">
        <f>IF(C107="","",SUMIFS(Energy_Balance!I$55:I$160,Energy_Balance!$C$55:$C$160,C107,Energy_Balance!$D$55:$D$160,D107)*L107)</f>
        <v>11.089511343661943</v>
      </c>
      <c r="N107" s="486">
        <f t="shared" si="86"/>
        <v>7.1194662826309676</v>
      </c>
      <c r="O107" s="25"/>
      <c r="P107" s="605">
        <f>INDEX('Electrical efficiency'!$M$8:$M$23,MATCH(RES!D107,'Electrical efficiency'!$K$8:$K$23,0))</f>
        <v>0.74651162790697678</v>
      </c>
      <c r="Q107" s="361">
        <f>INDEX('Electrical efficiency'!$N$8:$N$23,MATCH(RES!D107,'Electrical efficiency'!$K$8:$K$23,0))</f>
        <v>1.2346153846153844</v>
      </c>
      <c r="R107" s="361">
        <f>INDEX('Electrical efficiency'!$O$8:$O$23,MATCH(RES!D107,'Electrical efficiency'!$K$8:$K$23,0))</f>
        <v>1.3102040816326532</v>
      </c>
      <c r="S107" s="361">
        <f>INDEX('Electrical efficiency'!$P$8:$P$23,MATCH(RES!D107,'Electrical efficiency'!$K$8:$K$23,0))</f>
        <v>1.3102040816326532</v>
      </c>
      <c r="T107" s="204"/>
      <c r="U107" s="50"/>
      <c r="V107" s="50">
        <f>(IFERROR(IF(N107/(SUMIF(RES!$D$39:$D$145,D107,$N$39:$N$145))=1,1,(N107/(SUMIF(RES!$D$39:$D$145,D107,$N$39:$N$145))+#REF!)),0))</f>
        <v>1</v>
      </c>
      <c r="W107" s="50">
        <f>V107</f>
        <v>1</v>
      </c>
      <c r="X107" s="50">
        <f t="shared" ref="X107:AC107" si="99">W107</f>
        <v>1</v>
      </c>
      <c r="Y107" s="50">
        <f t="shared" si="99"/>
        <v>1</v>
      </c>
      <c r="Z107" s="50">
        <f t="shared" si="99"/>
        <v>1</v>
      </c>
      <c r="AA107" s="50">
        <f t="shared" si="99"/>
        <v>1</v>
      </c>
      <c r="AB107" s="50">
        <f t="shared" si="99"/>
        <v>1</v>
      </c>
      <c r="AC107" s="50">
        <f t="shared" si="99"/>
        <v>1</v>
      </c>
      <c r="AD107" s="50"/>
      <c r="AE107" s="273">
        <f>(IFERROR(IF($N107/(SUMIF(RES!$D$39:$D$145,$D107,$N$39:$N$145))=1,1,($N107/(SUMIF(RES!$D$39:$D$145,$D107,$N$39:$N$145))-$AE$28)),0))</f>
        <v>1</v>
      </c>
      <c r="AF107" s="50">
        <f>AE107</f>
        <v>1</v>
      </c>
      <c r="AG107" s="50">
        <f t="shared" ref="AG107:AL107" si="100">AF107</f>
        <v>1</v>
      </c>
      <c r="AH107" s="50">
        <f t="shared" si="100"/>
        <v>1</v>
      </c>
      <c r="AI107" s="50">
        <f t="shared" si="100"/>
        <v>1</v>
      </c>
      <c r="AJ107" s="50">
        <f t="shared" si="100"/>
        <v>1</v>
      </c>
      <c r="AK107" s="50">
        <f t="shared" si="100"/>
        <v>1</v>
      </c>
      <c r="AL107" s="50">
        <f t="shared" si="100"/>
        <v>1</v>
      </c>
      <c r="AM107"/>
      <c r="AN107"/>
      <c r="AO107" s="250" t="s">
        <v>110</v>
      </c>
      <c r="AP107" s="497">
        <f>E107</f>
        <v>0.64200000000000002</v>
      </c>
      <c r="AQ107"/>
      <c r="AR107"/>
      <c r="AS107"/>
      <c r="AT107"/>
      <c r="AU107"/>
      <c r="AV107"/>
      <c r="AW107"/>
      <c r="AX107"/>
      <c r="AY107"/>
      <c r="AZ107"/>
      <c r="BA107"/>
      <c r="BB107"/>
      <c r="BC107"/>
      <c r="BD107"/>
    </row>
    <row r="108" spans="1:56" s="192" customFormat="1" ht="15" hidden="1" outlineLevel="1">
      <c r="A108" s="526" t="s">
        <v>955</v>
      </c>
      <c r="B108" s="527"/>
      <c r="C108" s="528"/>
      <c r="D108" s="528"/>
      <c r="E108" s="529" t="str">
        <f>IF(D108="","",IF(COUNTIF(#REF!,$B108)=1,SUMIF(#REF!,RES!B108,#REF!),SUMIF(#REF!,RES!$B108,#REF!)))</f>
        <v/>
      </c>
      <c r="F108" s="529"/>
      <c r="G108" s="529"/>
      <c r="H108" s="529"/>
      <c r="I108" s="579"/>
      <c r="J108" s="529"/>
      <c r="K108" s="530"/>
      <c r="L108" s="531"/>
      <c r="M108" s="531">
        <f>SUM(M107:M107)</f>
        <v>11.089511343661943</v>
      </c>
      <c r="N108" s="531">
        <f>SUM(N107:N107)</f>
        <v>7.1194662826309676</v>
      </c>
      <c r="O108" s="193"/>
      <c r="P108" s="532"/>
      <c r="Q108" s="532" t="str">
        <f>IF($AO108="","",($R108-$AP108)*15/25+$AP108)</f>
        <v/>
      </c>
      <c r="R108" s="532" t="str">
        <f>IF($AO108="","",IF($AO108="*",$AP108*(1+$P$29),E108))</f>
        <v/>
      </c>
      <c r="S108" s="532" t="str">
        <f>IF(G108="","",IF(COUNTIF(#REF!,$B108)=1,SUMIF(#REF!,RES!$B108,#REF!),SUMIF(#REF!,RES!$B108,#REF!)))</f>
        <v/>
      </c>
      <c r="T108" s="533"/>
      <c r="U108" s="534"/>
      <c r="V108" s="534"/>
      <c r="W108" s="534"/>
      <c r="X108" s="534"/>
      <c r="Y108" s="534"/>
      <c r="Z108" s="534"/>
      <c r="AA108" s="534"/>
      <c r="AB108" s="534"/>
      <c r="AC108" s="534"/>
      <c r="AD108" s="534"/>
      <c r="AE108" s="535"/>
      <c r="AF108" s="534"/>
      <c r="AG108" s="534"/>
      <c r="AH108" s="534"/>
      <c r="AI108" s="534"/>
      <c r="AJ108" s="534"/>
      <c r="AK108" s="534"/>
      <c r="AL108" s="534"/>
      <c r="AO108" s="536"/>
    </row>
    <row r="109" spans="1:56" s="233" customFormat="1" ht="15" hidden="1">
      <c r="A109" s="539" t="s">
        <v>1014</v>
      </c>
      <c r="B109" s="540"/>
      <c r="C109" s="549"/>
      <c r="D109" s="549"/>
      <c r="E109" s="551" t="str">
        <f>IF(D109="","",IF(COUNTIF(#REF!,$B109)=1,SUMIF(#REF!,RES!B109,#REF!),SUMIF(#REF!,RES!$B109,#REF!)))</f>
        <v/>
      </c>
      <c r="F109" s="551"/>
      <c r="G109" s="551"/>
      <c r="H109" s="551"/>
      <c r="I109" s="580"/>
      <c r="J109" s="551"/>
      <c r="K109" s="541"/>
      <c r="L109" s="553"/>
      <c r="M109" s="553"/>
      <c r="N109" s="553"/>
      <c r="O109" s="546"/>
      <c r="P109" s="554"/>
      <c r="Q109" s="554" t="str">
        <f>IF($AO109="","",($R109-$AP109)*15/25+$AP109)</f>
        <v/>
      </c>
      <c r="R109" s="554" t="str">
        <f>IF($AO109="","",IF($AO109="*",$AP109*(1+$P$29),E109))</f>
        <v/>
      </c>
      <c r="S109" s="554" t="str">
        <f>IF(G109="","",IF(COUNTIF(#REF!,$B109)=1,SUMIF(#REF!,RES!$B109,#REF!),SUMIF(#REF!,RES!$B109,#REF!)))</f>
        <v/>
      </c>
      <c r="T109" s="555"/>
      <c r="U109" s="556"/>
      <c r="V109" s="556"/>
      <c r="W109" s="556"/>
      <c r="X109" s="556"/>
      <c r="Y109" s="556"/>
      <c r="Z109" s="556"/>
      <c r="AA109" s="556"/>
      <c r="AB109" s="556"/>
      <c r="AC109" s="556"/>
      <c r="AD109" s="556"/>
      <c r="AE109" s="598"/>
      <c r="AF109" s="556"/>
      <c r="AG109" s="556"/>
      <c r="AH109" s="556"/>
      <c r="AI109" s="556"/>
      <c r="AJ109" s="556"/>
      <c r="AK109" s="556"/>
      <c r="AL109" s="556"/>
      <c r="AO109" s="548"/>
    </row>
    <row r="110" spans="1:56" s="166" customFormat="1" ht="15" outlineLevel="1">
      <c r="A110" s="108" t="s">
        <v>1015</v>
      </c>
      <c r="B110" s="30" t="s">
        <v>367</v>
      </c>
      <c r="C110" s="43" t="s">
        <v>236</v>
      </c>
      <c r="D110" s="43" t="s">
        <v>260</v>
      </c>
      <c r="E110" s="495">
        <f>INDEX('Electrical efficiency'!$L$8:$L$23,MATCH(RES!D110,'Electrical efficiency'!$K$8:$K$23,0))</f>
        <v>0.8</v>
      </c>
      <c r="F110" s="559">
        <v>1</v>
      </c>
      <c r="G110" s="559">
        <v>1</v>
      </c>
      <c r="H110" s="559">
        <f>N110/F110*(1+$D$31)</f>
        <v>10.567931658168156</v>
      </c>
      <c r="I110" s="578">
        <v>1E-3</v>
      </c>
      <c r="J110" s="487">
        <v>0</v>
      </c>
      <c r="K110" s="48" t="s">
        <v>912</v>
      </c>
      <c r="L110" s="486">
        <v>1</v>
      </c>
      <c r="M110" s="486">
        <f>IF(C110="","",SUMIFS(Energy_Balance!I$55:I$160,Energy_Balance!$C$55:$C$160,C110,Energy_Balance!$D$55:$D$160,D110)*L110)</f>
        <v>13.209914572710195</v>
      </c>
      <c r="N110" s="486">
        <f t="shared" si="86"/>
        <v>10.567931658168156</v>
      </c>
      <c r="O110" s="25"/>
      <c r="P110" s="605">
        <f>INDEX('Electrical efficiency'!$M$8:$M$23,MATCH(RES!D110,'Electrical efficiency'!$K$8:$K$23,0))</f>
        <v>0.80808080808080818</v>
      </c>
      <c r="Q110" s="361">
        <f>INDEX('Electrical efficiency'!$N$8:$N$23,MATCH(RES!D110,'Electrical efficiency'!$K$8:$K$23,0))</f>
        <v>0.84210526315789469</v>
      </c>
      <c r="R110" s="361">
        <f>INDEX('Electrical efficiency'!$O$8:$O$23,MATCH(RES!D110,'Electrical efficiency'!$K$8:$K$23,0))</f>
        <v>0.85106382978723405</v>
      </c>
      <c r="S110" s="361">
        <f>INDEX('Electrical efficiency'!$P$8:$P$23,MATCH(RES!D110,'Electrical efficiency'!$K$8:$K$23,0))</f>
        <v>0.85106382978723405</v>
      </c>
      <c r="T110" s="204"/>
      <c r="U110" s="50"/>
      <c r="V110" s="50">
        <f>(IFERROR(IF(N110/(SUMIF(RES!$D$39:$D$145,D110,$N$39:$N$145))=1,1,(N110/(SUMIF(RES!$D$39:$D$145,D110,$N$39:$N$145))+#REF!)),0))</f>
        <v>1</v>
      </c>
      <c r="W110" s="50">
        <f>V110</f>
        <v>1</v>
      </c>
      <c r="X110" s="50">
        <f t="shared" ref="X110:AC110" si="101">W110</f>
        <v>1</v>
      </c>
      <c r="Y110" s="50">
        <f t="shared" si="101"/>
        <v>1</v>
      </c>
      <c r="Z110" s="50">
        <f t="shared" si="101"/>
        <v>1</v>
      </c>
      <c r="AA110" s="50">
        <f t="shared" si="101"/>
        <v>1</v>
      </c>
      <c r="AB110" s="50">
        <f t="shared" si="101"/>
        <v>1</v>
      </c>
      <c r="AC110" s="50">
        <f t="shared" si="101"/>
        <v>1</v>
      </c>
      <c r="AD110" s="50"/>
      <c r="AE110" s="273">
        <f>(IFERROR(IF($N110/(SUMIF(RES!$D$39:$D$145,$D110,$N$39:$N$145))=1,1,($N110/(SUMIF(RES!$D$39:$D$145,$D110,$N$39:$N$145))-$AE$28)),0))</f>
        <v>1</v>
      </c>
      <c r="AF110" s="50">
        <f>AE110</f>
        <v>1</v>
      </c>
      <c r="AG110" s="50">
        <f t="shared" ref="AG110:AL111" si="102">AF110</f>
        <v>1</v>
      </c>
      <c r="AH110" s="50">
        <f t="shared" si="102"/>
        <v>1</v>
      </c>
      <c r="AI110" s="50">
        <f t="shared" si="102"/>
        <v>1</v>
      </c>
      <c r="AJ110" s="50">
        <f t="shared" si="102"/>
        <v>1</v>
      </c>
      <c r="AK110" s="50">
        <f t="shared" si="102"/>
        <v>1</v>
      </c>
      <c r="AL110" s="50">
        <f t="shared" si="102"/>
        <v>1</v>
      </c>
      <c r="AM110"/>
      <c r="AN110"/>
      <c r="AO110" s="250" t="s">
        <v>110</v>
      </c>
      <c r="AP110" s="497">
        <f>E110</f>
        <v>0.8</v>
      </c>
      <c r="AQ110"/>
      <c r="AR110"/>
      <c r="AS110"/>
      <c r="AT110"/>
      <c r="AU110"/>
      <c r="AV110"/>
      <c r="AW110"/>
      <c r="AX110"/>
      <c r="AY110"/>
      <c r="AZ110"/>
      <c r="BA110"/>
      <c r="BB110"/>
      <c r="BC110"/>
      <c r="BD110"/>
    </row>
    <row r="111" spans="1:56" ht="15" hidden="1" outlineLevel="1">
      <c r="A111" s="108" t="s">
        <v>1016</v>
      </c>
      <c r="B111" s="30" t="s">
        <v>368</v>
      </c>
      <c r="C111" s="43" t="s">
        <v>238</v>
      </c>
      <c r="D111" s="43" t="s">
        <v>295</v>
      </c>
      <c r="E111" s="487">
        <v>1</v>
      </c>
      <c r="F111" s="559">
        <v>1</v>
      </c>
      <c r="G111" s="559">
        <v>1</v>
      </c>
      <c r="H111" s="559">
        <f>N111/F111*(1+$D$31)</f>
        <v>0</v>
      </c>
      <c r="I111" s="578">
        <v>1E-3</v>
      </c>
      <c r="J111" s="487">
        <v>0</v>
      </c>
      <c r="K111" s="48"/>
      <c r="L111" s="486">
        <v>1</v>
      </c>
      <c r="M111" s="486">
        <f>IF(C111="","",SUMIFS(Energy_Balance!I$55:I$160,Energy_Balance!$C$55:$C$160,C111,Energy_Balance!$D$55:$D$160,D111)*L111)</f>
        <v>0</v>
      </c>
      <c r="N111" s="486">
        <f t="shared" si="86"/>
        <v>0</v>
      </c>
      <c r="O111" s="25"/>
      <c r="P111" s="605">
        <f>E111</f>
        <v>1</v>
      </c>
      <c r="Q111" s="361">
        <f>IF($AO111="","",($R111-$AP111)*15/25+$AP111)</f>
        <v>1</v>
      </c>
      <c r="R111" s="361">
        <f>IF($AO111="","",IF($AO111="*",$AP111*(1+$P$29),E111))</f>
        <v>1</v>
      </c>
      <c r="S111" s="361">
        <f>R111</f>
        <v>1</v>
      </c>
      <c r="T111" s="204"/>
      <c r="U111" s="50"/>
      <c r="V111" s="50">
        <v>0</v>
      </c>
      <c r="W111" s="50">
        <v>0</v>
      </c>
      <c r="X111" s="50">
        <v>0</v>
      </c>
      <c r="Y111" s="50">
        <v>0</v>
      </c>
      <c r="Z111" s="50">
        <v>0</v>
      </c>
      <c r="AA111" s="50">
        <v>0</v>
      </c>
      <c r="AB111" s="50">
        <v>0</v>
      </c>
      <c r="AC111" s="50">
        <v>0</v>
      </c>
      <c r="AD111" s="50"/>
      <c r="AE111" s="50">
        <v>0</v>
      </c>
      <c r="AF111" s="50">
        <v>0</v>
      </c>
      <c r="AG111" s="50">
        <v>0</v>
      </c>
      <c r="AH111" s="50">
        <v>0</v>
      </c>
      <c r="AI111" s="50">
        <v>0</v>
      </c>
      <c r="AJ111" s="50">
        <f t="shared" si="102"/>
        <v>0</v>
      </c>
      <c r="AK111" s="50">
        <f t="shared" si="102"/>
        <v>0</v>
      </c>
      <c r="AL111" s="50">
        <f t="shared" si="102"/>
        <v>0</v>
      </c>
      <c r="AO111" s="21" t="s">
        <v>507</v>
      </c>
      <c r="AP111" s="497">
        <f>E111</f>
        <v>1</v>
      </c>
    </row>
    <row r="112" spans="1:56" s="192" customFormat="1" ht="15" hidden="1" outlineLevel="1">
      <c r="A112" s="526" t="s">
        <v>955</v>
      </c>
      <c r="B112" s="527"/>
      <c r="C112" s="528"/>
      <c r="D112" s="528"/>
      <c r="E112" s="529" t="str">
        <f>IF(D112="","",IF(COUNTIF(#REF!,$B112)=1,SUMIF(#REF!,RES!B112,#REF!),SUMIF(#REF!,RES!$B112,#REF!)))</f>
        <v/>
      </c>
      <c r="F112" s="529"/>
      <c r="G112" s="529"/>
      <c r="H112" s="529"/>
      <c r="I112" s="579"/>
      <c r="J112" s="529"/>
      <c r="K112" s="530"/>
      <c r="L112" s="531"/>
      <c r="M112" s="575">
        <f>SUM(M110:M111)</f>
        <v>13.209914572710195</v>
      </c>
      <c r="N112" s="575">
        <f>SUM(N110:N111)</f>
        <v>10.567931658168156</v>
      </c>
      <c r="O112" s="193"/>
      <c r="P112" s="532"/>
      <c r="Q112" s="532" t="str">
        <f>IF($AO112="","",($R112-$AP112)*15/25+$AP112)</f>
        <v/>
      </c>
      <c r="R112" s="532" t="str">
        <f>IF($AO112="","",IF($AO112="*",$AP112*(1+$P$29),E112))</f>
        <v/>
      </c>
      <c r="S112" s="532" t="str">
        <f>IF(G112="","",IF(COUNTIF(#REF!,$B112)=1,SUMIF(#REF!,RES!$B112,#REF!),SUMIF(#REF!,RES!$B112,#REF!)))</f>
        <v/>
      </c>
      <c r="T112" s="533"/>
      <c r="U112" s="534"/>
      <c r="V112" s="534"/>
      <c r="W112" s="534"/>
      <c r="X112" s="534"/>
      <c r="Y112" s="534"/>
      <c r="Z112" s="534"/>
      <c r="AA112" s="534"/>
      <c r="AB112" s="534"/>
      <c r="AC112" s="534"/>
      <c r="AD112" s="534"/>
      <c r="AE112" s="535"/>
      <c r="AF112" s="534"/>
      <c r="AG112" s="534"/>
      <c r="AH112" s="534"/>
      <c r="AI112" s="534"/>
      <c r="AJ112" s="534"/>
      <c r="AK112" s="534"/>
      <c r="AL112" s="534"/>
      <c r="AO112" s="536"/>
    </row>
    <row r="113" spans="1:56" s="233" customFormat="1" ht="15" hidden="1">
      <c r="A113" s="539" t="s">
        <v>1017</v>
      </c>
      <c r="B113" s="540" t="s">
        <v>328</v>
      </c>
      <c r="C113" s="549"/>
      <c r="D113" s="549"/>
      <c r="E113" s="551" t="str">
        <f>IF(D113="","",IF(COUNTIF(#REF!,$B113)=1,SUMIF(#REF!,RES!B113,#REF!),SUMIF(#REF!,RES!$B113,#REF!)))</f>
        <v/>
      </c>
      <c r="F113" s="551"/>
      <c r="G113" s="551"/>
      <c r="H113" s="551"/>
      <c r="I113" s="580"/>
      <c r="J113" s="551"/>
      <c r="K113" s="541"/>
      <c r="L113" s="553"/>
      <c r="M113" s="553"/>
      <c r="N113" s="553"/>
      <c r="O113" s="546"/>
      <c r="P113" s="554"/>
      <c r="Q113" s="554" t="str">
        <f>IF($AO113="","",($R113-$AP113)*15/25+$AP113)</f>
        <v/>
      </c>
      <c r="R113" s="554" t="str">
        <f>IF($AO113="","",IF($AO113="*",$AP113*(1+$P$29),E113))</f>
        <v/>
      </c>
      <c r="S113" s="554" t="str">
        <f>IF(G113="","",IF(COUNTIF(#REF!,$B113)=1,SUMIF(#REF!,RES!$B113,#REF!),SUMIF(#REF!,RES!$B113,#REF!)))</f>
        <v/>
      </c>
      <c r="T113" s="555"/>
      <c r="U113" s="556"/>
      <c r="V113" s="556"/>
      <c r="W113" s="556"/>
      <c r="X113" s="556"/>
      <c r="Y113" s="556"/>
      <c r="Z113" s="556"/>
      <c r="AA113" s="556"/>
      <c r="AB113" s="556"/>
      <c r="AC113" s="556"/>
      <c r="AD113" s="556"/>
      <c r="AE113" s="598"/>
      <c r="AF113" s="556"/>
      <c r="AG113" s="556"/>
      <c r="AH113" s="556"/>
      <c r="AI113" s="556"/>
      <c r="AJ113" s="556"/>
      <c r="AK113" s="556"/>
      <c r="AL113" s="556"/>
      <c r="AO113" s="548"/>
    </row>
    <row r="114" spans="1:56" s="166" customFormat="1" ht="15" outlineLevel="1">
      <c r="A114" s="108" t="s">
        <v>1018</v>
      </c>
      <c r="B114" s="30" t="s">
        <v>369</v>
      </c>
      <c r="C114" s="43" t="s">
        <v>236</v>
      </c>
      <c r="D114" s="43" t="s">
        <v>261</v>
      </c>
      <c r="E114" s="559">
        <f>INDEX(Lighting!$V$25:$V$35,MATCH(RES!D114,Lighting!$E$25:$E$35,0))</f>
        <v>3.5618185364705877</v>
      </c>
      <c r="F114" s="559">
        <v>1</v>
      </c>
      <c r="G114" s="559">
        <v>1</v>
      </c>
      <c r="H114" s="559">
        <f>N114/F114*(1+$D$31)</f>
        <v>24.678914197590192</v>
      </c>
      <c r="I114" s="578">
        <v>1E-3</v>
      </c>
      <c r="J114" s="487">
        <v>0</v>
      </c>
      <c r="K114" s="48" t="s">
        <v>440</v>
      </c>
      <c r="L114" s="486">
        <v>1</v>
      </c>
      <c r="M114" s="486">
        <f>IF(C114="","",SUMIFS(Energy_Balance!I$55:I$160,Energy_Balance!$C$55:$C$160,C114,Energy_Balance!$D$55:$D$160,D114)*L114)</f>
        <v>6.928739896458783</v>
      </c>
      <c r="N114" s="486">
        <f t="shared" si="86"/>
        <v>24.678914197590192</v>
      </c>
      <c r="O114" s="25"/>
      <c r="P114" s="605">
        <f>INDEX(Lighting!$V$25:$V$35,MATCH(RES!D114,Lighting!$E$25:$E$35,0))</f>
        <v>3.5618185364705877</v>
      </c>
      <c r="Q114" s="203">
        <f>IF($B114="","",SUMIF(Lighting!$A$25:$A$35,RES!$B114,Lighting!$W$25:$W$35))</f>
        <v>4.579538282274509</v>
      </c>
      <c r="R114" s="203">
        <f>IF($B114="","",SUMIF(Lighting!$A$25:$A$35,RES!$B114,Lighting!$X$25:$X$35))</f>
        <v>5.3019294117647053</v>
      </c>
      <c r="S114" s="203">
        <f>IF($B114="","",SUMIF(Lighting!$A$25:$A$35,RES!$B114,Lighting!$Y$25:$Y$35))</f>
        <v>5.3019294117647053</v>
      </c>
      <c r="T114" s="204"/>
      <c r="U114" s="50"/>
      <c r="V114" s="50">
        <f>(IFERROR(IF(N114/(SUMIF(RES!$D$39:$D$145,D114,$N$39:$N$145))=1,1,(N114/(SUMIF(RES!$D$39:$D$145,D114,$N$39:$N$145))+#REF!)),0))</f>
        <v>1</v>
      </c>
      <c r="W114" s="50">
        <f>V114</f>
        <v>1</v>
      </c>
      <c r="X114" s="50">
        <f t="shared" ref="X114:AC114" si="103">W114</f>
        <v>1</v>
      </c>
      <c r="Y114" s="50">
        <f t="shared" si="103"/>
        <v>1</v>
      </c>
      <c r="Z114" s="50">
        <f t="shared" si="103"/>
        <v>1</v>
      </c>
      <c r="AA114" s="50">
        <f t="shared" si="103"/>
        <v>1</v>
      </c>
      <c r="AB114" s="50">
        <f t="shared" si="103"/>
        <v>1</v>
      </c>
      <c r="AC114" s="50">
        <f t="shared" si="103"/>
        <v>1</v>
      </c>
      <c r="AD114" s="50"/>
      <c r="AE114" s="273">
        <f>(IFERROR(IF($N114/(SUMIF(RES!$D$39:$D$145,$D114,$N$39:$N$145))=1,1,($N114/(SUMIF(RES!$D$39:$D$145,$D114,$N$39:$N$145))-$AE$28)),0))</f>
        <v>1</v>
      </c>
      <c r="AF114" s="50">
        <f>AE114</f>
        <v>1</v>
      </c>
      <c r="AG114" s="50">
        <f t="shared" ref="AG114:AL114" si="104">AF114</f>
        <v>1</v>
      </c>
      <c r="AH114" s="50">
        <f t="shared" si="104"/>
        <v>1</v>
      </c>
      <c r="AI114" s="50">
        <f t="shared" si="104"/>
        <v>1</v>
      </c>
      <c r="AJ114" s="50">
        <f t="shared" si="104"/>
        <v>1</v>
      </c>
      <c r="AK114" s="50">
        <f t="shared" si="104"/>
        <v>1</v>
      </c>
      <c r="AL114" s="50">
        <f t="shared" si="104"/>
        <v>1</v>
      </c>
      <c r="AM114"/>
      <c r="AN114"/>
      <c r="AO114" s="170" t="s">
        <v>507</v>
      </c>
      <c r="AP114" s="497">
        <f>E114</f>
        <v>3.5618185364705877</v>
      </c>
      <c r="AQ114"/>
      <c r="AR114"/>
      <c r="AS114"/>
      <c r="AT114"/>
      <c r="AU114"/>
      <c r="AV114"/>
      <c r="AW114"/>
      <c r="AX114"/>
      <c r="AY114"/>
      <c r="AZ114"/>
      <c r="BA114"/>
      <c r="BB114"/>
      <c r="BC114"/>
      <c r="BD114"/>
    </row>
    <row r="115" spans="1:56" s="192" customFormat="1" ht="15" hidden="1" outlineLevel="1">
      <c r="A115" s="576" t="s">
        <v>955</v>
      </c>
      <c r="B115" s="527"/>
      <c r="C115" s="528"/>
      <c r="D115" s="528"/>
      <c r="E115" s="529" t="str">
        <f>IF(D115="","",IF(COUNTIF(#REF!,$B115)=1,SUMIF(#REF!,RES!B115,#REF!),SUMIF(#REF!,RES!$B115,#REF!)))</f>
        <v/>
      </c>
      <c r="F115" s="529"/>
      <c r="G115" s="529"/>
      <c r="H115" s="529"/>
      <c r="I115" s="579"/>
      <c r="J115" s="529"/>
      <c r="K115" s="530"/>
      <c r="L115" s="531"/>
      <c r="M115" s="531">
        <f>SUM(M114:M114)</f>
        <v>6.928739896458783</v>
      </c>
      <c r="N115" s="531">
        <f>SUM(N114:N114)</f>
        <v>24.678914197590192</v>
      </c>
      <c r="O115" s="193"/>
      <c r="P115" s="532"/>
      <c r="Q115" s="532" t="str">
        <f>IF($AO115="","",($R115-$AP115)*15/25+$AP115)</f>
        <v/>
      </c>
      <c r="R115" s="532" t="str">
        <f>IF($AO115="","",IF($AO115="*",$AP115*(1+$P$29),E115))</f>
        <v/>
      </c>
      <c r="S115" s="532" t="str">
        <f>IF(G115="","",IF(COUNTIF(#REF!,$B115)=1,SUMIF(#REF!,RES!$B115,#REF!),SUMIF(#REF!,RES!$B115,#REF!)))</f>
        <v/>
      </c>
      <c r="T115" s="533"/>
      <c r="U115" s="534"/>
      <c r="V115" s="534"/>
      <c r="W115" s="534"/>
      <c r="X115" s="534"/>
      <c r="Y115" s="534"/>
      <c r="Z115" s="534"/>
      <c r="AA115" s="534"/>
      <c r="AB115" s="534"/>
      <c r="AC115" s="534"/>
      <c r="AD115" s="534"/>
      <c r="AE115" s="535"/>
      <c r="AF115" s="534"/>
      <c r="AG115" s="534"/>
      <c r="AH115" s="534"/>
      <c r="AI115" s="534"/>
      <c r="AJ115" s="534"/>
      <c r="AK115" s="534"/>
      <c r="AL115" s="534"/>
      <c r="AO115" s="536"/>
    </row>
    <row r="116" spans="1:56" s="233" customFormat="1" ht="15" hidden="1">
      <c r="A116" s="539" t="s">
        <v>1019</v>
      </c>
      <c r="B116" s="540"/>
      <c r="C116" s="549"/>
      <c r="D116" s="549"/>
      <c r="E116" s="551" t="str">
        <f>IF(D116="","",IF(COUNTIF(#REF!,$B116)=1,SUMIF(#REF!,RES!B116,#REF!),SUMIF(#REF!,RES!$B116,#REF!)))</f>
        <v/>
      </c>
      <c r="F116" s="551"/>
      <c r="G116" s="551"/>
      <c r="H116" s="551"/>
      <c r="I116" s="580"/>
      <c r="J116" s="551"/>
      <c r="K116" s="541"/>
      <c r="L116" s="553"/>
      <c r="M116" s="553"/>
      <c r="N116" s="553"/>
      <c r="O116" s="546"/>
      <c r="P116" s="554"/>
      <c r="Q116" s="554" t="str">
        <f>IF($AO116="","",($R116-$AP116)*15/25+$AP116)</f>
        <v/>
      </c>
      <c r="R116" s="554" t="str">
        <f>IF($AO116="","",IF($AO116="*",$AP116*(1+$P$29),E116))</f>
        <v/>
      </c>
      <c r="S116" s="554" t="str">
        <f>IF(G116="","",IF(COUNTIF(#REF!,$B116)=1,SUMIF(#REF!,RES!$B116,#REF!),SUMIF(#REF!,RES!$B116,#REF!)))</f>
        <v/>
      </c>
      <c r="T116" s="555"/>
      <c r="U116" s="556"/>
      <c r="V116" s="556"/>
      <c r="W116" s="556"/>
      <c r="X116" s="556"/>
      <c r="Y116" s="556"/>
      <c r="Z116" s="556"/>
      <c r="AA116" s="556"/>
      <c r="AB116" s="556"/>
      <c r="AC116" s="556"/>
      <c r="AD116" s="556"/>
      <c r="AE116" s="598"/>
      <c r="AF116" s="556"/>
      <c r="AG116" s="556"/>
      <c r="AH116" s="556"/>
      <c r="AI116" s="556"/>
      <c r="AJ116" s="556"/>
      <c r="AK116" s="556"/>
      <c r="AL116" s="556"/>
      <c r="AO116" s="548"/>
    </row>
    <row r="117" spans="1:56" ht="15" outlineLevel="1">
      <c r="A117" s="108" t="s">
        <v>1020</v>
      </c>
      <c r="B117" s="30" t="s">
        <v>370</v>
      </c>
      <c r="C117" s="43" t="s">
        <v>236</v>
      </c>
      <c r="D117" s="43" t="s">
        <v>262</v>
      </c>
      <c r="E117" s="495">
        <f>INDEX('Electrical efficiency'!$L$8:$L$23,MATCH(RES!D117,'Electrical efficiency'!$K$8:$K$23,0))</f>
        <v>0.65</v>
      </c>
      <c r="F117" s="559">
        <v>1</v>
      </c>
      <c r="G117" s="559">
        <v>1</v>
      </c>
      <c r="H117" s="559">
        <f>N117/F117*(1+$D$31)</f>
        <v>6.2876617561113219</v>
      </c>
      <c r="I117" s="578">
        <v>1E-3</v>
      </c>
      <c r="J117" s="487">
        <v>0</v>
      </c>
      <c r="K117" s="48" t="s">
        <v>912</v>
      </c>
      <c r="L117" s="486">
        <v>1</v>
      </c>
      <c r="M117" s="486">
        <f>IF(C117="","",SUMIFS(Energy_Balance!I$55:I$160,Energy_Balance!$C$55:$C$160,C117,Energy_Balance!$D$55:$D$160,D117)*L117)</f>
        <v>9.6733257786328029</v>
      </c>
      <c r="N117" s="486">
        <f t="shared" si="86"/>
        <v>6.2876617561113219</v>
      </c>
      <c r="O117" s="25"/>
      <c r="P117" s="605">
        <f>INDEX('Electrical efficiency'!$M$8:$M$23,MATCH(RES!D117,'Electrical efficiency'!$K$8:$K$23,0))</f>
        <v>0.67010309278350522</v>
      </c>
      <c r="Q117" s="361">
        <f>INDEX('Electrical efficiency'!$N$8:$N$23,MATCH(RES!D117,'Electrical efficiency'!$K$8:$K$23,0))</f>
        <v>0.73863636363636376</v>
      </c>
      <c r="R117" s="361">
        <f>INDEX('Electrical efficiency'!$O$8:$O$23,MATCH(RES!D117,'Electrical efficiency'!$K$8:$K$23,0))</f>
        <v>0.75581395348837221</v>
      </c>
      <c r="S117" s="361">
        <f>INDEX('Electrical efficiency'!$P$8:$P$23,MATCH(RES!D117,'Electrical efficiency'!$K$8:$K$23,0))</f>
        <v>0.75581395348837221</v>
      </c>
      <c r="T117" s="204"/>
      <c r="U117" s="273"/>
      <c r="V117" s="63">
        <f>(IFERROR(IF(N117/(SUMIF(RES!$D$39:$D$145,D117,$N$39:$N$145))=1,1,(N117/(SUMIF(RES!$D$39:$D$145,D117,$N$39:$N$145))+$V$28)),0))</f>
        <v>0.78194161349285496</v>
      </c>
      <c r="W117" s="63">
        <f>IF($V117*(1+'Census 2011_17'!B$20)+W$28&lt;1,$V117*(1+'Census 2011_17'!B$20)+W$28,1)</f>
        <v>0.81738276123234455</v>
      </c>
      <c r="X117" s="63">
        <f>IF($V117*(1+'Census 2011_17'!C$20)+X$28&lt;1,$V117*(1+'Census 2011_17'!C$20)+X$28,1)</f>
        <v>0.84439472252085523</v>
      </c>
      <c r="Y117" s="63">
        <f>IF($V117*(1+'Census 2011_17'!D$20)+Y$28&lt;1,$V117*(1+'Census 2011_17'!D$20)+Y$28,1)</f>
        <v>0.87040668380936592</v>
      </c>
      <c r="Z117" s="63">
        <f>IF($V117*(1+'Census 2011_17'!E$20)+Z$28&lt;1,$V117*(1+'Census 2011_17'!E$20)+Z$28,1)</f>
        <v>0.9129186450978769</v>
      </c>
      <c r="AA117" s="63">
        <f>IF($V117*(1+'Census 2011_17'!F$20)+AA$28&lt;1,$V117*(1+'Census 2011_17'!F$20)+AA$28,1)</f>
        <v>0.95843060638638755</v>
      </c>
      <c r="AB117" s="63">
        <f>IF($V117*(1+'Census 2011_17'!G$20)+AB$28&lt;1,$V117*(1+'Census 2011_17'!G$20)+AB$28,1)</f>
        <v>0.99843060638638748</v>
      </c>
      <c r="AC117" s="63">
        <f>IF($V117*(1+'Census 2011_17'!H$20)+AC$28&lt;1,$V117*(1+'Census 2011_17'!H$20)+AC$28,1)</f>
        <v>1</v>
      </c>
      <c r="AD117" s="273"/>
      <c r="AE117" s="63">
        <f>(IFERROR(IF($N117/(SUMIF(RES!$D$39:$D$145,$D117,$N$39:$N$145))=1,1,($N117/(SUMIF(RES!$D$39:$D$145,$D117,$N$39:$N$145))-AE$28)),0))</f>
        <v>0.78084161349285497</v>
      </c>
      <c r="AF117" s="63">
        <f>AE117</f>
        <v>0.78084161349285497</v>
      </c>
      <c r="AG117" s="63">
        <f t="shared" ref="AG117:AL118" si="105">AF117</f>
        <v>0.78084161349285497</v>
      </c>
      <c r="AH117" s="63">
        <f t="shared" si="105"/>
        <v>0.78084161349285497</v>
      </c>
      <c r="AI117" s="63">
        <f t="shared" si="105"/>
        <v>0.78084161349285497</v>
      </c>
      <c r="AJ117" s="63">
        <f t="shared" si="105"/>
        <v>0.78084161349285497</v>
      </c>
      <c r="AK117" s="63">
        <f t="shared" si="105"/>
        <v>0.78084161349285497</v>
      </c>
      <c r="AL117" s="63">
        <f t="shared" si="105"/>
        <v>0.78084161349285497</v>
      </c>
      <c r="AO117" s="250" t="s">
        <v>110</v>
      </c>
      <c r="AP117" s="497">
        <f>E117</f>
        <v>0.65</v>
      </c>
    </row>
    <row r="118" spans="1:56" ht="15" hidden="1" outlineLevel="1">
      <c r="A118" s="108" t="s">
        <v>1021</v>
      </c>
      <c r="B118" s="30" t="s">
        <v>371</v>
      </c>
      <c r="C118" s="43" t="s">
        <v>237</v>
      </c>
      <c r="D118" s="43" t="s">
        <v>262</v>
      </c>
      <c r="E118" s="487">
        <v>0.61</v>
      </c>
      <c r="F118" s="559">
        <v>1</v>
      </c>
      <c r="G118" s="559">
        <v>1</v>
      </c>
      <c r="H118" s="559">
        <f>N118/F118*(1+$D$31)</f>
        <v>1.4637478554990577</v>
      </c>
      <c r="I118" s="578">
        <v>1E-3</v>
      </c>
      <c r="J118" s="487">
        <v>0</v>
      </c>
      <c r="K118" s="48"/>
      <c r="L118" s="486">
        <v>1</v>
      </c>
      <c r="M118" s="486">
        <f>IF(C118="","",SUMIFS(Energy_Balance!I$55:I$160,Energy_Balance!$C$55:$C$160,C118,Energy_Balance!$D$55:$D$160,D118)*L118)</f>
        <v>2.3995866483591111</v>
      </c>
      <c r="N118" s="486">
        <f t="shared" si="86"/>
        <v>1.4637478554990577</v>
      </c>
      <c r="O118" s="25"/>
      <c r="P118" s="605">
        <f>E118</f>
        <v>0.61</v>
      </c>
      <c r="Q118" s="361">
        <f t="shared" ref="Q118:Q123" si="106">IF($AO118="","",($R118-$AP118)*15/25+$AP118)</f>
        <v>0.61</v>
      </c>
      <c r="R118" s="361">
        <f t="shared" ref="R118:R123" si="107">IF($AO118="","",IF($AO118="*",$AP118*(1+$P$29),E118))</f>
        <v>0.61</v>
      </c>
      <c r="S118" s="361">
        <f t="shared" ref="S118:S121" si="108">R118</f>
        <v>0.61</v>
      </c>
      <c r="T118" s="204"/>
      <c r="U118" s="273"/>
      <c r="V118" s="63">
        <f>IF((IFERROR(IF(N118/(SUMIF(RES!$D$39:$D$145,D118,$N$39:$N$145))=1,1,(N118/(SUMIF(RES!$D$39:$D$145,D118,$N$39:$N$145))+$V$29)),0))&lt;1,(IFERROR(IF(N118/(SUMIF(RES!$D$39:$D$145,D118,$N$39:$N$145))=1,1,(N118/(SUMIF(RES!$D$39:$D$145,D118,$N$39:$N$145))+$V$29)),0)),1)</f>
        <v>0.18280074825257539</v>
      </c>
      <c r="W118" s="63">
        <f>IF($V118*(1+'Census 2011_17'!B$20)+W$28/2&lt;1,$V118*(1+'Census 2011_17'!B$20)+W$28/2,1)</f>
        <v>0.19135233096516846</v>
      </c>
      <c r="X118" s="63">
        <f>IF($V118*(1+'Census 2011_17'!C$20)+X$28/2&lt;1,$V118*(1+'Census 2011_17'!C$20)+X$28/2,1)</f>
        <v>0.19806646630782995</v>
      </c>
      <c r="Y118" s="63">
        <f>IF($V118*(1+'Census 2011_17'!D$20)+Y$28/2&lt;1,$V118*(1+'Census 2011_17'!D$20)+Y$28/2,1)</f>
        <v>0.20428060165049144</v>
      </c>
      <c r="Z118" s="63">
        <f>IF($V118*(1+'Census 2011_17'!E$20)+Z$28/2&lt;1,$V118*(1+'Census 2011_17'!E$20)+Z$28/2,1)</f>
        <v>0.218744736993153</v>
      </c>
      <c r="AA118" s="63">
        <f>IF($V118*(1+'Census 2011_17'!F$20)+AA$28/2&lt;1,$V118*(1+'Census 2011_17'!F$20)+AA$28/2,1)</f>
        <v>0.23470887233581447</v>
      </c>
      <c r="AB118" s="63">
        <f>IF($V118*(1+'Census 2011_17'!G$20)+AB$28/2&lt;1,$V118*(1+'Census 2011_17'!G$20)+AB$28/2,1)</f>
        <v>0.25470887233581446</v>
      </c>
      <c r="AC118" s="63">
        <f>IF($V118*(1+'Census 2011_17'!H$20)+AC$28/2&lt;1,$V118*(1+'Census 2011_17'!H$20)+AC$28/2,1)</f>
        <v>0.2947088723358145</v>
      </c>
      <c r="AD118" s="273"/>
      <c r="AE118" s="63">
        <f>(IFERROR(IF($N118/(SUMIF(RES!$D$39:$D$145,$D118,$N$39:$N$145))=1,1,($N118/(SUMIF(RES!$D$39:$D$145,$D118,$N$39:$N$145))-AE$28*4)),0))</f>
        <v>0.18140074825257538</v>
      </c>
      <c r="AF118" s="63">
        <f>AE118</f>
        <v>0.18140074825257538</v>
      </c>
      <c r="AG118" s="63">
        <f t="shared" si="105"/>
        <v>0.18140074825257538</v>
      </c>
      <c r="AH118" s="63">
        <f t="shared" si="105"/>
        <v>0.18140074825257538</v>
      </c>
      <c r="AI118" s="63">
        <f t="shared" si="105"/>
        <v>0.18140074825257538</v>
      </c>
      <c r="AJ118" s="63">
        <f t="shared" si="105"/>
        <v>0.18140074825257538</v>
      </c>
      <c r="AK118" s="63">
        <f t="shared" si="105"/>
        <v>0.18140074825257538</v>
      </c>
      <c r="AL118" s="63">
        <f t="shared" si="105"/>
        <v>0.18140074825257538</v>
      </c>
      <c r="AO118" s="21" t="s">
        <v>507</v>
      </c>
      <c r="AP118" s="497">
        <f>E118</f>
        <v>0.61</v>
      </c>
    </row>
    <row r="119" spans="1:56" ht="15" hidden="1" outlineLevel="1">
      <c r="A119" s="108" t="s">
        <v>1022</v>
      </c>
      <c r="B119" s="30" t="s">
        <v>372</v>
      </c>
      <c r="C119" s="43" t="s">
        <v>239</v>
      </c>
      <c r="D119" s="43" t="s">
        <v>262</v>
      </c>
      <c r="E119" s="487">
        <v>0.26</v>
      </c>
      <c r="F119" s="559">
        <v>1</v>
      </c>
      <c r="G119" s="559">
        <v>1</v>
      </c>
      <c r="H119" s="559">
        <f>N119/F119*(1+$D$31)</f>
        <v>0.25832187230590387</v>
      </c>
      <c r="I119" s="578">
        <v>1E-3</v>
      </c>
      <c r="J119" s="487">
        <v>0</v>
      </c>
      <c r="K119" s="48"/>
      <c r="L119" s="486">
        <v>1</v>
      </c>
      <c r="M119" s="486">
        <f>IF(C119="","",SUMIFS(Energy_Balance!I$55:I$160,Energy_Balance!$C$55:$C$160,C119,Energy_Balance!$D$55:$D$160,D119)*L119)</f>
        <v>0.99354566271501477</v>
      </c>
      <c r="N119" s="486">
        <f t="shared" si="86"/>
        <v>0.25832187230590387</v>
      </c>
      <c r="O119" s="25"/>
      <c r="P119" s="605">
        <f>E119</f>
        <v>0.26</v>
      </c>
      <c r="Q119" s="361">
        <f t="shared" si="106"/>
        <v>0.26</v>
      </c>
      <c r="R119" s="361">
        <f t="shared" si="107"/>
        <v>0.26</v>
      </c>
      <c r="S119" s="361">
        <f t="shared" si="108"/>
        <v>0.26</v>
      </c>
      <c r="T119" s="204"/>
      <c r="U119" s="273"/>
      <c r="V119" s="63">
        <f>IF((IFERROR(IF(N119/(SUMIF(RES!$D$39:$D$145,D119,$N$39:$N$145))=1,1,(N119/(SUMIF(RES!$D$39:$D$145,D119,$N$39:$N$145))+$V$29)),0))&lt;1,(IFERROR(IF(N119/(SUMIF(RES!$D$39:$D$145,D119,$N$39:$N$145))=1,1,(N119/(SUMIF(RES!$D$39:$D$145,D119,$N$39:$N$145))+$V$29)),0)),1)</f>
        <v>3.308415267615044E-2</v>
      </c>
      <c r="W119" s="63">
        <f>V119*0.9</f>
        <v>2.9775737408535397E-2</v>
      </c>
      <c r="X119" s="63">
        <f t="shared" ref="X119:AC119" si="109">W119*0.9</f>
        <v>2.6798163667681858E-2</v>
      </c>
      <c r="Y119" s="63">
        <f t="shared" si="109"/>
        <v>2.4118347300913671E-2</v>
      </c>
      <c r="Z119" s="63">
        <f t="shared" si="109"/>
        <v>2.1706512570822303E-2</v>
      </c>
      <c r="AA119" s="63">
        <f t="shared" si="109"/>
        <v>1.9535861313740074E-2</v>
      </c>
      <c r="AB119" s="63">
        <f t="shared" si="109"/>
        <v>1.7582275182366068E-2</v>
      </c>
      <c r="AC119" s="63">
        <f t="shared" si="109"/>
        <v>1.5824047664129461E-2</v>
      </c>
      <c r="AD119" s="63"/>
      <c r="AE119" s="63">
        <f>(IFERROR(IF($N119/(SUMIF(RES!$D$39:$D$145,$D119,$N$39:$N$145))=1,1,($N119/(SUMIF(RES!$D$39:$D$145,$D119,$N$39:$N$145)))),0))-AE$29</f>
        <v>3.1984152676150436E-2</v>
      </c>
      <c r="AF119" s="63">
        <f>AE119*0.7</f>
        <v>2.2388906873305303E-2</v>
      </c>
      <c r="AG119" s="63">
        <f t="shared" ref="AG119:AL120" si="110">AF119*0.7</f>
        <v>1.5672234811313711E-2</v>
      </c>
      <c r="AH119" s="63">
        <f t="shared" si="110"/>
        <v>1.0970564367919596E-2</v>
      </c>
      <c r="AI119" s="63">
        <f t="shared" si="110"/>
        <v>7.6793950575437166E-3</v>
      </c>
      <c r="AJ119" s="63">
        <f t="shared" si="110"/>
        <v>5.3755765402806015E-3</v>
      </c>
      <c r="AK119" s="63">
        <f t="shared" si="110"/>
        <v>3.7629035781964206E-3</v>
      </c>
      <c r="AL119" s="63">
        <f t="shared" si="110"/>
        <v>2.6340325047374941E-3</v>
      </c>
      <c r="AO119" s="250" t="s">
        <v>110</v>
      </c>
      <c r="AP119" s="497">
        <f>E119</f>
        <v>0.26</v>
      </c>
    </row>
    <row r="120" spans="1:56" s="166" customFormat="1" ht="15" hidden="1" outlineLevel="1">
      <c r="A120" s="108" t="s">
        <v>1023</v>
      </c>
      <c r="B120" s="30" t="s">
        <v>373</v>
      </c>
      <c r="C120" s="43" t="s">
        <v>238</v>
      </c>
      <c r="D120" s="43" t="s">
        <v>262</v>
      </c>
      <c r="E120" s="487">
        <v>0.45</v>
      </c>
      <c r="F120" s="559">
        <v>1</v>
      </c>
      <c r="G120" s="559">
        <v>1</v>
      </c>
      <c r="H120" s="559">
        <f>N120/F120*(1+$D$31)</f>
        <v>4.1653725266001668E-2</v>
      </c>
      <c r="I120" s="578">
        <v>1E-3</v>
      </c>
      <c r="J120" s="487">
        <v>0</v>
      </c>
      <c r="K120" s="48"/>
      <c r="L120" s="486">
        <v>1</v>
      </c>
      <c r="M120" s="486">
        <f>IF(C120="","",SUMIFS(Energy_Balance!I$55:I$160,Energy_Balance!$C$55:$C$160,C120,Energy_Balance!$D$55:$D$160,D120)*L120)</f>
        <v>9.2563833924448141E-2</v>
      </c>
      <c r="N120" s="486">
        <f t="shared" si="86"/>
        <v>4.1653725266001668E-2</v>
      </c>
      <c r="O120" s="25"/>
      <c r="P120" s="605">
        <f>E120</f>
        <v>0.45</v>
      </c>
      <c r="Q120" s="361">
        <f t="shared" si="106"/>
        <v>0.45</v>
      </c>
      <c r="R120" s="361">
        <f t="shared" si="107"/>
        <v>0.45</v>
      </c>
      <c r="S120" s="361">
        <f t="shared" si="108"/>
        <v>0.45</v>
      </c>
      <c r="T120" s="204"/>
      <c r="U120" s="50"/>
      <c r="V120" s="63">
        <f>IF((IFERROR(IF(N120/(SUMIF(RES!$D$39:$D$145,D120,$N$39:$N$145))=1,1,(N120/(SUMIF(RES!$D$39:$D$145,D120,$N$39:$N$145))+$V$29)),0))&lt;1,(IFERROR(IF(N120/(SUMIF(RES!$D$39:$D$145,D120,$N$39:$N$145))=1,1,(N120/(SUMIF(RES!$D$39:$D$145,D120,$N$39:$N$145))+$V$29)),0)),1)</f>
        <v>6.1734855784191332E-3</v>
      </c>
      <c r="W120" s="63">
        <f>V120*0.9</f>
        <v>5.5561370205772197E-3</v>
      </c>
      <c r="X120" s="63">
        <f t="shared" ref="X120:AC120" si="111">W120*0.9</f>
        <v>5.0005233185194979E-3</v>
      </c>
      <c r="Y120" s="63">
        <f t="shared" si="111"/>
        <v>4.5004709866675483E-3</v>
      </c>
      <c r="Z120" s="63">
        <f t="shared" si="111"/>
        <v>4.0504238880007936E-3</v>
      </c>
      <c r="AA120" s="63">
        <f t="shared" si="111"/>
        <v>3.6453814992007142E-3</v>
      </c>
      <c r="AB120" s="63">
        <f t="shared" si="111"/>
        <v>3.2808433492806429E-3</v>
      </c>
      <c r="AC120" s="63">
        <f t="shared" si="111"/>
        <v>2.9527590143525787E-3</v>
      </c>
      <c r="AD120" s="63"/>
      <c r="AE120" s="63">
        <f>(IFERROR(IF($N120/(SUMIF(RES!$D$39:$D$145,$D120,$N$39:$N$145))=1,1,($N120/(SUMIF(RES!$D$39:$D$145,$D120,$N$39:$N$145)))),0))-AE$29</f>
        <v>5.0734855784191329E-3</v>
      </c>
      <c r="AF120" s="63">
        <f>AE120*0.7</f>
        <v>3.5514399048933928E-3</v>
      </c>
      <c r="AG120" s="63">
        <f t="shared" si="110"/>
        <v>2.4860079334253749E-3</v>
      </c>
      <c r="AH120" s="63">
        <f t="shared" si="110"/>
        <v>1.7402055533977624E-3</v>
      </c>
      <c r="AI120" s="63">
        <f t="shared" si="110"/>
        <v>1.2181438873784336E-3</v>
      </c>
      <c r="AJ120" s="63">
        <f t="shared" si="110"/>
        <v>8.5270072116490347E-4</v>
      </c>
      <c r="AK120" s="63">
        <f t="shared" si="110"/>
        <v>5.9689050481543239E-4</v>
      </c>
      <c r="AL120" s="63">
        <f t="shared" si="110"/>
        <v>4.1782335337080267E-4</v>
      </c>
      <c r="AM120"/>
      <c r="AN120"/>
      <c r="AO120" s="250" t="s">
        <v>110</v>
      </c>
      <c r="AP120" s="497">
        <f>E120</f>
        <v>0.45</v>
      </c>
      <c r="AQ120"/>
      <c r="AR120"/>
      <c r="AS120"/>
      <c r="AT120"/>
      <c r="AU120"/>
      <c r="AV120"/>
      <c r="AW120"/>
      <c r="AX120"/>
      <c r="AY120"/>
      <c r="AZ120"/>
      <c r="BA120"/>
      <c r="BB120"/>
      <c r="BC120"/>
      <c r="BD120"/>
    </row>
    <row r="121" spans="1:56" ht="15" hidden="1" outlineLevel="1">
      <c r="A121" s="108" t="s">
        <v>1024</v>
      </c>
      <c r="B121" s="30" t="s">
        <v>374</v>
      </c>
      <c r="C121" s="43" t="s">
        <v>168</v>
      </c>
      <c r="D121" s="43" t="s">
        <v>262</v>
      </c>
      <c r="E121" s="487">
        <f>E84</f>
        <v>0.9</v>
      </c>
      <c r="F121" s="559">
        <v>1</v>
      </c>
      <c r="G121" s="559">
        <v>1</v>
      </c>
      <c r="H121" s="559">
        <f>N121/F121*(1+$D$31)</f>
        <v>0</v>
      </c>
      <c r="I121" s="578">
        <v>1E-3</v>
      </c>
      <c r="J121" s="487">
        <v>0</v>
      </c>
      <c r="K121" s="48"/>
      <c r="L121" s="486">
        <v>0</v>
      </c>
      <c r="M121" s="486">
        <f>IF(C121="","",SUMIFS(Energy_Balance!I$55:I$160,Energy_Balance!$C$55:$C$160,C121,Energy_Balance!$D$55:$D$160,D121)*L121)</f>
        <v>0</v>
      </c>
      <c r="N121" s="486">
        <f t="shared" si="86"/>
        <v>0</v>
      </c>
      <c r="O121" s="25"/>
      <c r="P121" s="605">
        <f>E121</f>
        <v>0.9</v>
      </c>
      <c r="Q121" s="361">
        <f t="shared" si="106"/>
        <v>0.9</v>
      </c>
      <c r="R121" s="361">
        <f t="shared" si="107"/>
        <v>0.9</v>
      </c>
      <c r="S121" s="361">
        <f t="shared" si="108"/>
        <v>0.9</v>
      </c>
      <c r="T121" s="204"/>
      <c r="U121" s="50"/>
      <c r="V121" s="63">
        <v>0</v>
      </c>
      <c r="W121" s="63">
        <v>0</v>
      </c>
      <c r="X121" s="63">
        <v>0</v>
      </c>
      <c r="Y121" s="63">
        <v>0</v>
      </c>
      <c r="Z121" s="63">
        <v>0</v>
      </c>
      <c r="AA121" s="63">
        <v>0</v>
      </c>
      <c r="AB121" s="63">
        <v>0</v>
      </c>
      <c r="AC121" s="63">
        <v>0</v>
      </c>
      <c r="AD121" s="63"/>
      <c r="AE121" s="63">
        <v>0</v>
      </c>
      <c r="AF121" s="63">
        <v>0</v>
      </c>
      <c r="AG121" s="63">
        <v>0</v>
      </c>
      <c r="AH121" s="63">
        <v>0</v>
      </c>
      <c r="AI121" s="63">
        <v>0</v>
      </c>
      <c r="AJ121" s="63">
        <v>0</v>
      </c>
      <c r="AK121" s="63">
        <v>0</v>
      </c>
      <c r="AL121" s="63">
        <v>0</v>
      </c>
      <c r="AO121" s="250" t="s">
        <v>110</v>
      </c>
      <c r="AP121" s="497">
        <f>E121</f>
        <v>0.9</v>
      </c>
    </row>
    <row r="122" spans="1:56" s="192" customFormat="1" ht="15" hidden="1" outlineLevel="1">
      <c r="A122" s="526" t="s">
        <v>955</v>
      </c>
      <c r="B122" s="527"/>
      <c r="C122" s="528"/>
      <c r="D122" s="528"/>
      <c r="E122" s="529" t="str">
        <f>IF(D122="","",IF(COUNTIF(#REF!,$B122)=1,SUMIF(#REF!,RES!B122,#REF!),SUMIF(#REF!,RES!$B122,#REF!)))</f>
        <v/>
      </c>
      <c r="F122" s="529"/>
      <c r="G122" s="529"/>
      <c r="H122" s="529"/>
      <c r="I122" s="579"/>
      <c r="J122" s="529"/>
      <c r="K122" s="530"/>
      <c r="L122" s="531"/>
      <c r="M122" s="531">
        <f>SUM(M117:M121)</f>
        <v>13.159021923631377</v>
      </c>
      <c r="N122" s="531">
        <f>SUM(N117:N121)</f>
        <v>8.0513852091822855</v>
      </c>
      <c r="O122" s="193"/>
      <c r="P122" s="532"/>
      <c r="Q122" s="532" t="str">
        <f t="shared" si="106"/>
        <v/>
      </c>
      <c r="R122" s="532" t="str">
        <f t="shared" si="107"/>
        <v/>
      </c>
      <c r="S122" s="532" t="str">
        <f>IF(G122="","",IF(COUNTIF(#REF!,$B122)=1,SUMIF(#REF!,RES!$B122,#REF!),SUMIF(#REF!,RES!$B122,#REF!)))</f>
        <v/>
      </c>
      <c r="T122" s="533"/>
      <c r="U122" s="534"/>
      <c r="V122" s="535">
        <f t="shared" ref="V122:AC122" si="112">SUM(V117:V121)</f>
        <v>1.004</v>
      </c>
      <c r="W122" s="535">
        <f t="shared" si="112"/>
        <v>1.0440669666266256</v>
      </c>
      <c r="X122" s="535">
        <f t="shared" si="112"/>
        <v>1.0742598758148867</v>
      </c>
      <c r="Y122" s="535">
        <f t="shared" si="112"/>
        <v>1.1033061037474388</v>
      </c>
      <c r="Z122" s="535">
        <f t="shared" si="112"/>
        <v>1.1574203185498531</v>
      </c>
      <c r="AA122" s="535">
        <f t="shared" si="112"/>
        <v>1.2163207215351428</v>
      </c>
      <c r="AB122" s="535">
        <f t="shared" si="112"/>
        <v>1.2740025972538485</v>
      </c>
      <c r="AC122" s="535">
        <f t="shared" si="112"/>
        <v>1.3134856790142964</v>
      </c>
      <c r="AD122" s="534"/>
      <c r="AE122" s="535">
        <f>SUM(AE117:AE121)</f>
        <v>0.99929999999999986</v>
      </c>
      <c r="AF122" s="535">
        <f t="shared" ref="AF122:AL122" si="113">SUM(AF117:AF121)</f>
        <v>0.98818270852362899</v>
      </c>
      <c r="AG122" s="535">
        <f t="shared" si="113"/>
        <v>0.98040060449016941</v>
      </c>
      <c r="AH122" s="535">
        <f t="shared" si="113"/>
        <v>0.97495313166674757</v>
      </c>
      <c r="AI122" s="535">
        <f t="shared" si="113"/>
        <v>0.97113990069035239</v>
      </c>
      <c r="AJ122" s="535">
        <f t="shared" si="113"/>
        <v>0.96847063900687591</v>
      </c>
      <c r="AK122" s="535">
        <f t="shared" si="113"/>
        <v>0.96660215582844222</v>
      </c>
      <c r="AL122" s="535">
        <f t="shared" si="113"/>
        <v>0.96529421760353862</v>
      </c>
      <c r="AO122" s="536"/>
    </row>
    <row r="123" spans="1:56" s="233" customFormat="1" ht="15" hidden="1">
      <c r="A123" s="539" t="s">
        <v>1025</v>
      </c>
      <c r="B123" s="540" t="s">
        <v>328</v>
      </c>
      <c r="C123" s="549"/>
      <c r="D123" s="549"/>
      <c r="E123" s="551" t="str">
        <f>IF(D123="","",IF(COUNTIF(#REF!,$B123)=1,SUMIF(#REF!,RES!B123,#REF!),SUMIF(#REF!,RES!$B123,#REF!)))</f>
        <v/>
      </c>
      <c r="F123" s="551"/>
      <c r="G123" s="551"/>
      <c r="H123" s="551"/>
      <c r="I123" s="580"/>
      <c r="J123" s="551"/>
      <c r="K123" s="541"/>
      <c r="L123" s="553"/>
      <c r="M123" s="553" t="str">
        <f>IF(C123="","",IF(COUNTIF(#REF!,$B123)=1,SUMIF(#REF!,RES!$B123,#REF!),SUMIFS(Energy_Balance!I$160:I$160,Energy_Balance!$C$55:$C$160,C123,Energy_Balance!$D$55:$D$160,D123)*L123))</f>
        <v/>
      </c>
      <c r="N123" s="553"/>
      <c r="O123" s="546"/>
      <c r="P123" s="554"/>
      <c r="Q123" s="554" t="str">
        <f t="shared" si="106"/>
        <v/>
      </c>
      <c r="R123" s="554" t="str">
        <f t="shared" si="107"/>
        <v/>
      </c>
      <c r="S123" s="554" t="str">
        <f>IF(G123="","",IF(COUNTIF(#REF!,$B123)=1,SUMIF(#REF!,RES!$B123,#REF!),SUMIF(#REF!,RES!$B123,#REF!)))</f>
        <v/>
      </c>
      <c r="T123" s="555"/>
      <c r="U123" s="556"/>
      <c r="V123" s="556"/>
      <c r="W123" s="556"/>
      <c r="X123" s="556"/>
      <c r="Y123" s="556"/>
      <c r="Z123" s="556"/>
      <c r="AA123" s="556"/>
      <c r="AB123" s="556"/>
      <c r="AC123" s="556"/>
      <c r="AD123" s="556"/>
      <c r="AE123" s="598"/>
      <c r="AF123" s="556"/>
      <c r="AG123" s="556"/>
      <c r="AH123" s="556"/>
      <c r="AI123" s="556"/>
      <c r="AJ123" s="556"/>
      <c r="AK123" s="556"/>
      <c r="AL123" s="556"/>
      <c r="AO123" s="548"/>
    </row>
    <row r="124" spans="1:56" s="166" customFormat="1" ht="15" outlineLevel="1">
      <c r="A124" s="108" t="s">
        <v>1026</v>
      </c>
      <c r="B124" s="30" t="s">
        <v>375</v>
      </c>
      <c r="C124" s="43" t="s">
        <v>236</v>
      </c>
      <c r="D124" s="43" t="s">
        <v>246</v>
      </c>
      <c r="E124" s="495">
        <f>INDEX('Electrical efficiency'!$L$8:$L$23,MATCH(RES!D124,'Electrical efficiency'!$K$8:$K$23,0))</f>
        <v>0.97249999999999992</v>
      </c>
      <c r="F124" s="559">
        <v>1</v>
      </c>
      <c r="G124" s="559">
        <v>1</v>
      </c>
      <c r="H124" s="559">
        <f t="shared" ref="H124:H129" si="114">N124/F124*(1+$D$31)</f>
        <v>2.5860444961698406</v>
      </c>
      <c r="I124" s="578">
        <v>1E-3</v>
      </c>
      <c r="J124" s="487">
        <v>0</v>
      </c>
      <c r="K124" s="48" t="s">
        <v>912</v>
      </c>
      <c r="L124" s="486">
        <v>1</v>
      </c>
      <c r="M124" s="486">
        <f>IF(C124="","",SUMIFS(Energy_Balance!I$55:I$160,Energy_Balance!$C$55:$C$160,C124,Energy_Balance!$D$55:$D$160,D124)*L124)</f>
        <v>2.6591717184265713</v>
      </c>
      <c r="N124" s="486">
        <f t="shared" si="86"/>
        <v>2.5860444961698406</v>
      </c>
      <c r="O124" s="25"/>
      <c r="P124" s="605">
        <f>INDEX('Electrical efficiency'!$M$8:$M$23,MATCH(RES!D124,'Electrical efficiency'!$K$8:$K$23,0))</f>
        <v>0.97249999999999992</v>
      </c>
      <c r="Q124" s="361">
        <f>INDEX('Electrical efficiency'!$N$8:$N$23,MATCH(RES!D124,'Electrical efficiency'!$K$8:$K$23,0))</f>
        <v>0.97249999999999992</v>
      </c>
      <c r="R124" s="361">
        <f>INDEX('Electrical efficiency'!$O$8:$O$23,MATCH(RES!D124,'Electrical efficiency'!$K$8:$K$23,0))</f>
        <v>0.97249999999999992</v>
      </c>
      <c r="S124" s="361">
        <f>INDEX('Electrical efficiency'!$P$8:$P$23,MATCH(RES!D124,'Electrical efficiency'!$K$8:$K$23,0))</f>
        <v>0.97249999999999992</v>
      </c>
      <c r="T124" s="204"/>
      <c r="U124" s="50"/>
      <c r="V124" s="63">
        <f>(IFERROR(IF(N124/(SUMIF(RES!$D$39:$D$145,D124,$N$39:$N$145))=1,1,(N124/(SUMIF(RES!$D$39:$D$145,D124,$N$39:$N$145))+$V$28)),0))</f>
        <v>0.49611377469296436</v>
      </c>
      <c r="W124" s="63">
        <f>IF($V124*(1+'Census 2011_17'!B$20)+W$28&lt;1,$V124*(1+'Census 2011_17'!B$20)+W$28,1)</f>
        <v>0.51896544176753223</v>
      </c>
      <c r="X124" s="63">
        <f>IF($V124*(1+'Census 2011_17'!C$20)+X$28&lt;1,$V124*(1+'Census 2011_17'!C$20)+X$28,1)</f>
        <v>0.53665186182276747</v>
      </c>
      <c r="Y124" s="63">
        <f>IF($V124*(1+'Census 2011_17'!D$20)+Y$28&lt;1,$V124*(1+'Census 2011_17'!D$20)+Y$28,1)</f>
        <v>0.55333828187800282</v>
      </c>
      <c r="Z124" s="63">
        <f>IF($V124*(1+'Census 2011_17'!E$20)+Z$28&lt;1,$V124*(1+'Census 2011_17'!E$20)+Z$28,1)</f>
        <v>0.58652470193323836</v>
      </c>
      <c r="AA124" s="63">
        <f>IF($V124*(1+'Census 2011_17'!F$20)+AA$28&lt;1,$V124*(1+'Census 2011_17'!F$20)+AA$28,1)</f>
        <v>0.62271112198847367</v>
      </c>
      <c r="AB124" s="63">
        <f>IF($V124*(1+'Census 2011_17'!G$20)+AB$28&lt;1,$V124*(1+'Census 2011_17'!G$20)+AB$28,1)</f>
        <v>0.66271112198847359</v>
      </c>
      <c r="AC124" s="63">
        <f>IF($V124*(1+'Census 2011_17'!H$20)+AC$28&lt;1,$V124*(1+'Census 2011_17'!H$20)+AC$28,1)</f>
        <v>0.74271112198847367</v>
      </c>
      <c r="AD124" s="50"/>
      <c r="AE124" s="63">
        <f>(IFERROR(IF($N124/(SUMIF(RES!$D$39:$D$145,$D124,$N$39:$N$145))=1,1,($N124/(SUMIF(RES!$D$39:$D$145,$D124,$N$39:$N$145))-AE$28)),0))</f>
        <v>0.49501377469296437</v>
      </c>
      <c r="AF124" s="63">
        <f>$AE124*(1+'Census 2011_17'!B$20)-AF$28*4</f>
        <v>0.49681699152283398</v>
      </c>
      <c r="AG124" s="63">
        <f>$AE124*(1+'Census 2011_17'!C$20)-AG$28*4</f>
        <v>0.51896752250792244</v>
      </c>
      <c r="AH124" s="63">
        <f>$AE124*(1+'Census 2011_17'!D$20)-AH$28*4</f>
        <v>0.535118053493011</v>
      </c>
      <c r="AI124" s="63">
        <f>$AE124*(1+'Census 2011_17'!E$20)-AI$28*4</f>
        <v>0.55526858447809957</v>
      </c>
      <c r="AJ124" s="63">
        <f>$AE124*(1+'Census 2011_17'!F$20)-AJ$28*4</f>
        <v>0.57141911546318813</v>
      </c>
      <c r="AK124" s="63">
        <f>$AE124*(1+'Census 2011_17'!G$20)-AK$28*4</f>
        <v>0.57141911546318813</v>
      </c>
      <c r="AL124" s="63">
        <f>$AE124*(1+'Census 2011_17'!H$20)-AL$28*4</f>
        <v>0.57141911546318813</v>
      </c>
      <c r="AM124"/>
      <c r="AN124" s="125">
        <f t="shared" ref="AN124:AN129" si="115">H124/SUM($H$124:$H$129)</f>
        <v>0.49511377469296436</v>
      </c>
      <c r="AO124" s="250" t="s">
        <v>110</v>
      </c>
      <c r="AP124" s="497">
        <f t="shared" ref="AP124:AP129" si="116">E124</f>
        <v>0.97249999999999992</v>
      </c>
      <c r="AQ124"/>
      <c r="AR124"/>
      <c r="AS124"/>
      <c r="AT124"/>
      <c r="AU124"/>
      <c r="AV124"/>
      <c r="AW124"/>
      <c r="AX124"/>
      <c r="AY124"/>
      <c r="AZ124"/>
      <c r="BA124"/>
      <c r="BB124"/>
      <c r="BC124"/>
      <c r="BD124"/>
    </row>
    <row r="125" spans="1:56" ht="15" hidden="1" outlineLevel="1">
      <c r="A125" s="108" t="s">
        <v>1027</v>
      </c>
      <c r="B125" s="30" t="s">
        <v>376</v>
      </c>
      <c r="C125" s="43" t="s">
        <v>238</v>
      </c>
      <c r="D125" s="43" t="s">
        <v>246</v>
      </c>
      <c r="E125" s="487">
        <v>0.73</v>
      </c>
      <c r="F125" s="559">
        <v>1</v>
      </c>
      <c r="G125" s="559">
        <v>1</v>
      </c>
      <c r="H125" s="559">
        <f t="shared" si="114"/>
        <v>1.8604840393153063E-2</v>
      </c>
      <c r="I125" s="578">
        <v>1E-3</v>
      </c>
      <c r="J125" s="487">
        <v>0</v>
      </c>
      <c r="K125" s="48"/>
      <c r="L125" s="486">
        <v>1</v>
      </c>
      <c r="M125" s="486">
        <f>IF(C125="","",SUMIFS(Energy_Balance!I$55:I$160,Energy_Balance!$C$55:$C$160,C125,Energy_Balance!$D$55:$D$160,D125)*L125)</f>
        <v>2.5486082730346662E-2</v>
      </c>
      <c r="N125" s="486">
        <f t="shared" si="86"/>
        <v>1.8604840393153063E-2</v>
      </c>
      <c r="O125" s="25"/>
      <c r="P125" s="605">
        <f>E125</f>
        <v>0.73</v>
      </c>
      <c r="Q125" s="361">
        <f t="shared" ref="Q125:Q139" si="117">IF($AO125="","",($R125-$AP125)*15/25+$AP125)</f>
        <v>0.73</v>
      </c>
      <c r="R125" s="361">
        <f t="shared" ref="R125:R139" si="118">IF($AO125="","",IF($AO125="*",$AP125*(1+$P$29),E125))</f>
        <v>0.73</v>
      </c>
      <c r="S125" s="361">
        <f t="shared" ref="S125:S129" si="119">R125</f>
        <v>0.73</v>
      </c>
      <c r="T125" s="204"/>
      <c r="U125" s="50"/>
      <c r="V125" s="63">
        <f>IF((IFERROR(IF(N125/(SUMIF(RES!$D$39:$D$145,D125,$N$39:$N$145))=1,1,(N125/(SUMIF(RES!$D$39:$D$145,D125,$N$39:$N$145))+$V$29)),0))&lt;1,(IFERROR(IF(N125/(SUMIF(RES!$D$39:$D$145,D125,$N$39:$N$145))=1,1,(N125/(SUMIF(RES!$D$39:$D$145,D125,$N$39:$N$145))+$V$29)),0)),1)</f>
        <v>4.562008607453278E-3</v>
      </c>
      <c r="W125" s="63">
        <f>V125</f>
        <v>4.562008607453278E-3</v>
      </c>
      <c r="X125" s="63">
        <f t="shared" ref="X125:AC129" si="120">W125</f>
        <v>4.562008607453278E-3</v>
      </c>
      <c r="Y125" s="63">
        <f t="shared" si="120"/>
        <v>4.562008607453278E-3</v>
      </c>
      <c r="Z125" s="63">
        <f t="shared" si="120"/>
        <v>4.562008607453278E-3</v>
      </c>
      <c r="AA125" s="63">
        <f t="shared" si="120"/>
        <v>4.562008607453278E-3</v>
      </c>
      <c r="AB125" s="63">
        <f t="shared" si="120"/>
        <v>4.562008607453278E-3</v>
      </c>
      <c r="AC125" s="63">
        <f t="shared" si="120"/>
        <v>4.562008607453278E-3</v>
      </c>
      <c r="AD125" s="50"/>
      <c r="AE125" s="63">
        <f>(IFERROR(IF($N125/(SUMIF(RES!$D$39:$D$145,$D125,$N$39:$N$145))=1,1,($N125/(SUMIF(RES!$D$39:$D$145,$D125,$N$39:$N$145)))),0))-AE$29</f>
        <v>3.4620086074532781E-3</v>
      </c>
      <c r="AF125" s="63">
        <f>AE125</f>
        <v>3.4620086074532781E-3</v>
      </c>
      <c r="AG125" s="63">
        <v>0</v>
      </c>
      <c r="AH125" s="63">
        <v>0</v>
      </c>
      <c r="AI125" s="63">
        <v>0</v>
      </c>
      <c r="AJ125" s="63">
        <v>0</v>
      </c>
      <c r="AK125" s="63">
        <v>0</v>
      </c>
      <c r="AL125" s="63">
        <v>0</v>
      </c>
      <c r="AN125" s="125">
        <f t="shared" si="115"/>
        <v>3.562008607453278E-3</v>
      </c>
      <c r="AO125" s="21" t="s">
        <v>507</v>
      </c>
      <c r="AP125" s="497">
        <f t="shared" si="116"/>
        <v>0.73</v>
      </c>
    </row>
    <row r="126" spans="1:56" ht="15" hidden="1" outlineLevel="1">
      <c r="A126" s="108" t="s">
        <v>1028</v>
      </c>
      <c r="B126" s="30" t="s">
        <v>377</v>
      </c>
      <c r="C126" s="43" t="s">
        <v>239</v>
      </c>
      <c r="D126" s="43" t="s">
        <v>246</v>
      </c>
      <c r="E126" s="487">
        <v>0.59</v>
      </c>
      <c r="F126" s="559">
        <v>1</v>
      </c>
      <c r="G126" s="559">
        <v>1</v>
      </c>
      <c r="H126" s="559">
        <f t="shared" si="114"/>
        <v>0.14468092216517153</v>
      </c>
      <c r="I126" s="578">
        <v>1E-3</v>
      </c>
      <c r="J126" s="487">
        <v>0</v>
      </c>
      <c r="K126" s="48"/>
      <c r="L126" s="486">
        <v>1</v>
      </c>
      <c r="M126" s="486">
        <f>IF(C126="","",SUMIFS(Energy_Balance!I$55:I$160,Energy_Balance!$C$55:$C$160,C126,Energy_Balance!$D$55:$D$160,D126)*L126)</f>
        <v>0.24522190197486701</v>
      </c>
      <c r="N126" s="486">
        <f t="shared" si="86"/>
        <v>0.14468092216517153</v>
      </c>
      <c r="O126" s="25"/>
      <c r="P126" s="605">
        <f>E126</f>
        <v>0.59</v>
      </c>
      <c r="Q126" s="361">
        <f t="shared" si="117"/>
        <v>0.59</v>
      </c>
      <c r="R126" s="361">
        <f t="shared" si="118"/>
        <v>0.59</v>
      </c>
      <c r="S126" s="361">
        <f t="shared" si="119"/>
        <v>0.59</v>
      </c>
      <c r="T126" s="204"/>
      <c r="U126" s="50"/>
      <c r="V126" s="63">
        <f>IF((IFERROR(IF(N126/(SUMIF(RES!$D$39:$D$145,D126,$N$39:$N$145))=1,1,(N126/(SUMIF(RES!$D$39:$D$145,D126,$N$39:$N$145))+$V$29)),0))&lt;1,(IFERROR(IF(N126/(SUMIF(RES!$D$39:$D$145,D126,$N$39:$N$145))=1,1,(N126/(SUMIF(RES!$D$39:$D$145,D126,$N$39:$N$145))+$V$29)),0)),1)</f>
        <v>2.8700032851465856E-2</v>
      </c>
      <c r="W126" s="63">
        <f>V126</f>
        <v>2.8700032851465856E-2</v>
      </c>
      <c r="X126" s="63">
        <f t="shared" si="120"/>
        <v>2.8700032851465856E-2</v>
      </c>
      <c r="Y126" s="63">
        <f t="shared" si="120"/>
        <v>2.8700032851465856E-2</v>
      </c>
      <c r="Z126" s="63">
        <f t="shared" si="120"/>
        <v>2.8700032851465856E-2</v>
      </c>
      <c r="AA126" s="63">
        <f t="shared" si="120"/>
        <v>2.8700032851465856E-2</v>
      </c>
      <c r="AB126" s="63">
        <f t="shared" si="120"/>
        <v>2.8700032851465856E-2</v>
      </c>
      <c r="AC126" s="63">
        <f t="shared" si="120"/>
        <v>2.8700032851465856E-2</v>
      </c>
      <c r="AD126" s="50"/>
      <c r="AE126" s="63">
        <f>(IFERROR(IF($N126/(SUMIF(RES!$D$39:$D$145,$D126,$N$39:$N$145))=1,1,($N126/(SUMIF(RES!$D$39:$D$145,$D126,$N$39:$N$145)))),0))-AE$29</f>
        <v>2.7600032851465856E-2</v>
      </c>
      <c r="AF126" s="63">
        <f>IF(W126-AF$29&lt;0,0,W126-AF$29*2)</f>
        <v>1.8700032851465855E-2</v>
      </c>
      <c r="AG126" s="63">
        <f t="shared" ref="AG126" si="121">IF(X126-AG$29&lt;0,0,X126-AG$29*2)</f>
        <v>2.1700032851465857E-2</v>
      </c>
      <c r="AH126" s="63">
        <f t="shared" ref="AH126" si="122">IF(Y126-AH$29&lt;0,0,Y126-AH$29*2)</f>
        <v>8.7000328514658561E-3</v>
      </c>
      <c r="AI126" s="63">
        <v>0</v>
      </c>
      <c r="AJ126" s="63">
        <v>0</v>
      </c>
      <c r="AK126" s="63">
        <v>0</v>
      </c>
      <c r="AL126" s="63">
        <v>0</v>
      </c>
      <c r="AN126" s="125">
        <f t="shared" si="115"/>
        <v>2.7700032851465856E-2</v>
      </c>
      <c r="AO126" s="21" t="s">
        <v>507</v>
      </c>
      <c r="AP126" s="497">
        <f t="shared" si="116"/>
        <v>0.59</v>
      </c>
    </row>
    <row r="127" spans="1:56" ht="15" hidden="1" outlineLevel="1">
      <c r="A127" s="108" t="s">
        <v>1029</v>
      </c>
      <c r="B127" s="30" t="s">
        <v>378</v>
      </c>
      <c r="C127" s="43" t="s">
        <v>240</v>
      </c>
      <c r="D127" s="43" t="s">
        <v>246</v>
      </c>
      <c r="E127" s="487">
        <v>0.59</v>
      </c>
      <c r="F127" s="559">
        <v>1</v>
      </c>
      <c r="G127" s="559">
        <v>1</v>
      </c>
      <c r="H127" s="559">
        <f t="shared" si="114"/>
        <v>0.73037386932638193</v>
      </c>
      <c r="I127" s="578">
        <v>1E-3</v>
      </c>
      <c r="J127" s="487">
        <v>0</v>
      </c>
      <c r="K127" s="48"/>
      <c r="L127" s="486">
        <v>1</v>
      </c>
      <c r="M127" s="486">
        <f>IF(C127="","",SUMIFS(Energy_Balance!I$55:I$160,Energy_Balance!$C$55:$C$160,C127,Energy_Balance!$D$55:$D$160,D127)*L127)</f>
        <v>1.2379218124175966</v>
      </c>
      <c r="N127" s="486">
        <f t="shared" si="86"/>
        <v>0.73037386932638193</v>
      </c>
      <c r="O127" s="25"/>
      <c r="P127" s="605">
        <f>E127</f>
        <v>0.59</v>
      </c>
      <c r="Q127" s="361">
        <f t="shared" si="117"/>
        <v>0.59</v>
      </c>
      <c r="R127" s="361">
        <f t="shared" si="118"/>
        <v>0.59</v>
      </c>
      <c r="S127" s="361">
        <f t="shared" si="119"/>
        <v>0.59</v>
      </c>
      <c r="T127" s="204"/>
      <c r="U127" s="50"/>
      <c r="V127" s="63">
        <f>IF((IFERROR(IF(N127/(SUMIF(RES!$D$39:$D$145,D127,$N$39:$N$145))=1,1,(N127/(SUMIF(RES!$D$39:$D$145,D127,$N$39:$N$145))+$V$29)),0))&lt;1,(IFERROR(IF(N127/(SUMIF(RES!$D$39:$D$145,D127,$N$39:$N$145))=1,1,(N127/(SUMIF(RES!$D$39:$D$145,D127,$N$39:$N$145))+$V$29)),0)),1)</f>
        <v>0.14083447071961799</v>
      </c>
      <c r="W127" s="63">
        <f>V127</f>
        <v>0.14083447071961799</v>
      </c>
      <c r="X127" s="63">
        <f t="shared" si="120"/>
        <v>0.14083447071961799</v>
      </c>
      <c r="Y127" s="63">
        <f t="shared" si="120"/>
        <v>0.14083447071961799</v>
      </c>
      <c r="Z127" s="63">
        <f t="shared" si="120"/>
        <v>0.14083447071961799</v>
      </c>
      <c r="AA127" s="63">
        <f t="shared" si="120"/>
        <v>0.14083447071961799</v>
      </c>
      <c r="AB127" s="63">
        <f t="shared" si="120"/>
        <v>0.14083447071961799</v>
      </c>
      <c r="AC127" s="63">
        <f t="shared" si="120"/>
        <v>0.14083447071961799</v>
      </c>
      <c r="AD127" s="50"/>
      <c r="AE127" s="63">
        <f>(IFERROR(IF($N127/(SUMIF(RES!$D$39:$D$145,$D127,$N$39:$N$145))=1,1,($N127/(SUMIF(RES!$D$39:$D$145,$D127,$N$39:$N$145)))),0))-AE$29*2</f>
        <v>0.13963447071961799</v>
      </c>
      <c r="AF127" s="63">
        <f>IF(W127-AF$29&lt;0,0,W127-AF$29*2)</f>
        <v>0.13083447071961798</v>
      </c>
      <c r="AG127" s="63">
        <f>IF(X127-AG$29&lt;0,0,X127-AG$29*5)</f>
        <v>0.12333447071961799</v>
      </c>
      <c r="AH127" s="63">
        <f t="shared" ref="AH127" si="123">IF(Y127-AH$29&lt;0,0,Y127-AH$29*5)</f>
        <v>9.0834470719617991E-2</v>
      </c>
      <c r="AI127" s="63">
        <f>IF(Z127-AI$29&lt;0,0,Z127-AI$29*10)</f>
        <v>4.0834470719617988E-2</v>
      </c>
      <c r="AJ127" s="63">
        <f t="shared" ref="AJ127:AK127" si="124">IF(AA127-AJ$29&lt;0,0,AA127-AJ$29*10)</f>
        <v>3.0834470719618007E-2</v>
      </c>
      <c r="AK127" s="63">
        <f t="shared" si="124"/>
        <v>1.5834470719617993E-2</v>
      </c>
      <c r="AL127" s="63">
        <v>0</v>
      </c>
      <c r="AN127" s="125">
        <f t="shared" si="115"/>
        <v>0.13983447071961799</v>
      </c>
      <c r="AO127" s="21" t="s">
        <v>507</v>
      </c>
      <c r="AP127" s="497">
        <f t="shared" si="116"/>
        <v>0.59</v>
      </c>
    </row>
    <row r="128" spans="1:56" ht="15" hidden="1" outlineLevel="1">
      <c r="A128" s="108" t="s">
        <v>1030</v>
      </c>
      <c r="B128" s="30" t="s">
        <v>379</v>
      </c>
      <c r="C128" s="43" t="s">
        <v>237</v>
      </c>
      <c r="D128" s="43" t="s">
        <v>246</v>
      </c>
      <c r="E128" s="487">
        <v>0.79</v>
      </c>
      <c r="F128" s="559">
        <v>1</v>
      </c>
      <c r="G128" s="559">
        <v>1</v>
      </c>
      <c r="H128" s="559">
        <f t="shared" si="114"/>
        <v>1.7434276617518025</v>
      </c>
      <c r="I128" s="578">
        <v>1E-3</v>
      </c>
      <c r="J128" s="487">
        <v>0</v>
      </c>
      <c r="K128" s="48"/>
      <c r="L128" s="486">
        <v>1</v>
      </c>
      <c r="M128" s="486">
        <f>IF(C128="","",SUMIFS(Energy_Balance!I$55:I$160,Energy_Balance!$C$55:$C$160,C128,Energy_Balance!$D$55:$D$160,D128)*L128)</f>
        <v>2.206870457913674</v>
      </c>
      <c r="N128" s="486">
        <f t="shared" si="86"/>
        <v>1.7434276617518025</v>
      </c>
      <c r="O128" s="25"/>
      <c r="P128" s="605">
        <f>E128</f>
        <v>0.79</v>
      </c>
      <c r="Q128" s="361">
        <f t="shared" si="117"/>
        <v>0.79</v>
      </c>
      <c r="R128" s="361">
        <f t="shared" si="118"/>
        <v>0.79</v>
      </c>
      <c r="S128" s="361">
        <f t="shared" si="119"/>
        <v>0.79</v>
      </c>
      <c r="T128" s="204"/>
      <c r="U128" s="50"/>
      <c r="V128" s="63">
        <f>(IFERROR(IF(N128/(SUMIF(RES!$D$39:$D$145,D128,$N$39:$N$145))=1,1,(N128/(SUMIF(RES!$D$39:$D$145,D128,$N$39:$N$145))+$V$28)),0))</f>
        <v>0.33478971312849853</v>
      </c>
      <c r="W128" s="63">
        <f>IF($V128*(1+'Census 2011_17'!B$20)+W$28/2&lt;1,$V128*(1+'Census 2011_17'!B$20)+W$28/2,1)</f>
        <v>0.35003575269533294</v>
      </c>
      <c r="X128" s="63">
        <f>IF($V128*(1+'Census 2011_17'!C$20)+X$28/2&lt;1,$V128*(1+'Census 2011_17'!C$20)+X$28/2,1)</f>
        <v>0.36170874496706201</v>
      </c>
      <c r="Y128" s="63">
        <f>IF($V128*(1+'Census 2011_17'!D$20)+Y$28/2&lt;1,$V128*(1+'Census 2011_17'!D$20)+Y$28/2,1)</f>
        <v>0.3728817372387912</v>
      </c>
      <c r="Z128" s="63">
        <f>IF($V128*(1+'Census 2011_17'!E$20)+Z$28/2&lt;1,$V128*(1+'Census 2011_17'!E$20)+Z$28/2,1)</f>
        <v>0.39230472951052037</v>
      </c>
      <c r="AA128" s="63">
        <f>IF($V128*(1+'Census 2011_17'!F$20)+AA$28/2&lt;1,$V128*(1+'Census 2011_17'!F$20)+AA$28/2,1)</f>
        <v>0.41322772178224948</v>
      </c>
      <c r="AB128" s="63">
        <f>IF($V128*(1+'Census 2011_17'!G$20)+AB$28/2&lt;1,$V128*(1+'Census 2011_17'!G$20)+AB$28/2,1)</f>
        <v>0.43322772178224944</v>
      </c>
      <c r="AC128" s="63">
        <f>IF($V128*(1+'Census 2011_17'!H$20)+AC$28/2&lt;1,$V128*(1+'Census 2011_17'!H$20)+AC$28/2,1)</f>
        <v>0.47322772178224948</v>
      </c>
      <c r="AD128" s="50"/>
      <c r="AE128" s="63">
        <f>(IFERROR(IF($N128/(SUMIF(RES!$D$39:$D$145,$D128,$N$39:$N$145))=1,1,($N128/(SUMIF(RES!$D$39:$D$145,$D128,$N$39:$N$145))-AE$28)),0))</f>
        <v>0.33368971312849854</v>
      </c>
      <c r="AF128" s="63">
        <f>AE128</f>
        <v>0.33368971312849854</v>
      </c>
      <c r="AG128" s="63">
        <f>AF128</f>
        <v>0.33368971312849854</v>
      </c>
      <c r="AH128" s="63">
        <f>$AE128*(1+'Census 2011_17'!D$20)-AH$28</f>
        <v>0.36666150885379933</v>
      </c>
      <c r="AI128" s="63">
        <f>$AE128*(1+'Census 2011_17'!E$20)-AI$28</f>
        <v>0.37854861205538171</v>
      </c>
      <c r="AJ128" s="63">
        <f>$AE128*(1+'Census 2011_17'!F$20)-AJ$28</f>
        <v>0.38943571525696402</v>
      </c>
      <c r="AK128" s="63">
        <f>$AE128*(1+'Census 2011_17'!G$20)-AK$28</f>
        <v>0.38943571525696402</v>
      </c>
      <c r="AL128" s="63">
        <f>$AE128*(1+'Census 2011_17'!H$20)-AL$28</f>
        <v>0.38943571525696402</v>
      </c>
      <c r="AN128" s="125">
        <f t="shared" si="115"/>
        <v>0.33378971312849853</v>
      </c>
      <c r="AO128" s="21" t="s">
        <v>507</v>
      </c>
      <c r="AP128" s="497">
        <f t="shared" si="116"/>
        <v>0.79</v>
      </c>
    </row>
    <row r="129" spans="1:56" s="158" customFormat="1" ht="15" hidden="1" outlineLevel="1">
      <c r="A129" s="108" t="s">
        <v>1031</v>
      </c>
      <c r="B129" s="30" t="s">
        <v>380</v>
      </c>
      <c r="C129" s="43" t="s">
        <v>168</v>
      </c>
      <c r="D129" s="43" t="s">
        <v>246</v>
      </c>
      <c r="E129" s="487">
        <v>0.96</v>
      </c>
      <c r="F129" s="559">
        <v>1</v>
      </c>
      <c r="G129" s="559">
        <v>1</v>
      </c>
      <c r="H129" s="559">
        <f t="shared" si="114"/>
        <v>0</v>
      </c>
      <c r="I129" s="578">
        <v>1E-3</v>
      </c>
      <c r="J129" s="487">
        <v>0</v>
      </c>
      <c r="K129" s="48"/>
      <c r="L129" s="486">
        <v>1</v>
      </c>
      <c r="M129" s="486">
        <f>IF(C129="","",SUMIFS(Energy_Balance!I$55:I$160,Energy_Balance!$C$55:$C$160,C129,Energy_Balance!$D$55:$D$160,D129)*L129)</f>
        <v>0</v>
      </c>
      <c r="N129" s="486">
        <f t="shared" si="86"/>
        <v>0</v>
      </c>
      <c r="O129" s="25"/>
      <c r="P129" s="605">
        <f>E129</f>
        <v>0.96</v>
      </c>
      <c r="Q129" s="361">
        <f t="shared" si="117"/>
        <v>0.96</v>
      </c>
      <c r="R129" s="361">
        <f t="shared" si="118"/>
        <v>0.96</v>
      </c>
      <c r="S129" s="361">
        <f t="shared" si="119"/>
        <v>0.96</v>
      </c>
      <c r="T129" s="204"/>
      <c r="U129" s="50"/>
      <c r="V129" s="63">
        <f>IF((IFERROR(IF(N129/(SUMIF(RES!$D$39:$D$145,D129,$N$39:$N$145))=1,1,(N129/(SUMIF(RES!$D$39:$D$145,D129,$N$39:$N$145))+$V$29)),0))&lt;1,(IFERROR(IF(N129/(SUMIF(RES!$D$39:$D$145,D129,$N$39:$N$145))=1,1,(N129/(SUMIF(RES!$D$39:$D$145,D129,$N$39:$N$145))+$V$29)),0)),1)</f>
        <v>1E-3</v>
      </c>
      <c r="W129" s="50">
        <f>V129</f>
        <v>1E-3</v>
      </c>
      <c r="X129" s="50">
        <f t="shared" si="120"/>
        <v>1E-3</v>
      </c>
      <c r="Y129" s="50">
        <f t="shared" si="120"/>
        <v>1E-3</v>
      </c>
      <c r="Z129" s="50">
        <f t="shared" si="120"/>
        <v>1E-3</v>
      </c>
      <c r="AA129" s="50">
        <f t="shared" si="120"/>
        <v>1E-3</v>
      </c>
      <c r="AB129" s="50">
        <f t="shared" si="120"/>
        <v>1E-3</v>
      </c>
      <c r="AC129" s="50">
        <f t="shared" si="120"/>
        <v>1E-3</v>
      </c>
      <c r="AD129" s="50"/>
      <c r="AE129" s="63">
        <v>0</v>
      </c>
      <c r="AF129" s="50">
        <f>AE129</f>
        <v>0</v>
      </c>
      <c r="AG129" s="50">
        <f t="shared" ref="AG129:AL129" si="125">AF129</f>
        <v>0</v>
      </c>
      <c r="AH129" s="50">
        <f t="shared" si="125"/>
        <v>0</v>
      </c>
      <c r="AI129" s="50">
        <f t="shared" si="125"/>
        <v>0</v>
      </c>
      <c r="AJ129" s="50">
        <f t="shared" si="125"/>
        <v>0</v>
      </c>
      <c r="AK129" s="50">
        <f t="shared" si="125"/>
        <v>0</v>
      </c>
      <c r="AL129" s="50">
        <f t="shared" si="125"/>
        <v>0</v>
      </c>
      <c r="AM129"/>
      <c r="AN129" s="125">
        <f t="shared" si="115"/>
        <v>0</v>
      </c>
      <c r="AO129" s="159" t="s">
        <v>507</v>
      </c>
      <c r="AP129" s="497">
        <f t="shared" si="116"/>
        <v>0.96</v>
      </c>
      <c r="AQ129"/>
      <c r="AR129"/>
      <c r="AS129"/>
      <c r="AT129"/>
      <c r="AU129"/>
      <c r="AV129"/>
      <c r="AW129"/>
      <c r="AX129"/>
      <c r="AY129"/>
      <c r="AZ129"/>
      <c r="BA129"/>
      <c r="BB129"/>
      <c r="BC129"/>
      <c r="BD129"/>
    </row>
    <row r="130" spans="1:56" s="192" customFormat="1" ht="15" hidden="1" outlineLevel="1">
      <c r="A130" s="526" t="s">
        <v>955</v>
      </c>
      <c r="B130" s="527"/>
      <c r="C130" s="528"/>
      <c r="D130" s="528"/>
      <c r="E130" s="529" t="str">
        <f>IF(D130="","",IF(COUNTIF(#REF!,$B130)=1,SUMIF(#REF!,RES!B130,#REF!),SUMIF(#REF!,RES!$B130,#REF!)))</f>
        <v/>
      </c>
      <c r="F130" s="529"/>
      <c r="G130" s="529"/>
      <c r="H130" s="529"/>
      <c r="I130" s="579"/>
      <c r="J130" s="529"/>
      <c r="K130" s="530"/>
      <c r="L130" s="531"/>
      <c r="M130" s="531">
        <f>SUM(M124:M129)</f>
        <v>6.3746719734630553</v>
      </c>
      <c r="N130" s="531">
        <f>SUM(N124:N129)</f>
        <v>5.2231317898063496</v>
      </c>
      <c r="O130" s="193"/>
      <c r="P130" s="532"/>
      <c r="Q130" s="532" t="str">
        <f t="shared" si="117"/>
        <v/>
      </c>
      <c r="R130" s="532" t="str">
        <f t="shared" si="118"/>
        <v/>
      </c>
      <c r="S130" s="532" t="str">
        <f>IF(G130="","",IF(COUNTIF(#REF!,$B130)=1,SUMIF(#REF!,RES!$B130,#REF!),SUMIF(#REF!,RES!$B130,#REF!)))</f>
        <v/>
      </c>
      <c r="T130" s="533"/>
      <c r="U130" s="534"/>
      <c r="V130" s="535">
        <f>SUM(V124:V129)</f>
        <v>1.0059999999999998</v>
      </c>
      <c r="W130" s="535">
        <f t="shared" ref="W130:AC130" si="126">SUM(W124:W129)</f>
        <v>1.0440977066414021</v>
      </c>
      <c r="X130" s="535">
        <f t="shared" si="126"/>
        <v>1.0734571189683664</v>
      </c>
      <c r="Y130" s="535">
        <f t="shared" si="126"/>
        <v>1.101316531295331</v>
      </c>
      <c r="Z130" s="535">
        <f t="shared" si="126"/>
        <v>1.1539259436222957</v>
      </c>
      <c r="AA130" s="535">
        <f t="shared" si="126"/>
        <v>1.2110353559492602</v>
      </c>
      <c r="AB130" s="535">
        <f t="shared" si="126"/>
        <v>1.27103535594926</v>
      </c>
      <c r="AC130" s="535">
        <f t="shared" si="126"/>
        <v>1.3910353559492601</v>
      </c>
      <c r="AD130" s="534"/>
      <c r="AE130" s="535">
        <f>SUM(AE124:AE129)</f>
        <v>0.99940000000000007</v>
      </c>
      <c r="AF130" s="535">
        <f t="shared" ref="AF130:AL130" si="127">SUM(AF124:AF129)</f>
        <v>0.98350321682986963</v>
      </c>
      <c r="AG130" s="535">
        <f t="shared" si="127"/>
        <v>0.99769173920750487</v>
      </c>
      <c r="AH130" s="535">
        <f t="shared" si="127"/>
        <v>1.0013140659178941</v>
      </c>
      <c r="AI130" s="535">
        <f t="shared" si="127"/>
        <v>0.97465166725309926</v>
      </c>
      <c r="AJ130" s="535">
        <f t="shared" si="127"/>
        <v>0.99168930143977008</v>
      </c>
      <c r="AK130" s="535">
        <f t="shared" si="127"/>
        <v>0.97668930143977017</v>
      </c>
      <c r="AL130" s="535">
        <f t="shared" si="127"/>
        <v>0.9608548307201521</v>
      </c>
      <c r="AO130" s="536"/>
    </row>
    <row r="131" spans="1:56" s="233" customFormat="1" ht="15" hidden="1">
      <c r="A131" s="539" t="s">
        <v>1032</v>
      </c>
      <c r="B131" s="540" t="s">
        <v>328</v>
      </c>
      <c r="C131" s="549"/>
      <c r="D131" s="549"/>
      <c r="E131" s="551" t="str">
        <f>IF(D131="","",IF(COUNTIF(#REF!,$B131)=1,SUMIF(#REF!,RES!B131,#REF!),SUMIF(#REF!,RES!$B131,#REF!)))</f>
        <v/>
      </c>
      <c r="F131" s="551"/>
      <c r="G131" s="551"/>
      <c r="H131" s="551"/>
      <c r="I131" s="580"/>
      <c r="J131" s="551"/>
      <c r="K131" s="541"/>
      <c r="L131" s="553"/>
      <c r="M131" s="553" t="str">
        <f>IF(C131="","",IF(COUNTIF(#REF!,$B131)=1,SUMIF(#REF!,RES!$B131,#REF!),SUMIFS(Energy_Balance!I$160:I$160,Energy_Balance!$C$55:$C$160,C131,Energy_Balance!$D$55:$D$160,D131)*L131))</f>
        <v/>
      </c>
      <c r="N131" s="553"/>
      <c r="O131" s="546"/>
      <c r="P131" s="554"/>
      <c r="Q131" s="554" t="str">
        <f t="shared" si="117"/>
        <v/>
      </c>
      <c r="R131" s="554" t="str">
        <f t="shared" si="118"/>
        <v/>
      </c>
      <c r="S131" s="554" t="str">
        <f>IF(G131="","",IF(COUNTIF(#REF!,$B131)=1,SUMIF(#REF!,RES!$B131,#REF!),SUMIF(#REF!,RES!$B131,#REF!)))</f>
        <v/>
      </c>
      <c r="T131" s="555"/>
      <c r="U131" s="556"/>
      <c r="V131" s="556"/>
      <c r="W131" s="556"/>
      <c r="X131" s="556"/>
      <c r="Y131" s="556"/>
      <c r="Z131" s="556"/>
      <c r="AA131" s="556"/>
      <c r="AB131" s="556"/>
      <c r="AC131" s="556"/>
      <c r="AD131" s="556"/>
      <c r="AE131" s="598"/>
      <c r="AF131" s="556"/>
      <c r="AG131" s="556"/>
      <c r="AH131" s="556"/>
      <c r="AI131" s="556"/>
      <c r="AJ131" s="556"/>
      <c r="AK131" s="556"/>
      <c r="AL131" s="556"/>
      <c r="AO131" s="548"/>
    </row>
    <row r="132" spans="1:56" s="166" customFormat="1" ht="15" outlineLevel="2">
      <c r="A132" s="108" t="s">
        <v>1033</v>
      </c>
      <c r="B132" s="30" t="s">
        <v>381</v>
      </c>
      <c r="C132" s="43" t="s">
        <v>236</v>
      </c>
      <c r="D132" s="43" t="s">
        <v>584</v>
      </c>
      <c r="E132" s="487">
        <v>0.75</v>
      </c>
      <c r="F132" s="559">
        <v>1</v>
      </c>
      <c r="G132" s="559">
        <v>1</v>
      </c>
      <c r="H132" s="559">
        <f t="shared" ref="H132:H137" si="128">N132/F132*(1+$D$31)</f>
        <v>30.01107619912144</v>
      </c>
      <c r="I132" s="578">
        <v>1E-3</v>
      </c>
      <c r="J132" s="487">
        <v>0</v>
      </c>
      <c r="K132" s="48"/>
      <c r="L132" s="486">
        <v>1</v>
      </c>
      <c r="M132" s="486">
        <f>SUMIFS(Energy_Balance!I$55:I$160,Energy_Balance!$C$55:$C$160,C132,Energy_Balance!$D$55:$D$160,D132)*L132</f>
        <v>40.014768265495256</v>
      </c>
      <c r="N132" s="486">
        <f t="shared" si="86"/>
        <v>30.01107619912144</v>
      </c>
      <c r="O132" s="25"/>
      <c r="P132" s="605">
        <f t="shared" ref="P132:P137" si="129">E132</f>
        <v>0.75</v>
      </c>
      <c r="Q132" s="361">
        <f t="shared" si="117"/>
        <v>0.75</v>
      </c>
      <c r="R132" s="361">
        <f t="shared" si="118"/>
        <v>0.75</v>
      </c>
      <c r="S132" s="361">
        <f t="shared" ref="S132:S137" si="130">R132</f>
        <v>0.75</v>
      </c>
      <c r="T132" s="204"/>
      <c r="U132" s="273"/>
      <c r="V132" s="63">
        <f>(IFERROR(IF(N132/(SUMIF(RES!$D$39:$D$145,D132,$N$39:$N$145))=1,1,(N132/(SUMIF(RES!$D$39:$D$145,D132,$N$39:$N$145))+$V$28)),0))</f>
        <v>1</v>
      </c>
      <c r="W132" s="63">
        <f>V132</f>
        <v>1</v>
      </c>
      <c r="X132" s="63">
        <f t="shared" ref="X132:AC132" si="131">W132</f>
        <v>1</v>
      </c>
      <c r="Y132" s="63">
        <f t="shared" si="131"/>
        <v>1</v>
      </c>
      <c r="Z132" s="63">
        <f t="shared" si="131"/>
        <v>1</v>
      </c>
      <c r="AA132" s="63">
        <f t="shared" si="131"/>
        <v>1</v>
      </c>
      <c r="AB132" s="63">
        <f t="shared" si="131"/>
        <v>1</v>
      </c>
      <c r="AC132" s="63">
        <f t="shared" si="131"/>
        <v>1</v>
      </c>
      <c r="AD132" s="63"/>
      <c r="AE132" s="63">
        <f>(IFERROR(IF($N132/(SUMIF(RES!$D$39:$D$145,$D132,$N$39:$N$145))=1,1,($N132/(SUMIF(RES!$D$39:$D$145,$D132,$N$39:$N$145))-AE$28)),0))</f>
        <v>1</v>
      </c>
      <c r="AF132" s="63">
        <f>AE132</f>
        <v>1</v>
      </c>
      <c r="AG132" s="63">
        <f t="shared" ref="AG132:AL132" si="132">AF132</f>
        <v>1</v>
      </c>
      <c r="AH132" s="63">
        <f t="shared" si="132"/>
        <v>1</v>
      </c>
      <c r="AI132" s="63">
        <f t="shared" si="132"/>
        <v>1</v>
      </c>
      <c r="AJ132" s="63">
        <f t="shared" si="132"/>
        <v>1</v>
      </c>
      <c r="AK132" s="63">
        <f t="shared" si="132"/>
        <v>1</v>
      </c>
      <c r="AL132" s="63">
        <f t="shared" si="132"/>
        <v>1</v>
      </c>
      <c r="AM132"/>
      <c r="AN132"/>
      <c r="AO132" s="250" t="s">
        <v>110</v>
      </c>
      <c r="AP132" s="497">
        <f t="shared" ref="AP132:AP137" si="133">E132</f>
        <v>0.75</v>
      </c>
      <c r="AQ132"/>
      <c r="AR132"/>
      <c r="AS132"/>
      <c r="AT132"/>
      <c r="AU132"/>
      <c r="AV132"/>
      <c r="AW132"/>
      <c r="AX132"/>
      <c r="AY132"/>
      <c r="AZ132"/>
      <c r="BA132"/>
      <c r="BB132"/>
      <c r="BC132"/>
      <c r="BD132"/>
    </row>
    <row r="133" spans="1:56" ht="15" outlineLevel="2">
      <c r="A133" s="558" t="s">
        <v>1034</v>
      </c>
      <c r="B133" s="30" t="s">
        <v>385</v>
      </c>
      <c r="C133" s="43" t="s">
        <v>236</v>
      </c>
      <c r="D133" s="43" t="s">
        <v>584</v>
      </c>
      <c r="E133" s="487">
        <v>2.3199999999999998</v>
      </c>
      <c r="F133" s="559">
        <v>1</v>
      </c>
      <c r="G133" s="559">
        <v>1</v>
      </c>
      <c r="H133" s="559">
        <f t="shared" si="128"/>
        <v>0</v>
      </c>
      <c r="I133" s="578">
        <v>1E-3</v>
      </c>
      <c r="J133" s="487">
        <v>0</v>
      </c>
      <c r="K133" s="48"/>
      <c r="L133" s="486">
        <v>1</v>
      </c>
      <c r="M133" s="606">
        <v>0</v>
      </c>
      <c r="N133" s="486">
        <f>E133*M133</f>
        <v>0</v>
      </c>
      <c r="O133" s="25"/>
      <c r="P133" s="605">
        <f t="shared" si="129"/>
        <v>2.3199999999999998</v>
      </c>
      <c r="Q133" s="361">
        <f t="shared" si="117"/>
        <v>2.3199999999999998</v>
      </c>
      <c r="R133" s="361">
        <f t="shared" si="118"/>
        <v>2.3199999999999998</v>
      </c>
      <c r="S133" s="361">
        <f t="shared" si="130"/>
        <v>2.3199999999999998</v>
      </c>
      <c r="T133" s="204"/>
      <c r="U133" s="273"/>
      <c r="V133" s="63">
        <f>IF((IFERROR(IF(N133/(SUMIF(RES!$D$39:$D$145,D133,$N$39:$N$145))=1,1,(N133/(SUMIF(RES!$D$39:$D$145,D133,$N$39:$N$145))+$V$29)),0))&lt;1,(IFERROR(IF(N133/(SUMIF(RES!$D$39:$D$145,D133,$N$39:$N$145))=1,1,(N133/(SUMIF(RES!$D$39:$D$145,D133,$N$39:$N$145))+$V$29)),0)),1)</f>
        <v>1E-3</v>
      </c>
      <c r="W133" s="63">
        <f t="shared" ref="W133:AC134" si="134">V133</f>
        <v>1E-3</v>
      </c>
      <c r="X133" s="63">
        <f t="shared" si="134"/>
        <v>1E-3</v>
      </c>
      <c r="Y133" s="63">
        <f t="shared" si="134"/>
        <v>1E-3</v>
      </c>
      <c r="Z133" s="63">
        <f t="shared" si="134"/>
        <v>1E-3</v>
      </c>
      <c r="AA133" s="63">
        <f t="shared" si="134"/>
        <v>1E-3</v>
      </c>
      <c r="AB133" s="63">
        <f t="shared" si="134"/>
        <v>1E-3</v>
      </c>
      <c r="AC133" s="63">
        <f t="shared" si="134"/>
        <v>1E-3</v>
      </c>
      <c r="AD133" s="63"/>
      <c r="AE133" s="63">
        <f>(IFERROR(IF($N133/(SUMIF(RES!$D$39:$D$145,$D133,$N$39:$N$145))=1,1,($N133/(SUMIF(RES!$D$39:$D$145,$D133,$N$39:$N$145))-AE$28-0.01)),0))</f>
        <v>-1.01E-2</v>
      </c>
      <c r="AF133" s="63">
        <f>(IFERROR(IF($N133/(SUMIF(RES!$D$39:$D$145,$D133,$N$39:$N$145))=1,1,($N133/(SUMIF(RES!$D$39:$D$145,$D133,$N$39:$N$145))-AF$28-0.01)),0))</f>
        <v>-1.4999999999999999E-2</v>
      </c>
      <c r="AG133" s="63">
        <f>(IFERROR(IF($N133/(SUMIF(RES!$D$39:$D$145,$D133,$N$39:$N$145))=1,1,($N133/(SUMIF(RES!$D$39:$D$145,$D133,$N$39:$N$145))-AG$28-0.01)),0))</f>
        <v>-1.35E-2</v>
      </c>
      <c r="AH133" s="63">
        <f>(IFERROR(IF($N133/(SUMIF(RES!$D$39:$D$145,$D133,$N$39:$N$145))=1,1,($N133/(SUMIF(RES!$D$39:$D$145,$D133,$N$39:$N$145))-AH$28-0.01)),0))</f>
        <v>-1.35E-2</v>
      </c>
      <c r="AI133" s="63">
        <f>(IFERROR(IF($N133/(SUMIF(RES!$D$39:$D$145,$D133,$N$39:$N$145))=1,1,($N133/(SUMIF(RES!$D$39:$D$145,$D133,$N$39:$N$145))-AI$28-0.01)),0))</f>
        <v>-1.2500000000000001E-2</v>
      </c>
      <c r="AJ133" s="63">
        <f>(IFERROR(IF($N133/(SUMIF(RES!$D$39:$D$145,$D133,$N$39:$N$145))=1,1,($N133/(SUMIF(RES!$D$39:$D$145,$D133,$N$39:$N$145))-AJ$28-0.01)),0))</f>
        <v>-1.2500000000000001E-2</v>
      </c>
      <c r="AK133" s="63">
        <f>(IFERROR(IF($N133/(SUMIF(RES!$D$39:$D$145,$D133,$N$39:$N$145))=1,1,($N133/(SUMIF(RES!$D$39:$D$145,$D133,$N$39:$N$145))-AK$28-0.01)),0))</f>
        <v>-1.2500000000000001E-2</v>
      </c>
      <c r="AL133" s="63">
        <f>(IFERROR(IF($N133/(SUMIF(RES!$D$39:$D$145,$D133,$N$39:$N$145))=1,1,($N133/(SUMIF(RES!$D$39:$D$145,$D133,$N$39:$N$145))-AL$28-0.01)),0))</f>
        <v>-1.2500000000000001E-2</v>
      </c>
      <c r="AO133" s="250" t="s">
        <v>110</v>
      </c>
      <c r="AP133" s="497">
        <f t="shared" si="133"/>
        <v>2.3199999999999998</v>
      </c>
    </row>
    <row r="134" spans="1:56" ht="15" outlineLevel="2">
      <c r="A134" s="108" t="s">
        <v>1035</v>
      </c>
      <c r="B134" s="30" t="s">
        <v>382</v>
      </c>
      <c r="C134" s="43" t="s">
        <v>236</v>
      </c>
      <c r="D134" s="43" t="s">
        <v>584</v>
      </c>
      <c r="E134" s="487">
        <v>2.15</v>
      </c>
      <c r="F134" s="559">
        <v>1</v>
      </c>
      <c r="G134" s="559">
        <v>1</v>
      </c>
      <c r="H134" s="559">
        <f t="shared" si="128"/>
        <v>0</v>
      </c>
      <c r="I134" s="578">
        <v>1E-3</v>
      </c>
      <c r="J134" s="487">
        <v>0</v>
      </c>
      <c r="K134" s="48"/>
      <c r="L134" s="486">
        <v>1</v>
      </c>
      <c r="M134" s="606">
        <v>0</v>
      </c>
      <c r="N134" s="486">
        <f t="shared" si="86"/>
        <v>0</v>
      </c>
      <c r="O134" s="25"/>
      <c r="P134" s="605">
        <f t="shared" si="129"/>
        <v>2.15</v>
      </c>
      <c r="Q134" s="361">
        <f t="shared" si="117"/>
        <v>2.15</v>
      </c>
      <c r="R134" s="361">
        <f t="shared" si="118"/>
        <v>2.15</v>
      </c>
      <c r="S134" s="361">
        <f t="shared" si="130"/>
        <v>2.15</v>
      </c>
      <c r="T134" s="204"/>
      <c r="U134" s="273"/>
      <c r="V134" s="63">
        <f>IF((IFERROR(IF(N134/(SUMIF(RES!$D$39:$D$145,D134,$N$39:$N$145))=1,1,(N134/(SUMIF(RES!$D$39:$D$145,D134,$N$39:$N$145))+$V$29)),0))&lt;1,(IFERROR(IF(N134/(SUMIF(RES!$D$39:$D$145,D134,$N$39:$N$145))=1,1,(N134/(SUMIF(RES!$D$39:$D$145,D134,$N$39:$N$145))+$V$29)),0)),1)+0.01</f>
        <v>1.0999999999999999E-2</v>
      </c>
      <c r="W134" s="63">
        <f t="shared" si="134"/>
        <v>1.0999999999999999E-2</v>
      </c>
      <c r="X134" s="63">
        <f t="shared" si="134"/>
        <v>1.0999999999999999E-2</v>
      </c>
      <c r="Y134" s="63">
        <f t="shared" si="134"/>
        <v>1.0999999999999999E-2</v>
      </c>
      <c r="Z134" s="63">
        <f t="shared" si="134"/>
        <v>1.0999999999999999E-2</v>
      </c>
      <c r="AA134" s="63">
        <f t="shared" si="134"/>
        <v>1.0999999999999999E-2</v>
      </c>
      <c r="AB134" s="63">
        <f t="shared" si="134"/>
        <v>1.0999999999999999E-2</v>
      </c>
      <c r="AC134" s="63">
        <f t="shared" si="134"/>
        <v>1.0999999999999999E-2</v>
      </c>
      <c r="AD134" s="63"/>
      <c r="AE134" s="63">
        <f>(IFERROR(IF($N134/(SUMIF(RES!$D$39:$D$145,$D134,$N$39:$N$145))=1,1,($N134/(SUMIF(RES!$D$39:$D$145,$D134,$N$39:$N$145))-AE$28)),0))</f>
        <v>-1E-4</v>
      </c>
      <c r="AF134" s="63">
        <f t="shared" ref="AF134:AL134" si="135">AE134</f>
        <v>-1E-4</v>
      </c>
      <c r="AG134" s="63">
        <f t="shared" si="135"/>
        <v>-1E-4</v>
      </c>
      <c r="AH134" s="63">
        <f t="shared" si="135"/>
        <v>-1E-4</v>
      </c>
      <c r="AI134" s="63">
        <f t="shared" si="135"/>
        <v>-1E-4</v>
      </c>
      <c r="AJ134" s="63">
        <f t="shared" si="135"/>
        <v>-1E-4</v>
      </c>
      <c r="AK134" s="63">
        <f t="shared" si="135"/>
        <v>-1E-4</v>
      </c>
      <c r="AL134" s="63">
        <f t="shared" si="135"/>
        <v>-1E-4</v>
      </c>
      <c r="AO134" s="250" t="s">
        <v>110</v>
      </c>
      <c r="AP134" s="497">
        <f t="shared" si="133"/>
        <v>2.15</v>
      </c>
    </row>
    <row r="135" spans="1:56" ht="15" hidden="1" outlineLevel="2">
      <c r="A135" s="247" t="s">
        <v>1036</v>
      </c>
      <c r="B135" s="30" t="s">
        <v>383</v>
      </c>
      <c r="C135" s="43" t="s">
        <v>238</v>
      </c>
      <c r="D135" s="43" t="s">
        <v>263</v>
      </c>
      <c r="E135" s="487">
        <v>0.56999999999999995</v>
      </c>
      <c r="F135" s="559">
        <v>1</v>
      </c>
      <c r="G135" s="559">
        <v>1</v>
      </c>
      <c r="H135" s="559">
        <f t="shared" si="128"/>
        <v>0</v>
      </c>
      <c r="I135" s="578">
        <v>1E-3</v>
      </c>
      <c r="J135" s="487">
        <v>0</v>
      </c>
      <c r="K135" s="48"/>
      <c r="L135" s="486">
        <v>1</v>
      </c>
      <c r="M135" s="486">
        <v>0</v>
      </c>
      <c r="N135" s="486">
        <f t="shared" ref="N135:N143" si="136">E135*M135</f>
        <v>0</v>
      </c>
      <c r="O135" s="25"/>
      <c r="P135" s="605">
        <f t="shared" si="129"/>
        <v>0.56999999999999995</v>
      </c>
      <c r="Q135" s="361">
        <f t="shared" si="117"/>
        <v>0.56999999999999995</v>
      </c>
      <c r="R135" s="361">
        <f t="shared" si="118"/>
        <v>0.56999999999999995</v>
      </c>
      <c r="S135" s="361">
        <f t="shared" si="130"/>
        <v>0.56999999999999995</v>
      </c>
      <c r="T135" s="204"/>
      <c r="U135" s="50"/>
      <c r="V135" s="50">
        <v>0</v>
      </c>
      <c r="W135" s="50">
        <v>0</v>
      </c>
      <c r="X135" s="50">
        <v>0</v>
      </c>
      <c r="Y135" s="50">
        <v>0</v>
      </c>
      <c r="Z135" s="50">
        <v>0</v>
      </c>
      <c r="AA135" s="50">
        <v>0</v>
      </c>
      <c r="AB135" s="50">
        <v>0</v>
      </c>
      <c r="AC135" s="50">
        <v>0</v>
      </c>
      <c r="AD135" s="50"/>
      <c r="AE135" s="273">
        <v>0</v>
      </c>
      <c r="AF135" s="50">
        <v>0</v>
      </c>
      <c r="AG135" s="50">
        <v>0</v>
      </c>
      <c r="AH135" s="50">
        <v>0</v>
      </c>
      <c r="AI135" s="50">
        <v>0</v>
      </c>
      <c r="AJ135" s="50">
        <v>0</v>
      </c>
      <c r="AK135" s="50">
        <v>0</v>
      </c>
      <c r="AL135" s="50">
        <v>0</v>
      </c>
      <c r="AO135" s="21" t="s">
        <v>507</v>
      </c>
      <c r="AP135" s="497">
        <f t="shared" si="133"/>
        <v>0.56999999999999995</v>
      </c>
    </row>
    <row r="136" spans="1:56" ht="15" hidden="1" outlineLevel="2">
      <c r="A136" s="108" t="s">
        <v>1037</v>
      </c>
      <c r="B136" s="30" t="s">
        <v>384</v>
      </c>
      <c r="C136" s="43" t="s">
        <v>237</v>
      </c>
      <c r="D136" s="43" t="s">
        <v>263</v>
      </c>
      <c r="E136" s="487">
        <v>0.65</v>
      </c>
      <c r="F136" s="559">
        <v>1</v>
      </c>
      <c r="G136" s="559">
        <v>1</v>
      </c>
      <c r="H136" s="559">
        <f t="shared" si="128"/>
        <v>0</v>
      </c>
      <c r="I136" s="578">
        <v>1E-3</v>
      </c>
      <c r="J136" s="487">
        <v>0</v>
      </c>
      <c r="K136" s="48"/>
      <c r="L136" s="486">
        <v>1</v>
      </c>
      <c r="M136" s="486">
        <v>0</v>
      </c>
      <c r="N136" s="486">
        <f t="shared" si="136"/>
        <v>0</v>
      </c>
      <c r="O136" s="25"/>
      <c r="P136" s="605">
        <f t="shared" si="129"/>
        <v>0.65</v>
      </c>
      <c r="Q136" s="361">
        <f t="shared" si="117"/>
        <v>0.65</v>
      </c>
      <c r="R136" s="361">
        <f t="shared" si="118"/>
        <v>0.65</v>
      </c>
      <c r="S136" s="361">
        <f t="shared" si="130"/>
        <v>0.65</v>
      </c>
      <c r="T136" s="204"/>
      <c r="U136" s="50"/>
      <c r="V136" s="50">
        <v>0</v>
      </c>
      <c r="W136" s="50">
        <v>0</v>
      </c>
      <c r="X136" s="50">
        <v>0</v>
      </c>
      <c r="Y136" s="50">
        <v>0</v>
      </c>
      <c r="Z136" s="50">
        <v>0</v>
      </c>
      <c r="AA136" s="50">
        <v>0</v>
      </c>
      <c r="AB136" s="50">
        <v>0</v>
      </c>
      <c r="AC136" s="50">
        <v>0</v>
      </c>
      <c r="AD136" s="50"/>
      <c r="AE136" s="273">
        <v>0</v>
      </c>
      <c r="AF136" s="50">
        <v>0</v>
      </c>
      <c r="AG136" s="50">
        <v>0</v>
      </c>
      <c r="AH136" s="50">
        <v>0</v>
      </c>
      <c r="AI136" s="50">
        <v>0</v>
      </c>
      <c r="AJ136" s="50">
        <v>0</v>
      </c>
      <c r="AK136" s="50">
        <v>0</v>
      </c>
      <c r="AL136" s="50">
        <v>0</v>
      </c>
      <c r="AO136" s="21" t="s">
        <v>507</v>
      </c>
      <c r="AP136" s="497">
        <f t="shared" si="133"/>
        <v>0.65</v>
      </c>
    </row>
    <row r="137" spans="1:56" s="166" customFormat="1" ht="15" hidden="1" outlineLevel="2">
      <c r="A137" s="108" t="s">
        <v>1038</v>
      </c>
      <c r="B137" s="30" t="s">
        <v>386</v>
      </c>
      <c r="C137" s="43" t="s">
        <v>168</v>
      </c>
      <c r="D137" s="43" t="s">
        <v>263</v>
      </c>
      <c r="E137" s="487">
        <v>0.86</v>
      </c>
      <c r="F137" s="559">
        <v>1</v>
      </c>
      <c r="G137" s="559">
        <v>1</v>
      </c>
      <c r="H137" s="559">
        <f t="shared" si="128"/>
        <v>0</v>
      </c>
      <c r="I137" s="578">
        <v>1E-3</v>
      </c>
      <c r="J137" s="487">
        <v>0</v>
      </c>
      <c r="K137" s="48"/>
      <c r="L137" s="486">
        <v>1</v>
      </c>
      <c r="M137" s="486">
        <v>0</v>
      </c>
      <c r="N137" s="486">
        <f t="shared" si="136"/>
        <v>0</v>
      </c>
      <c r="O137" s="25"/>
      <c r="P137" s="605">
        <f t="shared" si="129"/>
        <v>0.86</v>
      </c>
      <c r="Q137" s="361">
        <f t="shared" si="117"/>
        <v>0.86</v>
      </c>
      <c r="R137" s="361">
        <f t="shared" si="118"/>
        <v>0.86</v>
      </c>
      <c r="S137" s="361">
        <f t="shared" si="130"/>
        <v>0.86</v>
      </c>
      <c r="T137" s="204"/>
      <c r="U137" s="50"/>
      <c r="V137" s="50">
        <v>0</v>
      </c>
      <c r="W137" s="50">
        <v>0</v>
      </c>
      <c r="X137" s="50">
        <v>0</v>
      </c>
      <c r="Y137" s="50">
        <v>0</v>
      </c>
      <c r="Z137" s="50">
        <v>0</v>
      </c>
      <c r="AA137" s="50">
        <v>0</v>
      </c>
      <c r="AB137" s="50">
        <v>0</v>
      </c>
      <c r="AC137" s="50">
        <v>0</v>
      </c>
      <c r="AD137" s="50"/>
      <c r="AE137" s="273">
        <v>0</v>
      </c>
      <c r="AF137" s="50">
        <v>0</v>
      </c>
      <c r="AG137" s="50">
        <v>0</v>
      </c>
      <c r="AH137" s="50">
        <v>0</v>
      </c>
      <c r="AI137" s="50">
        <v>0</v>
      </c>
      <c r="AJ137" s="50">
        <v>0</v>
      </c>
      <c r="AK137" s="50">
        <v>0</v>
      </c>
      <c r="AL137" s="50">
        <v>0</v>
      </c>
      <c r="AM137"/>
      <c r="AN137"/>
      <c r="AO137" s="170" t="s">
        <v>507</v>
      </c>
      <c r="AP137" s="497">
        <f t="shared" si="133"/>
        <v>0.86</v>
      </c>
      <c r="AQ137"/>
      <c r="AR137"/>
      <c r="AS137"/>
      <c r="AT137"/>
      <c r="AU137"/>
      <c r="AV137"/>
      <c r="AW137"/>
      <c r="AX137"/>
      <c r="AY137"/>
      <c r="AZ137"/>
      <c r="BA137"/>
      <c r="BB137"/>
      <c r="BC137"/>
      <c r="BD137"/>
    </row>
    <row r="138" spans="1:56" s="192" customFormat="1" ht="15" hidden="1">
      <c r="A138" s="526" t="s">
        <v>955</v>
      </c>
      <c r="B138" s="527"/>
      <c r="C138" s="528"/>
      <c r="D138" s="528"/>
      <c r="E138" s="529" t="str">
        <f>IF(D138="","",IF(COUNTIF(#REF!,$B138)=1,SUMIF(#REF!,RES!B138,#REF!),SUMIF(#REF!,RES!$B138,#REF!)))</f>
        <v/>
      </c>
      <c r="F138" s="529"/>
      <c r="G138" s="529"/>
      <c r="H138" s="529"/>
      <c r="I138" s="579"/>
      <c r="J138" s="529"/>
      <c r="K138" s="530"/>
      <c r="L138" s="531"/>
      <c r="M138" s="531">
        <f>M132+M133+M134</f>
        <v>40.014768265495256</v>
      </c>
      <c r="N138" s="531">
        <f>SUM(N135:N137)</f>
        <v>0</v>
      </c>
      <c r="O138" s="193"/>
      <c r="P138" s="532"/>
      <c r="Q138" s="532" t="str">
        <f t="shared" si="117"/>
        <v/>
      </c>
      <c r="R138" s="532" t="str">
        <f t="shared" si="118"/>
        <v/>
      </c>
      <c r="S138" s="532" t="str">
        <f>IF(G138="","",IF(COUNTIF(#REF!,$B138)=1,SUMIF(#REF!,RES!$B138,#REF!),SUMIF(#REF!,RES!$B138,#REF!)))</f>
        <v/>
      </c>
      <c r="T138" s="533"/>
      <c r="U138" s="534"/>
      <c r="V138" s="535">
        <f>SUM(V132:V137)</f>
        <v>1.0119999999999998</v>
      </c>
      <c r="W138" s="535">
        <f t="shared" ref="W138:AC138" si="137">SUM(W132:W137)</f>
        <v>1.0119999999999998</v>
      </c>
      <c r="X138" s="535">
        <f t="shared" si="137"/>
        <v>1.0119999999999998</v>
      </c>
      <c r="Y138" s="535">
        <f t="shared" si="137"/>
        <v>1.0119999999999998</v>
      </c>
      <c r="Z138" s="535">
        <f t="shared" si="137"/>
        <v>1.0119999999999998</v>
      </c>
      <c r="AA138" s="535">
        <f t="shared" si="137"/>
        <v>1.0119999999999998</v>
      </c>
      <c r="AB138" s="535">
        <f t="shared" si="137"/>
        <v>1.0119999999999998</v>
      </c>
      <c r="AC138" s="535">
        <f t="shared" si="137"/>
        <v>1.0119999999999998</v>
      </c>
      <c r="AD138" s="534"/>
      <c r="AE138" s="535">
        <f>SUM(AE132:AE137)</f>
        <v>0.98980000000000001</v>
      </c>
      <c r="AF138" s="535">
        <f t="shared" ref="AF138:AL138" si="138">SUM(AF132:AF137)</f>
        <v>0.9849</v>
      </c>
      <c r="AG138" s="535">
        <f t="shared" si="138"/>
        <v>0.98640000000000005</v>
      </c>
      <c r="AH138" s="535">
        <f t="shared" si="138"/>
        <v>0.98640000000000005</v>
      </c>
      <c r="AI138" s="535">
        <f t="shared" si="138"/>
        <v>0.98740000000000006</v>
      </c>
      <c r="AJ138" s="535">
        <f t="shared" si="138"/>
        <v>0.98740000000000006</v>
      </c>
      <c r="AK138" s="535">
        <f t="shared" si="138"/>
        <v>0.98740000000000006</v>
      </c>
      <c r="AL138" s="535">
        <f t="shared" si="138"/>
        <v>0.98740000000000006</v>
      </c>
      <c r="AO138" s="536"/>
    </row>
    <row r="139" spans="1:56" s="233" customFormat="1" ht="15" hidden="1">
      <c r="A139" s="539" t="s">
        <v>956</v>
      </c>
      <c r="B139" s="540" t="s">
        <v>328</v>
      </c>
      <c r="C139" s="549"/>
      <c r="D139" s="549"/>
      <c r="E139" s="551" t="str">
        <f>IF(D139="","",IF(COUNTIF(#REF!,$B139)=1,SUMIF(#REF!,RES!B139,#REF!),SUMIF(#REF!,RES!$B139,#REF!)))</f>
        <v/>
      </c>
      <c r="F139" s="551"/>
      <c r="G139" s="551"/>
      <c r="H139" s="551"/>
      <c r="I139" s="580"/>
      <c r="J139" s="551"/>
      <c r="K139" s="541"/>
      <c r="L139" s="553"/>
      <c r="M139" s="553"/>
      <c r="N139" s="553"/>
      <c r="O139" s="546"/>
      <c r="P139" s="554"/>
      <c r="Q139" s="554" t="str">
        <f t="shared" si="117"/>
        <v/>
      </c>
      <c r="R139" s="554" t="str">
        <f t="shared" si="118"/>
        <v/>
      </c>
      <c r="S139" s="554" t="str">
        <f>IF(G139="","",IF(COUNTIF(#REF!,$B139)=1,SUMIF(#REF!,RES!$B139,#REF!),SUMIF(#REF!,RES!$B139,#REF!)))</f>
        <v/>
      </c>
      <c r="T139" s="555"/>
      <c r="U139" s="556"/>
      <c r="V139" s="556"/>
      <c r="W139" s="556"/>
      <c r="X139" s="556"/>
      <c r="Y139" s="556"/>
      <c r="Z139" s="556"/>
      <c r="AA139" s="556"/>
      <c r="AB139" s="556"/>
      <c r="AC139" s="556"/>
      <c r="AD139" s="556"/>
      <c r="AE139" s="598"/>
      <c r="AF139" s="556"/>
      <c r="AG139" s="556"/>
      <c r="AH139" s="556"/>
      <c r="AI139" s="556"/>
      <c r="AJ139" s="556"/>
      <c r="AK139" s="556"/>
      <c r="AL139" s="556"/>
      <c r="AO139" s="548"/>
    </row>
    <row r="140" spans="1:56" s="166" customFormat="1" ht="15" outlineLevel="1">
      <c r="A140" s="108" t="s">
        <v>1039</v>
      </c>
      <c r="B140" s="30" t="s">
        <v>387</v>
      </c>
      <c r="C140" s="43" t="s">
        <v>236</v>
      </c>
      <c r="D140" s="43" t="s">
        <v>264</v>
      </c>
      <c r="E140" s="495">
        <f>INDEX('Electrical efficiency'!$L$8:$L$23,MATCH(RES!D140,'Electrical efficiency'!$K$8:$K$23,0))</f>
        <v>0.64200000000000002</v>
      </c>
      <c r="F140" s="559">
        <v>1</v>
      </c>
      <c r="G140" s="559">
        <v>1</v>
      </c>
      <c r="H140" s="559">
        <f>N140/F140*(1+$D$31)</f>
        <v>9.1228493232049725</v>
      </c>
      <c r="I140" s="578">
        <v>1E-3</v>
      </c>
      <c r="J140" s="487"/>
      <c r="K140" s="48" t="s">
        <v>912</v>
      </c>
      <c r="L140" s="486">
        <v>1</v>
      </c>
      <c r="M140" s="486">
        <f>IF(C140="","",SUMIFS(Energy_Balance!I$55:I$160,Energy_Balance!$C$55:$C$160,C140,Energy_Balance!$D$55:$D$160,D140)*L140)</f>
        <v>14.210045674774101</v>
      </c>
      <c r="N140" s="486">
        <f t="shared" si="136"/>
        <v>9.1228493232049725</v>
      </c>
      <c r="O140" s="25"/>
      <c r="P140" s="605">
        <f>INDEX('Electrical efficiency'!$M$8:$M$23,MATCH(RES!D140,'Electrical efficiency'!$K$8:$K$23,0))</f>
        <v>0.72954545454545461</v>
      </c>
      <c r="Q140" s="361">
        <f>INDEX('Electrical efficiency'!$N$8:$N$23,MATCH(RES!D140,'Electrical efficiency'!$K$8:$K$23,0))</f>
        <v>1.1672727272727272</v>
      </c>
      <c r="R140" s="361">
        <f>INDEX('Electrical efficiency'!$O$8:$O$23,MATCH(RES!D140,'Electrical efficiency'!$K$8:$K$23,0))</f>
        <v>1.3102040816326532</v>
      </c>
      <c r="S140" s="361">
        <f>INDEX('Electrical efficiency'!$P$8:$P$23,MATCH(RES!D140,'Electrical efficiency'!$K$8:$K$23,0))</f>
        <v>1.3102040816326532</v>
      </c>
      <c r="T140" s="204"/>
      <c r="U140" s="50"/>
      <c r="V140" s="50">
        <f>(IFERROR(IF(N140/(SUMIF(RES!$D$39:$D$145,D140,$N$39:$N$145))=1,1,(N140/(SUMIF(RES!$D$39:$D$145,D140,$N$39:$N$145))+#REF!)),0))</f>
        <v>1</v>
      </c>
      <c r="W140" s="50">
        <f>V140</f>
        <v>1</v>
      </c>
      <c r="X140" s="50">
        <f t="shared" ref="X140:AC140" si="139">W140</f>
        <v>1</v>
      </c>
      <c r="Y140" s="50">
        <f t="shared" si="139"/>
        <v>1</v>
      </c>
      <c r="Z140" s="50">
        <f t="shared" si="139"/>
        <v>1</v>
      </c>
      <c r="AA140" s="50">
        <f t="shared" si="139"/>
        <v>1</v>
      </c>
      <c r="AB140" s="50">
        <f t="shared" si="139"/>
        <v>1</v>
      </c>
      <c r="AC140" s="50">
        <f t="shared" si="139"/>
        <v>1</v>
      </c>
      <c r="AD140" s="50"/>
      <c r="AE140" s="273">
        <f>(IFERROR(IF($N140/(SUMIF(RES!$D$39:$D$145,$D140,$N$39:$N$145))=1,1,($N140/(SUMIF(RES!$D$39:$D$145,$D140,$N$39:$N$145))-$AE$28)),0))</f>
        <v>1</v>
      </c>
      <c r="AF140" s="50">
        <f>AE140</f>
        <v>1</v>
      </c>
      <c r="AG140" s="50">
        <f t="shared" ref="AG140:AL140" si="140">AF140</f>
        <v>1</v>
      </c>
      <c r="AH140" s="50">
        <f t="shared" si="140"/>
        <v>1</v>
      </c>
      <c r="AI140" s="50">
        <f t="shared" si="140"/>
        <v>1</v>
      </c>
      <c r="AJ140" s="50">
        <f t="shared" si="140"/>
        <v>1</v>
      </c>
      <c r="AK140" s="50">
        <f t="shared" si="140"/>
        <v>1</v>
      </c>
      <c r="AL140" s="50">
        <f t="shared" si="140"/>
        <v>1</v>
      </c>
      <c r="AM140"/>
      <c r="AN140"/>
      <c r="AO140" s="250" t="s">
        <v>110</v>
      </c>
      <c r="AP140" s="497">
        <f>E140</f>
        <v>0.64200000000000002</v>
      </c>
      <c r="AQ140"/>
      <c r="AR140"/>
      <c r="AS140"/>
      <c r="AT140"/>
      <c r="AU140"/>
      <c r="AV140"/>
      <c r="AW140"/>
      <c r="AX140"/>
      <c r="AY140"/>
      <c r="AZ140"/>
      <c r="BA140"/>
      <c r="BB140"/>
      <c r="BC140"/>
      <c r="BD140"/>
    </row>
    <row r="141" spans="1:56" s="192" customFormat="1" ht="15" hidden="1" outlineLevel="1">
      <c r="A141" s="526" t="s">
        <v>955</v>
      </c>
      <c r="B141" s="527"/>
      <c r="C141" s="528"/>
      <c r="D141" s="528"/>
      <c r="E141" s="529" t="str">
        <f>IF(D141="","",IF(COUNTIF(#REF!,$B141)=1,SUMIF(#REF!,RES!B141,#REF!),SUMIF(#REF!,RES!$B141,#REF!)))</f>
        <v/>
      </c>
      <c r="F141" s="529"/>
      <c r="G141" s="529"/>
      <c r="H141" s="529"/>
      <c r="I141" s="579"/>
      <c r="J141" s="529"/>
      <c r="K141" s="530"/>
      <c r="L141" s="531"/>
      <c r="M141" s="531">
        <f>SUM(M140:M140)</f>
        <v>14.210045674774101</v>
      </c>
      <c r="N141" s="531">
        <f>SUM(N140:N140)</f>
        <v>9.1228493232049725</v>
      </c>
      <c r="O141" s="193"/>
      <c r="P141" s="532"/>
      <c r="Q141" s="532" t="str">
        <f>IF($AO141="","",($R141-$AP141)*15/25+$AP141)</f>
        <v/>
      </c>
      <c r="R141" s="532" t="str">
        <f>IF($AO141="","",IF($AO141="*",$AP141*(1+$P$29),E141))</f>
        <v/>
      </c>
      <c r="S141" s="532" t="str">
        <f>IF(G141="","",IF(COUNTIF(#REF!,$B141)=1,SUMIF(#REF!,RES!$B141,#REF!),SUMIF(#REF!,RES!$B141,#REF!)))</f>
        <v/>
      </c>
      <c r="T141" s="533"/>
      <c r="U141" s="534"/>
      <c r="V141" s="534"/>
      <c r="W141" s="534"/>
      <c r="X141" s="534"/>
      <c r="Y141" s="534"/>
      <c r="Z141" s="534"/>
      <c r="AA141" s="534"/>
      <c r="AB141" s="534"/>
      <c r="AC141" s="534"/>
      <c r="AD141" s="534"/>
      <c r="AE141" s="535"/>
      <c r="AF141" s="534"/>
      <c r="AG141" s="534"/>
      <c r="AH141" s="534"/>
      <c r="AI141" s="534"/>
      <c r="AJ141" s="534"/>
      <c r="AK141" s="534"/>
      <c r="AL141" s="534"/>
      <c r="AO141" s="536"/>
    </row>
    <row r="142" spans="1:56" s="233" customFormat="1" ht="15" hidden="1">
      <c r="A142" s="539" t="s">
        <v>1040</v>
      </c>
      <c r="B142" s="540" t="s">
        <v>328</v>
      </c>
      <c r="C142" s="549"/>
      <c r="D142" s="549"/>
      <c r="E142" s="551" t="str">
        <f>IF(D142="","",IF(COUNTIF(#REF!,$B142)=1,SUMIF(#REF!,RES!B142,#REF!),SUMIF(#REF!,RES!$B142,#REF!)))</f>
        <v/>
      </c>
      <c r="F142" s="551"/>
      <c r="G142" s="551"/>
      <c r="H142" s="551"/>
      <c r="I142" s="580"/>
      <c r="J142" s="551"/>
      <c r="K142" s="541"/>
      <c r="L142" s="553"/>
      <c r="M142" s="553"/>
      <c r="N142" s="553"/>
      <c r="O142" s="546"/>
      <c r="P142" s="554"/>
      <c r="Q142" s="554" t="str">
        <f>IF($AO142="","",($R142-$AP142)*15/25+$AP142)</f>
        <v/>
      </c>
      <c r="R142" s="554" t="str">
        <f>IF($AO142="","",IF($AO142="*",$AP142*(1+$P$29),E142))</f>
        <v/>
      </c>
      <c r="S142" s="554" t="str">
        <f>IF(G142="","",IF(COUNTIF(#REF!,$B142)=1,SUMIF(#REF!,RES!$B142,#REF!),SUMIF(#REF!,RES!$B142,#REF!)))</f>
        <v/>
      </c>
      <c r="T142" s="555"/>
      <c r="U142" s="556"/>
      <c r="V142" s="556"/>
      <c r="W142" s="556"/>
      <c r="X142" s="556"/>
      <c r="Y142" s="556"/>
      <c r="Z142" s="556"/>
      <c r="AA142" s="556"/>
      <c r="AB142" s="556"/>
      <c r="AC142" s="556"/>
      <c r="AD142" s="556"/>
      <c r="AE142" s="598"/>
      <c r="AF142" s="556"/>
      <c r="AG142" s="556"/>
      <c r="AH142" s="556"/>
      <c r="AI142" s="556"/>
      <c r="AJ142" s="556"/>
      <c r="AK142" s="556"/>
      <c r="AL142" s="556"/>
      <c r="AO142" s="548"/>
    </row>
    <row r="143" spans="1:56" s="166" customFormat="1" ht="15" outlineLevel="1">
      <c r="A143" s="108" t="s">
        <v>1041</v>
      </c>
      <c r="B143" s="30" t="s">
        <v>388</v>
      </c>
      <c r="C143" s="43" t="s">
        <v>236</v>
      </c>
      <c r="D143" s="43" t="s">
        <v>265</v>
      </c>
      <c r="E143" s="495">
        <f>INDEX('Electrical efficiency'!$L$8:$L$23,MATCH(RES!D143,'Electrical efficiency'!$K$8:$K$23,0))</f>
        <v>0.8</v>
      </c>
      <c r="F143" s="559">
        <v>1</v>
      </c>
      <c r="G143" s="559">
        <v>1</v>
      </c>
      <c r="H143" s="559">
        <f>N143/F143*(1+$D$31)</f>
        <v>14.770636079826772</v>
      </c>
      <c r="I143" s="578">
        <v>1E-3</v>
      </c>
      <c r="J143" s="487">
        <v>0</v>
      </c>
      <c r="K143" s="48" t="s">
        <v>912</v>
      </c>
      <c r="L143" s="486">
        <v>1</v>
      </c>
      <c r="M143" s="486">
        <f>IF(C143="","",SUMIFS(Energy_Balance!I$55:I$160,Energy_Balance!$C$55:$C$160,C143,Energy_Balance!$D$55:$D$160,D143)*L143)</f>
        <v>18.463295099783466</v>
      </c>
      <c r="N143" s="486">
        <f t="shared" si="136"/>
        <v>14.770636079826772</v>
      </c>
      <c r="O143" s="25"/>
      <c r="P143" s="605">
        <f>INDEX('Electrical efficiency'!$M$8:$M$23,MATCH(RES!D143,'Electrical efficiency'!$K$8:$K$23,0))</f>
        <v>0.82474226804123729</v>
      </c>
      <c r="Q143" s="361">
        <f>INDEX('Electrical efficiency'!$N$8:$N$23,MATCH(RES!D143,'Electrical efficiency'!$K$8:$K$23,0))</f>
        <v>0.88888888888888895</v>
      </c>
      <c r="R143" s="361">
        <f>INDEX('Electrical efficiency'!$O$8:$O$23,MATCH(RES!D143,'Electrical efficiency'!$K$8:$K$23,0))</f>
        <v>0.90909090909090917</v>
      </c>
      <c r="S143" s="361">
        <f>INDEX('Electrical efficiency'!$P$8:$P$23,MATCH(RES!D143,'Electrical efficiency'!$K$8:$K$23,0))</f>
        <v>0.90909090909090917</v>
      </c>
      <c r="T143" s="204"/>
      <c r="U143" s="50"/>
      <c r="V143" s="50">
        <f>(IFERROR(IF(N143/(SUMIF(RES!$D$39:$D$145,D143,$N$39:$N$145))=1,1,(N143/(SUMIF(RES!$D$39:$D$145,D143,$N$39:$N$145))+#REF!)),0))</f>
        <v>1</v>
      </c>
      <c r="W143" s="50">
        <f>V143</f>
        <v>1</v>
      </c>
      <c r="X143" s="50">
        <f t="shared" ref="X143:AC143" si="141">W143</f>
        <v>1</v>
      </c>
      <c r="Y143" s="50">
        <f t="shared" si="141"/>
        <v>1</v>
      </c>
      <c r="Z143" s="50">
        <f t="shared" si="141"/>
        <v>1</v>
      </c>
      <c r="AA143" s="50">
        <f t="shared" si="141"/>
        <v>1</v>
      </c>
      <c r="AB143" s="50">
        <f t="shared" si="141"/>
        <v>1</v>
      </c>
      <c r="AC143" s="50">
        <f t="shared" si="141"/>
        <v>1</v>
      </c>
      <c r="AD143" s="50"/>
      <c r="AE143" s="273">
        <f>(IFERROR(IF($N143/(SUMIF(RES!$D$39:$D$145,$D143,$N$39:$N$145))=1,1,($N143/(SUMIF(RES!$D$39:$D$145,$D143,$N$39:$N$145))-$AE$28)),0))</f>
        <v>1</v>
      </c>
      <c r="AF143" s="50">
        <f>AE143</f>
        <v>1</v>
      </c>
      <c r="AG143" s="50">
        <f t="shared" ref="AG143:AL143" si="142">AF143</f>
        <v>1</v>
      </c>
      <c r="AH143" s="50">
        <f t="shared" si="142"/>
        <v>1</v>
      </c>
      <c r="AI143" s="50">
        <f t="shared" si="142"/>
        <v>1</v>
      </c>
      <c r="AJ143" s="50">
        <f t="shared" si="142"/>
        <v>1</v>
      </c>
      <c r="AK143" s="50">
        <f t="shared" si="142"/>
        <v>1</v>
      </c>
      <c r="AL143" s="50">
        <f t="shared" si="142"/>
        <v>1</v>
      </c>
      <c r="AM143"/>
      <c r="AN143"/>
      <c r="AO143" s="250" t="s">
        <v>110</v>
      </c>
      <c r="AP143" s="497">
        <f>E143</f>
        <v>0.8</v>
      </c>
      <c r="AQ143"/>
      <c r="AR143"/>
      <c r="AS143"/>
      <c r="AT143"/>
      <c r="AU143"/>
      <c r="AV143"/>
      <c r="AW143"/>
      <c r="AX143"/>
      <c r="AY143"/>
      <c r="AZ143"/>
      <c r="BA143"/>
      <c r="BB143"/>
      <c r="BC143"/>
      <c r="BD143"/>
    </row>
    <row r="144" spans="1:56" s="192" customFormat="1" ht="15" hidden="1" outlineLevel="1">
      <c r="A144" s="526" t="s">
        <v>955</v>
      </c>
      <c r="B144" s="527"/>
      <c r="C144" s="528"/>
      <c r="D144" s="528"/>
      <c r="E144" s="529" t="str">
        <f>IF(D144="","",IF(COUNTIF(#REF!,$B144)=1,SUMIF(#REF!,RES!B144,#REF!),SUMIF(#REF!,RES!$B144,#REF!)))</f>
        <v/>
      </c>
      <c r="F144" s="529"/>
      <c r="G144" s="529"/>
      <c r="H144" s="529"/>
      <c r="I144" s="529"/>
      <c r="J144" s="529"/>
      <c r="K144" s="530"/>
      <c r="L144" s="531"/>
      <c r="M144" s="531">
        <f>SUM(M143:M143)</f>
        <v>18.463295099783466</v>
      </c>
      <c r="N144" s="531">
        <f>SUM(N143:N143)</f>
        <v>14.770636079826772</v>
      </c>
      <c r="O144" s="193"/>
      <c r="P144" s="532"/>
      <c r="Q144" s="532"/>
      <c r="R144" s="532"/>
      <c r="S144" s="532"/>
      <c r="T144" s="533"/>
      <c r="U144" s="534"/>
      <c r="V144" s="534"/>
      <c r="W144" s="534"/>
      <c r="X144" s="534"/>
      <c r="Y144" s="534"/>
      <c r="Z144" s="534"/>
      <c r="AA144" s="534"/>
      <c r="AB144" s="534"/>
      <c r="AC144" s="534"/>
      <c r="AD144" s="534"/>
      <c r="AE144" s="534"/>
      <c r="AF144" s="534"/>
      <c r="AG144" s="534"/>
      <c r="AH144" s="534"/>
      <c r="AI144" s="534"/>
      <c r="AJ144" s="534"/>
      <c r="AK144" s="534"/>
      <c r="AL144" s="534"/>
      <c r="AO144" s="536"/>
    </row>
    <row r="145" spans="1:41" ht="15" hidden="1">
      <c r="A145" s="108" t="s">
        <v>955</v>
      </c>
      <c r="B145" s="30"/>
      <c r="C145" s="43"/>
      <c r="D145" s="43"/>
      <c r="E145" s="559"/>
      <c r="F145" s="202"/>
      <c r="G145" s="202"/>
      <c r="H145" s="202"/>
      <c r="I145" s="202"/>
      <c r="J145" s="202"/>
      <c r="L145" s="40"/>
      <c r="M145" s="40"/>
      <c r="N145" s="40"/>
      <c r="O145" s="25"/>
      <c r="P145" s="361"/>
      <c r="Q145" s="361"/>
      <c r="R145" s="361"/>
      <c r="S145" s="361"/>
      <c r="T145" s="335"/>
      <c r="U145" s="50"/>
      <c r="V145" s="50"/>
      <c r="W145" s="50"/>
      <c r="X145" s="50"/>
      <c r="Y145" s="50"/>
      <c r="Z145" s="50"/>
      <c r="AA145" s="50"/>
      <c r="AB145" s="50"/>
      <c r="AC145" s="50"/>
      <c r="AD145" s="50"/>
      <c r="AE145" s="50"/>
      <c r="AF145" s="50"/>
      <c r="AG145" s="50"/>
      <c r="AH145" s="50"/>
      <c r="AI145" s="50"/>
      <c r="AJ145" s="50"/>
      <c r="AK145" s="50"/>
      <c r="AL145" s="50"/>
      <c r="AO145" s="21"/>
    </row>
    <row r="146" spans="1:41">
      <c r="U146" s="3"/>
      <c r="W146"/>
    </row>
    <row r="147" spans="1:41">
      <c r="U147" s="3"/>
      <c r="W147"/>
    </row>
    <row r="148" spans="1:41">
      <c r="U148" s="3"/>
      <c r="W148"/>
    </row>
    <row r="149" spans="1:41">
      <c r="U149" s="3"/>
      <c r="W149"/>
    </row>
    <row r="150" spans="1:41">
      <c r="U150" s="3"/>
      <c r="W150"/>
    </row>
    <row r="151" spans="1:41">
      <c r="U151" s="3"/>
      <c r="W151"/>
    </row>
    <row r="152" spans="1:41">
      <c r="U152" s="3"/>
      <c r="W152"/>
    </row>
    <row r="153" spans="1:41">
      <c r="U153" s="3"/>
      <c r="W153"/>
    </row>
    <row r="154" spans="1:41">
      <c r="U154" s="3"/>
      <c r="W154"/>
    </row>
    <row r="155" spans="1:41">
      <c r="U155" s="3"/>
      <c r="W155"/>
    </row>
    <row r="156" spans="1:41">
      <c r="U156" s="3"/>
      <c r="W156"/>
    </row>
    <row r="157" spans="1:41">
      <c r="U157" s="3"/>
      <c r="W157"/>
    </row>
    <row r="158" spans="1:41">
      <c r="U158" s="3"/>
      <c r="W158"/>
    </row>
    <row r="159" spans="1:41">
      <c r="U159" s="3"/>
      <c r="W159"/>
    </row>
    <row r="160" spans="1:41">
      <c r="U160" s="3"/>
      <c r="W160"/>
    </row>
    <row r="161" spans="21:23">
      <c r="U161" s="3"/>
      <c r="W161"/>
    </row>
    <row r="162" spans="21:23">
      <c r="U162" s="3"/>
      <c r="W162"/>
    </row>
    <row r="163" spans="21:23">
      <c r="U163" s="3"/>
      <c r="W163"/>
    </row>
    <row r="164" spans="21:23">
      <c r="U164" s="3"/>
      <c r="W164"/>
    </row>
    <row r="165" spans="21:23">
      <c r="U165" s="3"/>
      <c r="W165"/>
    </row>
    <row r="166" spans="21:23">
      <c r="U166" s="3"/>
      <c r="W166"/>
    </row>
    <row r="167" spans="21:23">
      <c r="U167" s="3"/>
      <c r="W167"/>
    </row>
    <row r="168" spans="21:23">
      <c r="U168" s="3"/>
      <c r="W168"/>
    </row>
    <row r="169" spans="21:23">
      <c r="U169" s="3"/>
      <c r="W169"/>
    </row>
    <row r="170" spans="21:23">
      <c r="U170" s="3"/>
      <c r="W170"/>
    </row>
    <row r="171" spans="21:23">
      <c r="U171" s="3"/>
      <c r="W171"/>
    </row>
    <row r="172" spans="21:23">
      <c r="U172" s="3"/>
      <c r="W172"/>
    </row>
    <row r="173" spans="21:23">
      <c r="U173" s="3"/>
      <c r="W173"/>
    </row>
    <row r="174" spans="21:23">
      <c r="U174" s="3"/>
      <c r="W174"/>
    </row>
    <row r="175" spans="21:23">
      <c r="U175" s="3"/>
      <c r="W175"/>
    </row>
    <row r="176" spans="21:23">
      <c r="U176" s="3"/>
      <c r="W176"/>
    </row>
    <row r="177" spans="21:23">
      <c r="U177" s="3"/>
      <c r="W177"/>
    </row>
    <row r="178" spans="21:23">
      <c r="U178" s="3"/>
      <c r="W178"/>
    </row>
    <row r="179" spans="21:23">
      <c r="U179" s="3"/>
      <c r="W179"/>
    </row>
    <row r="180" spans="21:23">
      <c r="U180" s="3"/>
      <c r="W180"/>
    </row>
    <row r="181" spans="21:23">
      <c r="U181" s="3"/>
      <c r="W181"/>
    </row>
    <row r="182" spans="21:23">
      <c r="U182" s="3"/>
      <c r="W182"/>
    </row>
    <row r="183" spans="21:23">
      <c r="U183" s="3"/>
      <c r="W183"/>
    </row>
    <row r="184" spans="21:23">
      <c r="U184" s="3"/>
      <c r="W184"/>
    </row>
    <row r="185" spans="21:23">
      <c r="U185" s="3"/>
      <c r="W185"/>
    </row>
    <row r="186" spans="21:23">
      <c r="U186" s="3"/>
      <c r="W186"/>
    </row>
    <row r="187" spans="21:23">
      <c r="U187" s="3"/>
      <c r="W187"/>
    </row>
    <row r="188" spans="21:23">
      <c r="U188" s="3"/>
      <c r="W188"/>
    </row>
    <row r="189" spans="21:23">
      <c r="U189" s="3"/>
      <c r="W189"/>
    </row>
    <row r="190" spans="21:23">
      <c r="U190" s="3"/>
      <c r="W190"/>
    </row>
    <row r="191" spans="21:23">
      <c r="U191" s="3"/>
      <c r="W191"/>
    </row>
    <row r="192" spans="21:23">
      <c r="U192" s="3"/>
      <c r="W192"/>
    </row>
    <row r="193" spans="21:23">
      <c r="U193" s="3"/>
      <c r="W193"/>
    </row>
  </sheetData>
  <autoFilter ref="A34:T145" xr:uid="{C49839A2-BB7D-455D-9535-B890C5DE3D2B}">
    <filterColumn colId="2">
      <filters>
        <filter val="RESELC"/>
      </filters>
    </filterColumn>
  </autoFilter>
  <conditionalFormatting sqref="C34:C39">
    <cfRule type="cellIs" dxfId="53" priority="1209" operator="equal">
      <formula>"RESCOA"</formula>
    </cfRule>
    <cfRule type="cellIs" dxfId="52" priority="1211" operator="equal">
      <formula>"RESBIW"</formula>
    </cfRule>
    <cfRule type="cellIs" dxfId="51" priority="1210" operator="equal">
      <formula>"RESOKE"</formula>
    </cfRule>
  </conditionalFormatting>
  <conditionalFormatting sqref="C41:C145">
    <cfRule type="cellIs" dxfId="50" priority="821" operator="equal">
      <formula>"RESOKE"</formula>
    </cfRule>
    <cfRule type="cellIs" dxfId="49" priority="822" operator="equal">
      <formula>"RESBIW"</formula>
    </cfRule>
    <cfRule type="cellIs" dxfId="48" priority="820" operator="equal">
      <formula>"RESCOA"</formula>
    </cfRule>
  </conditionalFormatting>
  <conditionalFormatting sqref="M41">
    <cfRule type="expression" dxfId="47" priority="1139">
      <formula>$M$48=#REF!</formula>
    </cfRule>
    <cfRule type="expression" dxfId="46" priority="1138">
      <formula>$M$48&lt;&gt;#REF!</formula>
    </cfRule>
  </conditionalFormatting>
  <conditionalFormatting sqref="M48">
    <cfRule type="expression" dxfId="45" priority="1453">
      <formula>$M$48=#REF!</formula>
    </cfRule>
  </conditionalFormatting>
  <conditionalFormatting sqref="M48:N48">
    <cfRule type="expression" dxfId="44" priority="1220">
      <formula>$M$48&lt;&gt;#REF!</formula>
    </cfRule>
  </conditionalFormatting>
  <conditionalFormatting sqref="M55:N55">
    <cfRule type="expression" dxfId="43" priority="1219">
      <formula>$M$55=#REF!</formula>
    </cfRule>
    <cfRule type="expression" dxfId="42" priority="1218">
      <formula>$M$55&lt;&gt;#REF!</formula>
    </cfRule>
  </conditionalFormatting>
  <conditionalFormatting sqref="M59:N59">
    <cfRule type="expression" dxfId="41" priority="1133">
      <formula>$M$66=#REF!</formula>
    </cfRule>
    <cfRule type="expression" dxfId="40" priority="1132">
      <formula>$M$66&lt;&gt;#REF!</formula>
    </cfRule>
  </conditionalFormatting>
  <conditionalFormatting sqref="M66:N66">
    <cfRule type="expression" dxfId="39" priority="1131">
      <formula>$M$66=#REF!</formula>
    </cfRule>
    <cfRule type="expression" dxfId="38" priority="1130">
      <formula>$M$66&lt;&gt;#REF!</formula>
    </cfRule>
  </conditionalFormatting>
  <conditionalFormatting sqref="M69:N69">
    <cfRule type="expression" dxfId="37" priority="1124">
      <formula>$M$69&lt;&gt;#REF!</formula>
    </cfRule>
    <cfRule type="expression" dxfId="36" priority="1125">
      <formula>$M$69=#REF!</formula>
    </cfRule>
  </conditionalFormatting>
  <conditionalFormatting sqref="M73:N73">
    <cfRule type="expression" dxfId="35" priority="1464">
      <formula>$M$73&lt;&gt;SUM(#REF!)</formula>
    </cfRule>
    <cfRule type="expression" dxfId="34" priority="1465">
      <formula>$M$73=SUM(#REF!)</formula>
    </cfRule>
  </conditionalFormatting>
  <conditionalFormatting sqref="M77:N77">
    <cfRule type="expression" dxfId="33" priority="1121">
      <formula>$M$77=#REF!</formula>
    </cfRule>
    <cfRule type="expression" dxfId="32" priority="1120">
      <formula>$M$77&lt;&gt;#REF!</formula>
    </cfRule>
  </conditionalFormatting>
  <conditionalFormatting sqref="M85:N85">
    <cfRule type="expression" dxfId="31" priority="1111">
      <formula>$M$85=#REF!</formula>
    </cfRule>
    <cfRule type="expression" dxfId="30" priority="1110">
      <formula>$M$85&lt;&gt;#REF!</formula>
    </cfRule>
  </conditionalFormatting>
  <conditionalFormatting sqref="M93:N93">
    <cfRule type="expression" dxfId="29" priority="1117">
      <formula>$M$93=#REF!</formula>
    </cfRule>
  </conditionalFormatting>
  <conditionalFormatting sqref="M97:N97">
    <cfRule type="expression" dxfId="28" priority="1128">
      <formula>$M$66&lt;&gt;#REF!</formula>
    </cfRule>
    <cfRule type="expression" dxfId="27" priority="1129">
      <formula>$M$66=#REF!</formula>
    </cfRule>
  </conditionalFormatting>
  <conditionalFormatting sqref="M105:N105">
    <cfRule type="expression" dxfId="26" priority="1096">
      <formula>$M$66&lt;&gt;#REF!</formula>
    </cfRule>
    <cfRule type="expression" dxfId="25" priority="1097">
      <formula>$M$66=#REF!</formula>
    </cfRule>
  </conditionalFormatting>
  <conditionalFormatting sqref="M108:N108">
    <cfRule type="expression" dxfId="24" priority="981">
      <formula>$M$108=#REF!</formula>
    </cfRule>
    <cfRule type="expression" dxfId="23" priority="980">
      <formula>$M$108&lt;&gt;#REF!</formula>
    </cfRule>
  </conditionalFormatting>
  <conditionalFormatting sqref="M112:N112">
    <cfRule type="expression" dxfId="22" priority="992">
      <formula>$M$112&lt;&gt;SUM(#REF!)</formula>
    </cfRule>
    <cfRule type="expression" dxfId="21" priority="993">
      <formula>$M$112=SUM(#REF!)</formula>
    </cfRule>
  </conditionalFormatting>
  <conditionalFormatting sqref="M115:N115">
    <cfRule type="expression" dxfId="20" priority="1004">
      <formula>$M$115&lt;&gt;#REF!</formula>
    </cfRule>
    <cfRule type="expression" dxfId="19" priority="1005">
      <formula>$M$115=#REF!</formula>
    </cfRule>
  </conditionalFormatting>
  <conditionalFormatting sqref="M122:N122">
    <cfRule type="expression" dxfId="18" priority="1016">
      <formula>$M$122&lt;&gt;#REF!</formula>
    </cfRule>
    <cfRule type="expression" dxfId="17" priority="1017">
      <formula>$M$122=#REF!</formula>
    </cfRule>
  </conditionalFormatting>
  <conditionalFormatting sqref="M130:N130">
    <cfRule type="expression" dxfId="16" priority="1028">
      <formula>$M$130&lt;&gt;#REF!</formula>
    </cfRule>
    <cfRule type="expression" dxfId="15" priority="1029">
      <formula>$M$130=#REF!</formula>
    </cfRule>
  </conditionalFormatting>
  <conditionalFormatting sqref="M141:N141">
    <cfRule type="expression" dxfId="14" priority="1040">
      <formula>$M$141&lt;&gt;#REF!</formula>
    </cfRule>
    <cfRule type="expression" dxfId="13" priority="1041">
      <formula>$M$141=#REF!</formula>
    </cfRule>
  </conditionalFormatting>
  <conditionalFormatting sqref="M144:N144">
    <cfRule type="expression" dxfId="12" priority="1176">
      <formula>$M$138=#REF!</formula>
    </cfRule>
    <cfRule type="expression" dxfId="11" priority="1175">
      <formula>$M$138&lt;&gt;#REF!</formula>
    </cfRule>
  </conditionalFormatting>
  <conditionalFormatting sqref="N41">
    <cfRule type="expression" dxfId="10" priority="1136">
      <formula>$M$48&lt;&gt;#REF!</formula>
    </cfRule>
    <cfRule type="expression" dxfId="9" priority="1137">
      <formula>$M$48=#REF!</formula>
    </cfRule>
  </conditionalFormatting>
  <conditionalFormatting sqref="N48">
    <cfRule type="expression" dxfId="8" priority="1221">
      <formula>$M$48=#REF!</formula>
    </cfRule>
  </conditionalFormatting>
  <conditionalFormatting sqref="N138">
    <cfRule type="expression" dxfId="7" priority="1094">
      <formula>$M$138&lt;&gt;#REF!</formula>
    </cfRule>
    <cfRule type="expression" dxfId="6" priority="1095">
      <formula>$M$138=#REF!</formula>
    </cfRule>
  </conditionalFormatting>
  <conditionalFormatting sqref="T39 T41:T145">
    <cfRule type="cellIs" dxfId="5" priority="969" operator="equal">
      <formula>"B"</formula>
    </cfRule>
  </conditionalFormatting>
  <conditionalFormatting sqref="U40">
    <cfRule type="dataBar" priority="5317">
      <dataBar>
        <cfvo type="min"/>
        <cfvo type="max"/>
        <color rgb="FF008AEF"/>
      </dataBar>
      <extLst>
        <ext xmlns:x14="http://schemas.microsoft.com/office/spreadsheetml/2009/9/main" uri="{B025F937-C7B1-47D3-B67F-A62EFF666E3E}">
          <x14:id>{789A2993-C633-4BBB-AC6F-E96586E63AAF}</x14:id>
        </ext>
      </extLst>
    </cfRule>
  </conditionalFormatting>
  <conditionalFormatting sqref="U48">
    <cfRule type="dataBar" priority="5396">
      <dataBar>
        <cfvo type="min"/>
        <cfvo type="max"/>
        <color rgb="FF008AEF"/>
      </dataBar>
      <extLst>
        <ext xmlns:x14="http://schemas.microsoft.com/office/spreadsheetml/2009/9/main" uri="{B025F937-C7B1-47D3-B67F-A62EFF666E3E}">
          <x14:id>{A93EE0A6-75B4-4853-93BE-D7DE973BB5EC}</x14:id>
        </ext>
      </extLst>
    </cfRule>
  </conditionalFormatting>
  <conditionalFormatting sqref="U49">
    <cfRule type="dataBar" priority="5397">
      <dataBar>
        <cfvo type="min"/>
        <cfvo type="max"/>
        <color rgb="FF008AEF"/>
      </dataBar>
      <extLst>
        <ext xmlns:x14="http://schemas.microsoft.com/office/spreadsheetml/2009/9/main" uri="{B025F937-C7B1-47D3-B67F-A62EFF666E3E}">
          <x14:id>{B7738A2E-37EC-49D2-97A4-6F4BE74163B1}</x14:id>
        </ext>
      </extLst>
    </cfRule>
  </conditionalFormatting>
  <conditionalFormatting sqref="U56">
    <cfRule type="dataBar" priority="629">
      <dataBar>
        <cfvo type="min"/>
        <cfvo type="max"/>
        <color rgb="FF008AEF"/>
      </dataBar>
      <extLst>
        <ext xmlns:x14="http://schemas.microsoft.com/office/spreadsheetml/2009/9/main" uri="{B025F937-C7B1-47D3-B67F-A62EFF666E3E}">
          <x14:id>{EB879D1B-9E3B-43B7-8C92-959422D85FAA}</x14:id>
        </ext>
      </extLst>
    </cfRule>
  </conditionalFormatting>
  <conditionalFormatting sqref="U59">
    <cfRule type="dataBar" priority="749">
      <dataBar>
        <cfvo type="min"/>
        <cfvo type="max"/>
        <color rgb="FF008AEF"/>
      </dataBar>
      <extLst>
        <ext xmlns:x14="http://schemas.microsoft.com/office/spreadsheetml/2009/9/main" uri="{B025F937-C7B1-47D3-B67F-A62EFF666E3E}">
          <x14:id>{BCC009E0-7343-4EC9-8D05-72ED3EF3B273}</x14:id>
        </ext>
      </extLst>
    </cfRule>
  </conditionalFormatting>
  <conditionalFormatting sqref="U60">
    <cfRule type="dataBar" priority="597">
      <dataBar>
        <cfvo type="min"/>
        <cfvo type="max"/>
        <color rgb="FF008AEF"/>
      </dataBar>
      <extLst>
        <ext xmlns:x14="http://schemas.microsoft.com/office/spreadsheetml/2009/9/main" uri="{B025F937-C7B1-47D3-B67F-A62EFF666E3E}">
          <x14:id>{192FDB57-C0D9-47DB-8674-435EB4C938A5}</x14:id>
        </ext>
      </extLst>
    </cfRule>
  </conditionalFormatting>
  <conditionalFormatting sqref="U66">
    <cfRule type="dataBar" priority="741">
      <dataBar>
        <cfvo type="min"/>
        <cfvo type="max"/>
        <color rgb="FF008AEF"/>
      </dataBar>
      <extLst>
        <ext xmlns:x14="http://schemas.microsoft.com/office/spreadsheetml/2009/9/main" uri="{B025F937-C7B1-47D3-B67F-A62EFF666E3E}">
          <x14:id>{7F59F68D-1830-43C8-B29E-4BA25B3F52BC}</x14:id>
        </ext>
      </extLst>
    </cfRule>
  </conditionalFormatting>
  <conditionalFormatting sqref="U67">
    <cfRule type="dataBar" priority="733">
      <dataBar>
        <cfvo type="min"/>
        <cfvo type="max"/>
        <color rgb="FF008AEF"/>
      </dataBar>
      <extLst>
        <ext xmlns:x14="http://schemas.microsoft.com/office/spreadsheetml/2009/9/main" uri="{B025F937-C7B1-47D3-B67F-A62EFF666E3E}">
          <x14:id>{71EEB247-8703-4FE5-B236-07750244F069}</x14:id>
        </ext>
      </extLst>
    </cfRule>
  </conditionalFormatting>
  <conditionalFormatting sqref="U70">
    <cfRule type="dataBar" priority="725">
      <dataBar>
        <cfvo type="min"/>
        <cfvo type="max"/>
        <color rgb="FF008AEF"/>
      </dataBar>
      <extLst>
        <ext xmlns:x14="http://schemas.microsoft.com/office/spreadsheetml/2009/9/main" uri="{B025F937-C7B1-47D3-B67F-A62EFF666E3E}">
          <x14:id>{B315923A-1FCB-4C1F-9DEE-8E7D6C48AE12}</x14:id>
        </ext>
      </extLst>
    </cfRule>
  </conditionalFormatting>
  <conditionalFormatting sqref="U73">
    <cfRule type="dataBar" priority="709">
      <dataBar>
        <cfvo type="min"/>
        <cfvo type="max"/>
        <color rgb="FF008AEF"/>
      </dataBar>
      <extLst>
        <ext xmlns:x14="http://schemas.microsoft.com/office/spreadsheetml/2009/9/main" uri="{B025F937-C7B1-47D3-B67F-A62EFF666E3E}">
          <x14:id>{84BB929D-7EB8-4061-B3BE-02CDF90B3554}</x14:id>
        </ext>
      </extLst>
    </cfRule>
  </conditionalFormatting>
  <conditionalFormatting sqref="U74">
    <cfRule type="dataBar" priority="701">
      <dataBar>
        <cfvo type="min"/>
        <cfvo type="max"/>
        <color rgb="FF008AEF"/>
      </dataBar>
      <extLst>
        <ext xmlns:x14="http://schemas.microsoft.com/office/spreadsheetml/2009/9/main" uri="{B025F937-C7B1-47D3-B67F-A62EFF666E3E}">
          <x14:id>{274ED9F8-86B4-49A0-BDDB-190C86E7DB53}</x14:id>
        </ext>
      </extLst>
    </cfRule>
  </conditionalFormatting>
  <conditionalFormatting sqref="U76">
    <cfRule type="dataBar" priority="5316">
      <dataBar>
        <cfvo type="min"/>
        <cfvo type="max"/>
        <color rgb="FF008AEF"/>
      </dataBar>
      <extLst>
        <ext xmlns:x14="http://schemas.microsoft.com/office/spreadsheetml/2009/9/main" uri="{B025F937-C7B1-47D3-B67F-A62EFF666E3E}">
          <x14:id>{A8FD9F17-E703-476D-8E7A-AC1CE5DAFC71}</x14:id>
        </ext>
      </extLst>
    </cfRule>
  </conditionalFormatting>
  <conditionalFormatting sqref="U77">
    <cfRule type="dataBar" priority="5380">
      <dataBar>
        <cfvo type="min"/>
        <cfvo type="max"/>
        <color rgb="FF008AEF"/>
      </dataBar>
      <extLst>
        <ext xmlns:x14="http://schemas.microsoft.com/office/spreadsheetml/2009/9/main" uri="{B025F937-C7B1-47D3-B67F-A62EFF666E3E}">
          <x14:id>{1EC0837E-0004-44FD-A1EB-E9DE9076D929}</x14:id>
        </ext>
      </extLst>
    </cfRule>
  </conditionalFormatting>
  <conditionalFormatting sqref="U78">
    <cfRule type="dataBar" priority="669">
      <dataBar>
        <cfvo type="min"/>
        <cfvo type="max"/>
        <color rgb="FF008AEF"/>
      </dataBar>
      <extLst>
        <ext xmlns:x14="http://schemas.microsoft.com/office/spreadsheetml/2009/9/main" uri="{B025F937-C7B1-47D3-B67F-A62EFF666E3E}">
          <x14:id>{AA9B7E46-D182-473D-A1C9-A42FAFA6CF20}</x14:id>
        </ext>
      </extLst>
    </cfRule>
  </conditionalFormatting>
  <conditionalFormatting sqref="U85">
    <cfRule type="dataBar" priority="5428">
      <dataBar>
        <cfvo type="min"/>
        <cfvo type="max"/>
        <color rgb="FF008AEF"/>
      </dataBar>
      <extLst>
        <ext xmlns:x14="http://schemas.microsoft.com/office/spreadsheetml/2009/9/main" uri="{B025F937-C7B1-47D3-B67F-A62EFF666E3E}">
          <x14:id>{B9F4C0CC-A4BA-4A0C-8D22-7F6C7753F9F1}</x14:id>
        </ext>
      </extLst>
    </cfRule>
  </conditionalFormatting>
  <conditionalFormatting sqref="U86">
    <cfRule type="dataBar" priority="5429">
      <dataBar>
        <cfvo type="min"/>
        <cfvo type="max"/>
        <color rgb="FF008AEF"/>
      </dataBar>
      <extLst>
        <ext xmlns:x14="http://schemas.microsoft.com/office/spreadsheetml/2009/9/main" uri="{B025F937-C7B1-47D3-B67F-A62EFF666E3E}">
          <x14:id>{77B900E0-56CD-4FA5-91E9-43CEDC45ADEA}</x14:id>
        </ext>
      </extLst>
    </cfRule>
  </conditionalFormatting>
  <conditionalFormatting sqref="U94">
    <cfRule type="dataBar" priority="549">
      <dataBar>
        <cfvo type="min"/>
        <cfvo type="max"/>
        <color rgb="FF008AEF"/>
      </dataBar>
      <extLst>
        <ext xmlns:x14="http://schemas.microsoft.com/office/spreadsheetml/2009/9/main" uri="{B025F937-C7B1-47D3-B67F-A62EFF666E3E}">
          <x14:id>{6977FFD1-4CE2-464E-8DB7-1B08C1CB4786}</x14:id>
        </ext>
      </extLst>
    </cfRule>
  </conditionalFormatting>
  <conditionalFormatting sqref="U98">
    <cfRule type="dataBar" priority="541">
      <dataBar>
        <cfvo type="min"/>
        <cfvo type="max"/>
        <color rgb="FF008AEF"/>
      </dataBar>
      <extLst>
        <ext xmlns:x14="http://schemas.microsoft.com/office/spreadsheetml/2009/9/main" uri="{B025F937-C7B1-47D3-B67F-A62EFF666E3E}">
          <x14:id>{DABC35C7-E470-4EBC-AE58-AA570334942D}</x14:id>
        </ext>
      </extLst>
    </cfRule>
  </conditionalFormatting>
  <conditionalFormatting sqref="U106">
    <cfRule type="dataBar" priority="533">
      <dataBar>
        <cfvo type="min"/>
        <cfvo type="max"/>
        <color rgb="FF008AEF"/>
      </dataBar>
      <extLst>
        <ext xmlns:x14="http://schemas.microsoft.com/office/spreadsheetml/2009/9/main" uri="{B025F937-C7B1-47D3-B67F-A62EFF666E3E}">
          <x14:id>{3245F4B6-404E-4374-A106-B3666B232F5B}</x14:id>
        </ext>
      </extLst>
    </cfRule>
  </conditionalFormatting>
  <conditionalFormatting sqref="U109">
    <cfRule type="dataBar" priority="525">
      <dataBar>
        <cfvo type="min"/>
        <cfvo type="max"/>
        <color rgb="FF008AEF"/>
      </dataBar>
      <extLst>
        <ext xmlns:x14="http://schemas.microsoft.com/office/spreadsheetml/2009/9/main" uri="{B025F937-C7B1-47D3-B67F-A62EFF666E3E}">
          <x14:id>{50597AD7-0DBC-4108-B244-7D4FAFB5A853}</x14:id>
        </ext>
      </extLst>
    </cfRule>
  </conditionalFormatting>
  <conditionalFormatting sqref="U112">
    <cfRule type="dataBar" priority="509">
      <dataBar>
        <cfvo type="min"/>
        <cfvo type="max"/>
        <color rgb="FF008AEF"/>
      </dataBar>
      <extLst>
        <ext xmlns:x14="http://schemas.microsoft.com/office/spreadsheetml/2009/9/main" uri="{B025F937-C7B1-47D3-B67F-A62EFF666E3E}">
          <x14:id>{4C7111D7-A870-46E8-8B89-C675F1582A79}</x14:id>
        </ext>
      </extLst>
    </cfRule>
  </conditionalFormatting>
  <conditionalFormatting sqref="U113">
    <cfRule type="dataBar" priority="501">
      <dataBar>
        <cfvo type="min"/>
        <cfvo type="max"/>
        <color rgb="FF008AEF"/>
      </dataBar>
      <extLst>
        <ext xmlns:x14="http://schemas.microsoft.com/office/spreadsheetml/2009/9/main" uri="{B025F937-C7B1-47D3-B67F-A62EFF666E3E}">
          <x14:id>{3B263BD7-8AAE-489D-B7C6-CD34E7E80CC8}</x14:id>
        </ext>
      </extLst>
    </cfRule>
  </conditionalFormatting>
  <conditionalFormatting sqref="U115">
    <cfRule type="dataBar" priority="5492">
      <dataBar>
        <cfvo type="min"/>
        <cfvo type="max"/>
        <color rgb="FF008AEF"/>
      </dataBar>
      <extLst>
        <ext xmlns:x14="http://schemas.microsoft.com/office/spreadsheetml/2009/9/main" uri="{B025F937-C7B1-47D3-B67F-A62EFF666E3E}">
          <x14:id>{374AC314-C101-48B4-8AB5-EDB019A25176}</x14:id>
        </ext>
      </extLst>
    </cfRule>
  </conditionalFormatting>
  <conditionalFormatting sqref="U116">
    <cfRule type="dataBar" priority="5493">
      <dataBar>
        <cfvo type="min"/>
        <cfvo type="max"/>
        <color rgb="FF008AEF"/>
      </dataBar>
      <extLst>
        <ext xmlns:x14="http://schemas.microsoft.com/office/spreadsheetml/2009/9/main" uri="{B025F937-C7B1-47D3-B67F-A62EFF666E3E}">
          <x14:id>{8931CE58-0567-492A-A817-0455B353B31F}</x14:id>
        </ext>
      </extLst>
    </cfRule>
  </conditionalFormatting>
  <conditionalFormatting sqref="U122">
    <cfRule type="dataBar" priority="453">
      <dataBar>
        <cfvo type="min"/>
        <cfvo type="max"/>
        <color rgb="FF008AEF"/>
      </dataBar>
      <extLst>
        <ext xmlns:x14="http://schemas.microsoft.com/office/spreadsheetml/2009/9/main" uri="{B025F937-C7B1-47D3-B67F-A62EFF666E3E}">
          <x14:id>{8AE02EB6-A80C-4002-8A69-894FB817AD00}</x14:id>
        </ext>
      </extLst>
    </cfRule>
  </conditionalFormatting>
  <conditionalFormatting sqref="U123">
    <cfRule type="dataBar" priority="445">
      <dataBar>
        <cfvo type="min"/>
        <cfvo type="max"/>
        <color rgb="FF008AEF"/>
      </dataBar>
      <extLst>
        <ext xmlns:x14="http://schemas.microsoft.com/office/spreadsheetml/2009/9/main" uri="{B025F937-C7B1-47D3-B67F-A62EFF666E3E}">
          <x14:id>{2472DA81-1A79-4B90-99D9-93ED75139F5D}</x14:id>
        </ext>
      </extLst>
    </cfRule>
  </conditionalFormatting>
  <conditionalFormatting sqref="U130">
    <cfRule type="dataBar" priority="5517">
      <dataBar>
        <cfvo type="min"/>
        <cfvo type="max"/>
        <color rgb="FF008AEF"/>
      </dataBar>
      <extLst>
        <ext xmlns:x14="http://schemas.microsoft.com/office/spreadsheetml/2009/9/main" uri="{B025F937-C7B1-47D3-B67F-A62EFF666E3E}">
          <x14:id>{9663E0F3-8A93-4DE8-AAAF-438DE1206169}</x14:id>
        </ext>
      </extLst>
    </cfRule>
  </conditionalFormatting>
  <conditionalFormatting sqref="U131">
    <cfRule type="dataBar" priority="405">
      <dataBar>
        <cfvo type="min"/>
        <cfvo type="max"/>
        <color rgb="FF008AEF"/>
      </dataBar>
      <extLst>
        <ext xmlns:x14="http://schemas.microsoft.com/office/spreadsheetml/2009/9/main" uri="{B025F937-C7B1-47D3-B67F-A62EFF666E3E}">
          <x14:id>{FD520086-57CF-404C-A57A-3E958FCB4815}</x14:id>
        </ext>
      </extLst>
    </cfRule>
  </conditionalFormatting>
  <conditionalFormatting sqref="U138">
    <cfRule type="dataBar" priority="397">
      <dataBar>
        <cfvo type="min"/>
        <cfvo type="max"/>
        <color rgb="FF008AEF"/>
      </dataBar>
      <extLst>
        <ext xmlns:x14="http://schemas.microsoft.com/office/spreadsheetml/2009/9/main" uri="{B025F937-C7B1-47D3-B67F-A62EFF666E3E}">
          <x14:id>{6F8D0767-FB80-4027-BAC1-B5DE070AB538}</x14:id>
        </ext>
      </extLst>
    </cfRule>
  </conditionalFormatting>
  <conditionalFormatting sqref="U139">
    <cfRule type="dataBar" priority="389">
      <dataBar>
        <cfvo type="min"/>
        <cfvo type="max"/>
        <color rgb="FF008AEF"/>
      </dataBar>
      <extLst>
        <ext xmlns:x14="http://schemas.microsoft.com/office/spreadsheetml/2009/9/main" uri="{B025F937-C7B1-47D3-B67F-A62EFF666E3E}">
          <x14:id>{02B300E9-826C-4FD1-9DBF-3A91D6B095EA}</x14:id>
        </ext>
      </extLst>
    </cfRule>
  </conditionalFormatting>
  <conditionalFormatting sqref="U141">
    <cfRule type="dataBar" priority="5556">
      <dataBar>
        <cfvo type="min"/>
        <cfvo type="max"/>
        <color rgb="FF008AEF"/>
      </dataBar>
      <extLst>
        <ext xmlns:x14="http://schemas.microsoft.com/office/spreadsheetml/2009/9/main" uri="{B025F937-C7B1-47D3-B67F-A62EFF666E3E}">
          <x14:id>{A1B4507D-AD8E-4EC1-968B-1F4689D09F6A}</x14:id>
        </ext>
      </extLst>
    </cfRule>
  </conditionalFormatting>
  <conditionalFormatting sqref="U142">
    <cfRule type="dataBar" priority="5557">
      <dataBar>
        <cfvo type="min"/>
        <cfvo type="max"/>
        <color rgb="FF008AEF"/>
      </dataBar>
      <extLst>
        <ext xmlns:x14="http://schemas.microsoft.com/office/spreadsheetml/2009/9/main" uri="{B025F937-C7B1-47D3-B67F-A62EFF666E3E}">
          <x14:id>{864F7EEF-5DB7-481A-9685-B5B7547E0D47}</x14:id>
        </ext>
      </extLst>
    </cfRule>
  </conditionalFormatting>
  <conditionalFormatting sqref="V145">
    <cfRule type="dataBar" priority="5580">
      <dataBar>
        <cfvo type="min"/>
        <cfvo type="max"/>
        <color rgb="FF008AEF"/>
      </dataBar>
      <extLst>
        <ext xmlns:x14="http://schemas.microsoft.com/office/spreadsheetml/2009/9/main" uri="{B025F937-C7B1-47D3-B67F-A62EFF666E3E}">
          <x14:id>{09A3E289-3491-451C-AE88-3C58137BD597}</x14:id>
        </ext>
      </extLst>
    </cfRule>
  </conditionalFormatting>
  <conditionalFormatting sqref="V39:AL144">
    <cfRule type="dataBar" priority="1">
      <dataBar>
        <cfvo type="min"/>
        <cfvo type="max"/>
        <color rgb="FF638EC6"/>
      </dataBar>
      <extLst>
        <ext xmlns:x14="http://schemas.microsoft.com/office/spreadsheetml/2009/9/main" uri="{B025F937-C7B1-47D3-B67F-A62EFF666E3E}">
          <x14:id>{8BF9B7F5-DBCD-4982-B78C-BCDA9F2695D8}</x14:id>
        </ext>
      </extLst>
    </cfRule>
  </conditionalFormatting>
  <conditionalFormatting sqref="X145">
    <cfRule type="dataBar" priority="4653">
      <dataBar>
        <cfvo type="min"/>
        <cfvo type="max"/>
        <color rgb="FF008AEF"/>
      </dataBar>
      <extLst>
        <ext xmlns:x14="http://schemas.microsoft.com/office/spreadsheetml/2009/9/main" uri="{B025F937-C7B1-47D3-B67F-A62EFF666E3E}">
          <x14:id>{45B38E78-83FD-436C-B83B-87CB1779F340}</x14:id>
        </ext>
      </extLst>
    </cfRule>
  </conditionalFormatting>
  <conditionalFormatting sqref="Z145">
    <cfRule type="dataBar" priority="4673">
      <dataBar>
        <cfvo type="min"/>
        <cfvo type="max"/>
        <color rgb="FF008AEF"/>
      </dataBar>
      <extLst>
        <ext xmlns:x14="http://schemas.microsoft.com/office/spreadsheetml/2009/9/main" uri="{B025F937-C7B1-47D3-B67F-A62EFF666E3E}">
          <x14:id>{4007CAFC-855C-43A4-9A21-C9A5BDD059D8}</x14:id>
        </ext>
      </extLst>
    </cfRule>
  </conditionalFormatting>
  <conditionalFormatting sqref="AB145">
    <cfRule type="dataBar" priority="4693">
      <dataBar>
        <cfvo type="min"/>
        <cfvo type="max"/>
        <color rgb="FF008AEF"/>
      </dataBar>
      <extLst>
        <ext xmlns:x14="http://schemas.microsoft.com/office/spreadsheetml/2009/9/main" uri="{B025F937-C7B1-47D3-B67F-A62EFF666E3E}">
          <x14:id>{F4352BE7-67B9-4AE0-84A1-8A7B3B37BA72}</x14:id>
        </ext>
      </extLst>
    </cfRule>
  </conditionalFormatting>
  <conditionalFormatting sqref="AE145">
    <cfRule type="dataBar" priority="5060">
      <dataBar>
        <cfvo type="min"/>
        <cfvo type="max"/>
        <color rgb="FF008AEF"/>
      </dataBar>
      <extLst>
        <ext xmlns:x14="http://schemas.microsoft.com/office/spreadsheetml/2009/9/main" uri="{B025F937-C7B1-47D3-B67F-A62EFF666E3E}">
          <x14:id>{2A16D74A-30B0-4E53-AC5D-22534D7A58BB}</x14:id>
        </ext>
      </extLst>
    </cfRule>
  </conditionalFormatting>
  <conditionalFormatting sqref="AG145">
    <cfRule type="dataBar" priority="4713">
      <dataBar>
        <cfvo type="min"/>
        <cfvo type="max"/>
        <color rgb="FF008AEF"/>
      </dataBar>
      <extLst>
        <ext xmlns:x14="http://schemas.microsoft.com/office/spreadsheetml/2009/9/main" uri="{B025F937-C7B1-47D3-B67F-A62EFF666E3E}">
          <x14:id>{D9C21E73-85B4-4EB9-9B01-BA8A541E34E5}</x14:id>
        </ext>
      </extLst>
    </cfRule>
  </conditionalFormatting>
  <conditionalFormatting sqref="AI145">
    <cfRule type="dataBar" priority="4733">
      <dataBar>
        <cfvo type="min"/>
        <cfvo type="max"/>
        <color rgb="FF008AEF"/>
      </dataBar>
      <extLst>
        <ext xmlns:x14="http://schemas.microsoft.com/office/spreadsheetml/2009/9/main" uri="{B025F937-C7B1-47D3-B67F-A62EFF666E3E}">
          <x14:id>{6260CB01-4863-4D7D-B360-1E844CA6C140}</x14:id>
        </ext>
      </extLst>
    </cfRule>
  </conditionalFormatting>
  <conditionalFormatting sqref="AK145">
    <cfRule type="dataBar" priority="4753">
      <dataBar>
        <cfvo type="min"/>
        <cfvo type="max"/>
        <color rgb="FF008AEF"/>
      </dataBar>
      <extLst>
        <ext xmlns:x14="http://schemas.microsoft.com/office/spreadsheetml/2009/9/main" uri="{B025F937-C7B1-47D3-B67F-A62EFF666E3E}">
          <x14:id>{D4AE572D-B452-4C29-ADE7-335B20997090}</x14:id>
        </ext>
      </extLst>
    </cfRule>
  </conditionalFormatting>
  <conditionalFormatting sqref="AN124:AN129 U143:U145 U61:U65 U68:U69 U71:U72 U75 U57:U58 U41:U47 U79:U84 U87:U93 U95:U97 U99:U105 U107:U108 U110:U111 U114 U117:U121 U124:U129 U140 AA145 Y145 W145 AC145:AD145 AL145 AJ145 AH145 AF145 U39 U50:U55 U132:U137">
    <cfRule type="dataBar" priority="4441">
      <dataBar>
        <cfvo type="min"/>
        <cfvo type="max"/>
        <color rgb="FF008AEF"/>
      </dataBar>
      <extLst>
        <ext xmlns:x14="http://schemas.microsoft.com/office/spreadsheetml/2009/9/main" uri="{B025F937-C7B1-47D3-B67F-A62EFF666E3E}">
          <x14:id>{890E40C9-80FE-0947-B67C-8DE627A2F0AA}</x14:id>
        </ext>
      </extLst>
    </cfRule>
  </conditionalFormatting>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789A2993-C633-4BBB-AC6F-E96586E63AAF}">
            <x14:dataBar minLength="0" maxLength="100" border="1" negativeBarBorderColorSameAsPositive="0">
              <x14:cfvo type="autoMin"/>
              <x14:cfvo type="autoMax"/>
              <x14:borderColor rgb="FF008AEF"/>
              <x14:negativeFillColor rgb="FFFF0000"/>
              <x14:negativeBorderColor rgb="FFFF0000"/>
              <x14:axisColor rgb="FF000000"/>
            </x14:dataBar>
          </x14:cfRule>
          <xm:sqref>U40</xm:sqref>
        </x14:conditionalFormatting>
        <x14:conditionalFormatting xmlns:xm="http://schemas.microsoft.com/office/excel/2006/main">
          <x14:cfRule type="dataBar" id="{A93EE0A6-75B4-4853-93BE-D7DE973BB5EC}">
            <x14:dataBar minLength="0" maxLength="100" border="1" negativeBarBorderColorSameAsPositive="0">
              <x14:cfvo type="autoMin"/>
              <x14:cfvo type="autoMax"/>
              <x14:borderColor rgb="FF008AEF"/>
              <x14:negativeFillColor rgb="FFFF0000"/>
              <x14:negativeBorderColor rgb="FFFF0000"/>
              <x14:axisColor rgb="FF000000"/>
            </x14:dataBar>
          </x14:cfRule>
          <xm:sqref>U48</xm:sqref>
        </x14:conditionalFormatting>
        <x14:conditionalFormatting xmlns:xm="http://schemas.microsoft.com/office/excel/2006/main">
          <x14:cfRule type="dataBar" id="{B7738A2E-37EC-49D2-97A4-6F4BE74163B1}">
            <x14:dataBar minLength="0" maxLength="100" border="1" negativeBarBorderColorSameAsPositive="0">
              <x14:cfvo type="autoMin"/>
              <x14:cfvo type="autoMax"/>
              <x14:borderColor rgb="FF008AEF"/>
              <x14:negativeFillColor rgb="FFFF0000"/>
              <x14:negativeBorderColor rgb="FFFF0000"/>
              <x14:axisColor rgb="FF000000"/>
            </x14:dataBar>
          </x14:cfRule>
          <xm:sqref>U49</xm:sqref>
        </x14:conditionalFormatting>
        <x14:conditionalFormatting xmlns:xm="http://schemas.microsoft.com/office/excel/2006/main">
          <x14:cfRule type="dataBar" id="{EB879D1B-9E3B-43B7-8C92-959422D85FAA}">
            <x14:dataBar minLength="0" maxLength="100" border="1" negativeBarBorderColorSameAsPositive="0">
              <x14:cfvo type="autoMin"/>
              <x14:cfvo type="autoMax"/>
              <x14:borderColor rgb="FF008AEF"/>
              <x14:negativeFillColor rgb="FFFF0000"/>
              <x14:negativeBorderColor rgb="FFFF0000"/>
              <x14:axisColor rgb="FF000000"/>
            </x14:dataBar>
          </x14:cfRule>
          <xm:sqref>U56</xm:sqref>
        </x14:conditionalFormatting>
        <x14:conditionalFormatting xmlns:xm="http://schemas.microsoft.com/office/excel/2006/main">
          <x14:cfRule type="dataBar" id="{BCC009E0-7343-4EC9-8D05-72ED3EF3B273}">
            <x14:dataBar minLength="0" maxLength="100" border="1" negativeBarBorderColorSameAsPositive="0">
              <x14:cfvo type="autoMin"/>
              <x14:cfvo type="autoMax"/>
              <x14:borderColor rgb="FF008AEF"/>
              <x14:negativeFillColor rgb="FFFF0000"/>
              <x14:negativeBorderColor rgb="FFFF0000"/>
              <x14:axisColor rgb="FF000000"/>
            </x14:dataBar>
          </x14:cfRule>
          <xm:sqref>U59</xm:sqref>
        </x14:conditionalFormatting>
        <x14:conditionalFormatting xmlns:xm="http://schemas.microsoft.com/office/excel/2006/main">
          <x14:cfRule type="dataBar" id="{192FDB57-C0D9-47DB-8674-435EB4C938A5}">
            <x14:dataBar minLength="0" maxLength="100" border="1" negativeBarBorderColorSameAsPositive="0">
              <x14:cfvo type="autoMin"/>
              <x14:cfvo type="autoMax"/>
              <x14:borderColor rgb="FF008AEF"/>
              <x14:negativeFillColor rgb="FFFF0000"/>
              <x14:negativeBorderColor rgb="FFFF0000"/>
              <x14:axisColor rgb="FF000000"/>
            </x14:dataBar>
          </x14:cfRule>
          <xm:sqref>U60</xm:sqref>
        </x14:conditionalFormatting>
        <x14:conditionalFormatting xmlns:xm="http://schemas.microsoft.com/office/excel/2006/main">
          <x14:cfRule type="dataBar" id="{7F59F68D-1830-43C8-B29E-4BA25B3F52BC}">
            <x14:dataBar minLength="0" maxLength="100" border="1" negativeBarBorderColorSameAsPositive="0">
              <x14:cfvo type="autoMin"/>
              <x14:cfvo type="autoMax"/>
              <x14:borderColor rgb="FF008AEF"/>
              <x14:negativeFillColor rgb="FFFF0000"/>
              <x14:negativeBorderColor rgb="FFFF0000"/>
              <x14:axisColor rgb="FF000000"/>
            </x14:dataBar>
          </x14:cfRule>
          <xm:sqref>U66</xm:sqref>
        </x14:conditionalFormatting>
        <x14:conditionalFormatting xmlns:xm="http://schemas.microsoft.com/office/excel/2006/main">
          <x14:cfRule type="dataBar" id="{71EEB247-8703-4FE5-B236-07750244F069}">
            <x14:dataBar minLength="0" maxLength="100" border="1" negativeBarBorderColorSameAsPositive="0">
              <x14:cfvo type="autoMin"/>
              <x14:cfvo type="autoMax"/>
              <x14:borderColor rgb="FF008AEF"/>
              <x14:negativeFillColor rgb="FFFF0000"/>
              <x14:negativeBorderColor rgb="FFFF0000"/>
              <x14:axisColor rgb="FF000000"/>
            </x14:dataBar>
          </x14:cfRule>
          <xm:sqref>U67</xm:sqref>
        </x14:conditionalFormatting>
        <x14:conditionalFormatting xmlns:xm="http://schemas.microsoft.com/office/excel/2006/main">
          <x14:cfRule type="dataBar" id="{B315923A-1FCB-4C1F-9DEE-8E7D6C48AE12}">
            <x14:dataBar minLength="0" maxLength="100" border="1" negativeBarBorderColorSameAsPositive="0">
              <x14:cfvo type="autoMin"/>
              <x14:cfvo type="autoMax"/>
              <x14:borderColor rgb="FF008AEF"/>
              <x14:negativeFillColor rgb="FFFF0000"/>
              <x14:negativeBorderColor rgb="FFFF0000"/>
              <x14:axisColor rgb="FF000000"/>
            </x14:dataBar>
          </x14:cfRule>
          <xm:sqref>U70</xm:sqref>
        </x14:conditionalFormatting>
        <x14:conditionalFormatting xmlns:xm="http://schemas.microsoft.com/office/excel/2006/main">
          <x14:cfRule type="dataBar" id="{84BB929D-7EB8-4061-B3BE-02CDF90B3554}">
            <x14:dataBar minLength="0" maxLength="100" border="1" negativeBarBorderColorSameAsPositive="0">
              <x14:cfvo type="autoMin"/>
              <x14:cfvo type="autoMax"/>
              <x14:borderColor rgb="FF008AEF"/>
              <x14:negativeFillColor rgb="FFFF0000"/>
              <x14:negativeBorderColor rgb="FFFF0000"/>
              <x14:axisColor rgb="FF000000"/>
            </x14:dataBar>
          </x14:cfRule>
          <xm:sqref>U73</xm:sqref>
        </x14:conditionalFormatting>
        <x14:conditionalFormatting xmlns:xm="http://schemas.microsoft.com/office/excel/2006/main">
          <x14:cfRule type="dataBar" id="{274ED9F8-86B4-49A0-BDDB-190C86E7DB53}">
            <x14:dataBar minLength="0" maxLength="100" border="1" negativeBarBorderColorSameAsPositive="0">
              <x14:cfvo type="autoMin"/>
              <x14:cfvo type="autoMax"/>
              <x14:borderColor rgb="FF008AEF"/>
              <x14:negativeFillColor rgb="FFFF0000"/>
              <x14:negativeBorderColor rgb="FFFF0000"/>
              <x14:axisColor rgb="FF000000"/>
            </x14:dataBar>
          </x14:cfRule>
          <xm:sqref>U74</xm:sqref>
        </x14:conditionalFormatting>
        <x14:conditionalFormatting xmlns:xm="http://schemas.microsoft.com/office/excel/2006/main">
          <x14:cfRule type="dataBar" id="{A8FD9F17-E703-476D-8E7A-AC1CE5DAFC71}">
            <x14:dataBar minLength="0" maxLength="100" border="1" negativeBarBorderColorSameAsPositive="0">
              <x14:cfvo type="autoMin"/>
              <x14:cfvo type="autoMax"/>
              <x14:borderColor rgb="FF008AEF"/>
              <x14:negativeFillColor rgb="FFFF0000"/>
              <x14:negativeBorderColor rgb="FFFF0000"/>
              <x14:axisColor rgb="FF000000"/>
            </x14:dataBar>
          </x14:cfRule>
          <xm:sqref>U76</xm:sqref>
        </x14:conditionalFormatting>
        <x14:conditionalFormatting xmlns:xm="http://schemas.microsoft.com/office/excel/2006/main">
          <x14:cfRule type="dataBar" id="{1EC0837E-0004-44FD-A1EB-E9DE9076D929}">
            <x14:dataBar minLength="0" maxLength="100" border="1" negativeBarBorderColorSameAsPositive="0">
              <x14:cfvo type="autoMin"/>
              <x14:cfvo type="autoMax"/>
              <x14:borderColor rgb="FF008AEF"/>
              <x14:negativeFillColor rgb="FFFF0000"/>
              <x14:negativeBorderColor rgb="FFFF0000"/>
              <x14:axisColor rgb="FF000000"/>
            </x14:dataBar>
          </x14:cfRule>
          <xm:sqref>U77</xm:sqref>
        </x14:conditionalFormatting>
        <x14:conditionalFormatting xmlns:xm="http://schemas.microsoft.com/office/excel/2006/main">
          <x14:cfRule type="dataBar" id="{AA9B7E46-D182-473D-A1C9-A42FAFA6CF20}">
            <x14:dataBar minLength="0" maxLength="100" border="1" negativeBarBorderColorSameAsPositive="0">
              <x14:cfvo type="autoMin"/>
              <x14:cfvo type="autoMax"/>
              <x14:borderColor rgb="FF008AEF"/>
              <x14:negativeFillColor rgb="FFFF0000"/>
              <x14:negativeBorderColor rgb="FFFF0000"/>
              <x14:axisColor rgb="FF000000"/>
            </x14:dataBar>
          </x14:cfRule>
          <xm:sqref>U78</xm:sqref>
        </x14:conditionalFormatting>
        <x14:conditionalFormatting xmlns:xm="http://schemas.microsoft.com/office/excel/2006/main">
          <x14:cfRule type="dataBar" id="{B9F4C0CC-A4BA-4A0C-8D22-7F6C7753F9F1}">
            <x14:dataBar minLength="0" maxLength="100" border="1" negativeBarBorderColorSameAsPositive="0">
              <x14:cfvo type="autoMin"/>
              <x14:cfvo type="autoMax"/>
              <x14:borderColor rgb="FF008AEF"/>
              <x14:negativeFillColor rgb="FFFF0000"/>
              <x14:negativeBorderColor rgb="FFFF0000"/>
              <x14:axisColor rgb="FF000000"/>
            </x14:dataBar>
          </x14:cfRule>
          <xm:sqref>U85</xm:sqref>
        </x14:conditionalFormatting>
        <x14:conditionalFormatting xmlns:xm="http://schemas.microsoft.com/office/excel/2006/main">
          <x14:cfRule type="dataBar" id="{77B900E0-56CD-4FA5-91E9-43CEDC45ADEA}">
            <x14:dataBar minLength="0" maxLength="100" border="1" negativeBarBorderColorSameAsPositive="0">
              <x14:cfvo type="autoMin"/>
              <x14:cfvo type="autoMax"/>
              <x14:borderColor rgb="FF008AEF"/>
              <x14:negativeFillColor rgb="FFFF0000"/>
              <x14:negativeBorderColor rgb="FFFF0000"/>
              <x14:axisColor rgb="FF000000"/>
            </x14:dataBar>
          </x14:cfRule>
          <xm:sqref>U86</xm:sqref>
        </x14:conditionalFormatting>
        <x14:conditionalFormatting xmlns:xm="http://schemas.microsoft.com/office/excel/2006/main">
          <x14:cfRule type="dataBar" id="{6977FFD1-4CE2-464E-8DB7-1B08C1CB4786}">
            <x14:dataBar minLength="0" maxLength="100" border="1" negativeBarBorderColorSameAsPositive="0">
              <x14:cfvo type="autoMin"/>
              <x14:cfvo type="autoMax"/>
              <x14:borderColor rgb="FF008AEF"/>
              <x14:negativeFillColor rgb="FFFF0000"/>
              <x14:negativeBorderColor rgb="FFFF0000"/>
              <x14:axisColor rgb="FF000000"/>
            </x14:dataBar>
          </x14:cfRule>
          <xm:sqref>U94</xm:sqref>
        </x14:conditionalFormatting>
        <x14:conditionalFormatting xmlns:xm="http://schemas.microsoft.com/office/excel/2006/main">
          <x14:cfRule type="dataBar" id="{DABC35C7-E470-4EBC-AE58-AA570334942D}">
            <x14:dataBar minLength="0" maxLength="100" border="1" negativeBarBorderColorSameAsPositive="0">
              <x14:cfvo type="autoMin"/>
              <x14:cfvo type="autoMax"/>
              <x14:borderColor rgb="FF008AEF"/>
              <x14:negativeFillColor rgb="FFFF0000"/>
              <x14:negativeBorderColor rgb="FFFF0000"/>
              <x14:axisColor rgb="FF000000"/>
            </x14:dataBar>
          </x14:cfRule>
          <xm:sqref>U98</xm:sqref>
        </x14:conditionalFormatting>
        <x14:conditionalFormatting xmlns:xm="http://schemas.microsoft.com/office/excel/2006/main">
          <x14:cfRule type="dataBar" id="{3245F4B6-404E-4374-A106-B3666B232F5B}">
            <x14:dataBar minLength="0" maxLength="100" border="1" negativeBarBorderColorSameAsPositive="0">
              <x14:cfvo type="autoMin"/>
              <x14:cfvo type="autoMax"/>
              <x14:borderColor rgb="FF008AEF"/>
              <x14:negativeFillColor rgb="FFFF0000"/>
              <x14:negativeBorderColor rgb="FFFF0000"/>
              <x14:axisColor rgb="FF000000"/>
            </x14:dataBar>
          </x14:cfRule>
          <xm:sqref>U106</xm:sqref>
        </x14:conditionalFormatting>
        <x14:conditionalFormatting xmlns:xm="http://schemas.microsoft.com/office/excel/2006/main">
          <x14:cfRule type="dataBar" id="{50597AD7-0DBC-4108-B244-7D4FAFB5A853}">
            <x14:dataBar minLength="0" maxLength="100" border="1" negativeBarBorderColorSameAsPositive="0">
              <x14:cfvo type="autoMin"/>
              <x14:cfvo type="autoMax"/>
              <x14:borderColor rgb="FF008AEF"/>
              <x14:negativeFillColor rgb="FFFF0000"/>
              <x14:negativeBorderColor rgb="FFFF0000"/>
              <x14:axisColor rgb="FF000000"/>
            </x14:dataBar>
          </x14:cfRule>
          <xm:sqref>U109</xm:sqref>
        </x14:conditionalFormatting>
        <x14:conditionalFormatting xmlns:xm="http://schemas.microsoft.com/office/excel/2006/main">
          <x14:cfRule type="dataBar" id="{4C7111D7-A870-46E8-8B89-C675F1582A79}">
            <x14:dataBar minLength="0" maxLength="100" border="1" negativeBarBorderColorSameAsPositive="0">
              <x14:cfvo type="autoMin"/>
              <x14:cfvo type="autoMax"/>
              <x14:borderColor rgb="FF008AEF"/>
              <x14:negativeFillColor rgb="FFFF0000"/>
              <x14:negativeBorderColor rgb="FFFF0000"/>
              <x14:axisColor rgb="FF000000"/>
            </x14:dataBar>
          </x14:cfRule>
          <xm:sqref>U112</xm:sqref>
        </x14:conditionalFormatting>
        <x14:conditionalFormatting xmlns:xm="http://schemas.microsoft.com/office/excel/2006/main">
          <x14:cfRule type="dataBar" id="{3B263BD7-8AAE-489D-B7C6-CD34E7E80CC8}">
            <x14:dataBar minLength="0" maxLength="100" border="1" negativeBarBorderColorSameAsPositive="0">
              <x14:cfvo type="autoMin"/>
              <x14:cfvo type="autoMax"/>
              <x14:borderColor rgb="FF008AEF"/>
              <x14:negativeFillColor rgb="FFFF0000"/>
              <x14:negativeBorderColor rgb="FFFF0000"/>
              <x14:axisColor rgb="FF000000"/>
            </x14:dataBar>
          </x14:cfRule>
          <xm:sqref>U113</xm:sqref>
        </x14:conditionalFormatting>
        <x14:conditionalFormatting xmlns:xm="http://schemas.microsoft.com/office/excel/2006/main">
          <x14:cfRule type="dataBar" id="{374AC314-C101-48B4-8AB5-EDB019A25176}">
            <x14:dataBar minLength="0" maxLength="100" border="1" negativeBarBorderColorSameAsPositive="0">
              <x14:cfvo type="autoMin"/>
              <x14:cfvo type="autoMax"/>
              <x14:borderColor rgb="FF008AEF"/>
              <x14:negativeFillColor rgb="FFFF0000"/>
              <x14:negativeBorderColor rgb="FFFF0000"/>
              <x14:axisColor rgb="FF000000"/>
            </x14:dataBar>
          </x14:cfRule>
          <xm:sqref>U115</xm:sqref>
        </x14:conditionalFormatting>
        <x14:conditionalFormatting xmlns:xm="http://schemas.microsoft.com/office/excel/2006/main">
          <x14:cfRule type="dataBar" id="{8931CE58-0567-492A-A817-0455B353B31F}">
            <x14:dataBar minLength="0" maxLength="100" border="1" negativeBarBorderColorSameAsPositive="0">
              <x14:cfvo type="autoMin"/>
              <x14:cfvo type="autoMax"/>
              <x14:borderColor rgb="FF008AEF"/>
              <x14:negativeFillColor rgb="FFFF0000"/>
              <x14:negativeBorderColor rgb="FFFF0000"/>
              <x14:axisColor rgb="FF000000"/>
            </x14:dataBar>
          </x14:cfRule>
          <xm:sqref>U116</xm:sqref>
        </x14:conditionalFormatting>
        <x14:conditionalFormatting xmlns:xm="http://schemas.microsoft.com/office/excel/2006/main">
          <x14:cfRule type="dataBar" id="{8AE02EB6-A80C-4002-8A69-894FB817AD00}">
            <x14:dataBar minLength="0" maxLength="100" border="1" negativeBarBorderColorSameAsPositive="0">
              <x14:cfvo type="autoMin"/>
              <x14:cfvo type="autoMax"/>
              <x14:borderColor rgb="FF008AEF"/>
              <x14:negativeFillColor rgb="FFFF0000"/>
              <x14:negativeBorderColor rgb="FFFF0000"/>
              <x14:axisColor rgb="FF000000"/>
            </x14:dataBar>
          </x14:cfRule>
          <xm:sqref>U122</xm:sqref>
        </x14:conditionalFormatting>
        <x14:conditionalFormatting xmlns:xm="http://schemas.microsoft.com/office/excel/2006/main">
          <x14:cfRule type="dataBar" id="{2472DA81-1A79-4B90-99D9-93ED75139F5D}">
            <x14:dataBar minLength="0" maxLength="100" border="1" negativeBarBorderColorSameAsPositive="0">
              <x14:cfvo type="autoMin"/>
              <x14:cfvo type="autoMax"/>
              <x14:borderColor rgb="FF008AEF"/>
              <x14:negativeFillColor rgb="FFFF0000"/>
              <x14:negativeBorderColor rgb="FFFF0000"/>
              <x14:axisColor rgb="FF000000"/>
            </x14:dataBar>
          </x14:cfRule>
          <xm:sqref>U123</xm:sqref>
        </x14:conditionalFormatting>
        <x14:conditionalFormatting xmlns:xm="http://schemas.microsoft.com/office/excel/2006/main">
          <x14:cfRule type="dataBar" id="{9663E0F3-8A93-4DE8-AAAF-438DE1206169}">
            <x14:dataBar minLength="0" maxLength="100" border="1" negativeBarBorderColorSameAsPositive="0">
              <x14:cfvo type="autoMin"/>
              <x14:cfvo type="autoMax"/>
              <x14:borderColor rgb="FF008AEF"/>
              <x14:negativeFillColor rgb="FFFF0000"/>
              <x14:negativeBorderColor rgb="FFFF0000"/>
              <x14:axisColor rgb="FF000000"/>
            </x14:dataBar>
          </x14:cfRule>
          <xm:sqref>U130</xm:sqref>
        </x14:conditionalFormatting>
        <x14:conditionalFormatting xmlns:xm="http://schemas.microsoft.com/office/excel/2006/main">
          <x14:cfRule type="dataBar" id="{FD520086-57CF-404C-A57A-3E958FCB4815}">
            <x14:dataBar minLength="0" maxLength="100" border="1" negativeBarBorderColorSameAsPositive="0">
              <x14:cfvo type="autoMin"/>
              <x14:cfvo type="autoMax"/>
              <x14:borderColor rgb="FF008AEF"/>
              <x14:negativeFillColor rgb="FFFF0000"/>
              <x14:negativeBorderColor rgb="FFFF0000"/>
              <x14:axisColor rgb="FF000000"/>
            </x14:dataBar>
          </x14:cfRule>
          <xm:sqref>U131</xm:sqref>
        </x14:conditionalFormatting>
        <x14:conditionalFormatting xmlns:xm="http://schemas.microsoft.com/office/excel/2006/main">
          <x14:cfRule type="dataBar" id="{6F8D0767-FB80-4027-BAC1-B5DE070AB538}">
            <x14:dataBar minLength="0" maxLength="100" border="1" negativeBarBorderColorSameAsPositive="0">
              <x14:cfvo type="autoMin"/>
              <x14:cfvo type="autoMax"/>
              <x14:borderColor rgb="FF008AEF"/>
              <x14:negativeFillColor rgb="FFFF0000"/>
              <x14:negativeBorderColor rgb="FFFF0000"/>
              <x14:axisColor rgb="FF000000"/>
            </x14:dataBar>
          </x14:cfRule>
          <xm:sqref>U138</xm:sqref>
        </x14:conditionalFormatting>
        <x14:conditionalFormatting xmlns:xm="http://schemas.microsoft.com/office/excel/2006/main">
          <x14:cfRule type="dataBar" id="{02B300E9-826C-4FD1-9DBF-3A91D6B095EA}">
            <x14:dataBar minLength="0" maxLength="100" border="1" negativeBarBorderColorSameAsPositive="0">
              <x14:cfvo type="autoMin"/>
              <x14:cfvo type="autoMax"/>
              <x14:borderColor rgb="FF008AEF"/>
              <x14:negativeFillColor rgb="FFFF0000"/>
              <x14:negativeBorderColor rgb="FFFF0000"/>
              <x14:axisColor rgb="FF000000"/>
            </x14:dataBar>
          </x14:cfRule>
          <xm:sqref>U139</xm:sqref>
        </x14:conditionalFormatting>
        <x14:conditionalFormatting xmlns:xm="http://schemas.microsoft.com/office/excel/2006/main">
          <x14:cfRule type="dataBar" id="{A1B4507D-AD8E-4EC1-968B-1F4689D09F6A}">
            <x14:dataBar minLength="0" maxLength="100" border="1" negativeBarBorderColorSameAsPositive="0">
              <x14:cfvo type="autoMin"/>
              <x14:cfvo type="autoMax"/>
              <x14:borderColor rgb="FF008AEF"/>
              <x14:negativeFillColor rgb="FFFF0000"/>
              <x14:negativeBorderColor rgb="FFFF0000"/>
              <x14:axisColor rgb="FF000000"/>
            </x14:dataBar>
          </x14:cfRule>
          <xm:sqref>U141</xm:sqref>
        </x14:conditionalFormatting>
        <x14:conditionalFormatting xmlns:xm="http://schemas.microsoft.com/office/excel/2006/main">
          <x14:cfRule type="dataBar" id="{864F7EEF-5DB7-481A-9685-B5B7547E0D47}">
            <x14:dataBar minLength="0" maxLength="100" border="1" negativeBarBorderColorSameAsPositive="0">
              <x14:cfvo type="autoMin"/>
              <x14:cfvo type="autoMax"/>
              <x14:borderColor rgb="FF008AEF"/>
              <x14:negativeFillColor rgb="FFFF0000"/>
              <x14:negativeBorderColor rgb="FFFF0000"/>
              <x14:axisColor rgb="FF000000"/>
            </x14:dataBar>
          </x14:cfRule>
          <xm:sqref>U142</xm:sqref>
        </x14:conditionalFormatting>
        <x14:conditionalFormatting xmlns:xm="http://schemas.microsoft.com/office/excel/2006/main">
          <x14:cfRule type="dataBar" id="{09A3E289-3491-451C-AE88-3C58137BD597}">
            <x14:dataBar minLength="0" maxLength="100" border="1" negativeBarBorderColorSameAsPositive="0">
              <x14:cfvo type="autoMin"/>
              <x14:cfvo type="autoMax"/>
              <x14:borderColor rgb="FF008AEF"/>
              <x14:negativeFillColor rgb="FFFF0000"/>
              <x14:negativeBorderColor rgb="FFFF0000"/>
              <x14:axisColor rgb="FF000000"/>
            </x14:dataBar>
          </x14:cfRule>
          <xm:sqref>V145</xm:sqref>
        </x14:conditionalFormatting>
        <x14:conditionalFormatting xmlns:xm="http://schemas.microsoft.com/office/excel/2006/main">
          <x14:cfRule type="dataBar" id="{8BF9B7F5-DBCD-4982-B78C-BCDA9F2695D8}">
            <x14:dataBar minLength="0" maxLength="100" border="1" negativeBarBorderColorSameAsPositive="0">
              <x14:cfvo type="autoMin"/>
              <x14:cfvo type="autoMax"/>
              <x14:borderColor rgb="FF638EC6"/>
              <x14:negativeFillColor rgb="FFFF0000"/>
              <x14:negativeBorderColor rgb="FFFF0000"/>
              <x14:axisColor rgb="FF000000"/>
            </x14:dataBar>
          </x14:cfRule>
          <xm:sqref>V39:AL144</xm:sqref>
        </x14:conditionalFormatting>
        <x14:conditionalFormatting xmlns:xm="http://schemas.microsoft.com/office/excel/2006/main">
          <x14:cfRule type="dataBar" id="{45B38E78-83FD-436C-B83B-87CB1779F340}">
            <x14:dataBar minLength="0" maxLength="100" border="1" negativeBarBorderColorSameAsPositive="0">
              <x14:cfvo type="autoMin"/>
              <x14:cfvo type="autoMax"/>
              <x14:borderColor rgb="FF008AEF"/>
              <x14:negativeFillColor rgb="FFFF0000"/>
              <x14:negativeBorderColor rgb="FFFF0000"/>
              <x14:axisColor rgb="FF000000"/>
            </x14:dataBar>
          </x14:cfRule>
          <xm:sqref>X145</xm:sqref>
        </x14:conditionalFormatting>
        <x14:conditionalFormatting xmlns:xm="http://schemas.microsoft.com/office/excel/2006/main">
          <x14:cfRule type="dataBar" id="{4007CAFC-855C-43A4-9A21-C9A5BDD059D8}">
            <x14:dataBar minLength="0" maxLength="100" border="1" negativeBarBorderColorSameAsPositive="0">
              <x14:cfvo type="autoMin"/>
              <x14:cfvo type="autoMax"/>
              <x14:borderColor rgb="FF008AEF"/>
              <x14:negativeFillColor rgb="FFFF0000"/>
              <x14:negativeBorderColor rgb="FFFF0000"/>
              <x14:axisColor rgb="FF000000"/>
            </x14:dataBar>
          </x14:cfRule>
          <xm:sqref>Z145</xm:sqref>
        </x14:conditionalFormatting>
        <x14:conditionalFormatting xmlns:xm="http://schemas.microsoft.com/office/excel/2006/main">
          <x14:cfRule type="dataBar" id="{F4352BE7-67B9-4AE0-84A1-8A7B3B37BA72}">
            <x14:dataBar minLength="0" maxLength="100" border="1" negativeBarBorderColorSameAsPositive="0">
              <x14:cfvo type="autoMin"/>
              <x14:cfvo type="autoMax"/>
              <x14:borderColor rgb="FF008AEF"/>
              <x14:negativeFillColor rgb="FFFF0000"/>
              <x14:negativeBorderColor rgb="FFFF0000"/>
              <x14:axisColor rgb="FF000000"/>
            </x14:dataBar>
          </x14:cfRule>
          <xm:sqref>AB145</xm:sqref>
        </x14:conditionalFormatting>
        <x14:conditionalFormatting xmlns:xm="http://schemas.microsoft.com/office/excel/2006/main">
          <x14:cfRule type="dataBar" id="{2A16D74A-30B0-4E53-AC5D-22534D7A58BB}">
            <x14:dataBar minLength="0" maxLength="100" border="1" negativeBarBorderColorSameAsPositive="0">
              <x14:cfvo type="autoMin"/>
              <x14:cfvo type="autoMax"/>
              <x14:borderColor rgb="FF008AEF"/>
              <x14:negativeFillColor rgb="FFFF0000"/>
              <x14:negativeBorderColor rgb="FFFF0000"/>
              <x14:axisColor rgb="FF000000"/>
            </x14:dataBar>
          </x14:cfRule>
          <xm:sqref>AE145</xm:sqref>
        </x14:conditionalFormatting>
        <x14:conditionalFormatting xmlns:xm="http://schemas.microsoft.com/office/excel/2006/main">
          <x14:cfRule type="dataBar" id="{D9C21E73-85B4-4EB9-9B01-BA8A541E34E5}">
            <x14:dataBar minLength="0" maxLength="100" border="1" negativeBarBorderColorSameAsPositive="0">
              <x14:cfvo type="autoMin"/>
              <x14:cfvo type="autoMax"/>
              <x14:borderColor rgb="FF008AEF"/>
              <x14:negativeFillColor rgb="FFFF0000"/>
              <x14:negativeBorderColor rgb="FFFF0000"/>
              <x14:axisColor rgb="FF000000"/>
            </x14:dataBar>
          </x14:cfRule>
          <xm:sqref>AG145</xm:sqref>
        </x14:conditionalFormatting>
        <x14:conditionalFormatting xmlns:xm="http://schemas.microsoft.com/office/excel/2006/main">
          <x14:cfRule type="dataBar" id="{6260CB01-4863-4D7D-B360-1E844CA6C140}">
            <x14:dataBar minLength="0" maxLength="100" border="1" negativeBarBorderColorSameAsPositive="0">
              <x14:cfvo type="autoMin"/>
              <x14:cfvo type="autoMax"/>
              <x14:borderColor rgb="FF008AEF"/>
              <x14:negativeFillColor rgb="FFFF0000"/>
              <x14:negativeBorderColor rgb="FFFF0000"/>
              <x14:axisColor rgb="FF000000"/>
            </x14:dataBar>
          </x14:cfRule>
          <xm:sqref>AI145</xm:sqref>
        </x14:conditionalFormatting>
        <x14:conditionalFormatting xmlns:xm="http://schemas.microsoft.com/office/excel/2006/main">
          <x14:cfRule type="dataBar" id="{D4AE572D-B452-4C29-ADE7-335B20997090}">
            <x14:dataBar minLength="0" maxLength="100" border="1" negativeBarBorderColorSameAsPositive="0">
              <x14:cfvo type="autoMin"/>
              <x14:cfvo type="autoMax"/>
              <x14:borderColor rgb="FF008AEF"/>
              <x14:negativeFillColor rgb="FFFF0000"/>
              <x14:negativeBorderColor rgb="FFFF0000"/>
              <x14:axisColor rgb="FF000000"/>
            </x14:dataBar>
          </x14:cfRule>
          <xm:sqref>AK145</xm:sqref>
        </x14:conditionalFormatting>
        <x14:conditionalFormatting xmlns:xm="http://schemas.microsoft.com/office/excel/2006/main">
          <x14:cfRule type="dataBar" id="{890E40C9-80FE-0947-B67C-8DE627A2F0AA}">
            <x14:dataBar minLength="0" maxLength="100" border="1" negativeBarBorderColorSameAsPositive="0">
              <x14:cfvo type="autoMin"/>
              <x14:cfvo type="autoMax"/>
              <x14:borderColor rgb="FF008AEF"/>
              <x14:negativeFillColor rgb="FFFF0000"/>
              <x14:negativeBorderColor rgb="FFFF0000"/>
              <x14:axisColor rgb="FF000000"/>
            </x14:dataBar>
          </x14:cfRule>
          <xm:sqref>AN124:AN129 U143:U145 U61:U65 U68:U69 U71:U72 U75 U57:U58 U41:U47 U79:U84 U87:U93 U95:U97 U99:U105 U107:U108 U110:U111 U114 U117:U121 U124:U129 U140 AA145 Y145 W145 AC145:AD145 AL145 AJ145 AH145 AF145 U39 U50:U55 U132:U137</xm:sqref>
        </x14:conditionalFormatting>
      </x14:conditionalFormatting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CC47-3C9E-E247-8B0E-E5C6169FA16A}">
  <sheetPr>
    <tabColor theme="9" tint="-0.249977111117893"/>
  </sheetPr>
  <dimension ref="A4:K403"/>
  <sheetViews>
    <sheetView workbookViewId="0">
      <selection activeCell="A6" sqref="A6:A23"/>
    </sheetView>
  </sheetViews>
  <sheetFormatPr defaultColWidth="11.42578125" defaultRowHeight="11.25"/>
  <cols>
    <col min="1" max="1" width="12.42578125" style="21" customWidth="1"/>
    <col min="2" max="2" width="26.140625" style="21" customWidth="1"/>
    <col min="3" max="3" width="54.28515625" style="21" customWidth="1"/>
    <col min="4" max="4" width="10.140625" style="21" customWidth="1"/>
    <col min="5" max="5" width="28.7109375" style="21" customWidth="1"/>
    <col min="6" max="16384" width="11.42578125" style="21"/>
  </cols>
  <sheetData>
    <row r="4" spans="1:11">
      <c r="B4" s="21" t="s">
        <v>935</v>
      </c>
    </row>
    <row r="5" spans="1:11">
      <c r="B5" s="20" t="s">
        <v>82</v>
      </c>
      <c r="C5" s="20" t="s">
        <v>81</v>
      </c>
      <c r="D5" s="20" t="s">
        <v>936</v>
      </c>
      <c r="E5" s="20" t="s">
        <v>937</v>
      </c>
      <c r="F5" s="20" t="s">
        <v>938</v>
      </c>
      <c r="G5" s="20" t="s">
        <v>939</v>
      </c>
      <c r="H5" s="20"/>
      <c r="I5" s="20"/>
      <c r="J5" s="20"/>
      <c r="K5" s="20"/>
    </row>
    <row r="6" spans="1:11">
      <c r="A6" s="21" t="s">
        <v>110</v>
      </c>
      <c r="B6" s="510"/>
      <c r="C6" s="510"/>
      <c r="D6" s="32"/>
      <c r="E6" s="32"/>
      <c r="F6" s="20"/>
    </row>
    <row r="7" spans="1:11">
      <c r="A7" s="21" t="s">
        <v>110</v>
      </c>
      <c r="B7" s="510" t="str">
        <f>"ZZ"&amp;ITEMS_Comm!C12</f>
        <v>ZZResidential - Refrigeration - Low income</v>
      </c>
      <c r="C7" s="510" t="str">
        <f>"Backstop - "&amp;ITEMS_Comm!D12</f>
        <v>Backstop - PJ</v>
      </c>
      <c r="D7" s="32" t="s">
        <v>950</v>
      </c>
      <c r="E7" s="32" t="str">
        <f>IF(A7="*","","Pja")</f>
        <v/>
      </c>
      <c r="F7" s="32" t="str">
        <f>IF(A7="*","","DAYNITE")</f>
        <v/>
      </c>
      <c r="G7" s="32" t="str">
        <f>IF(A7="*","","DMD")</f>
        <v/>
      </c>
    </row>
    <row r="8" spans="1:11">
      <c r="A8" s="21" t="s">
        <v>110</v>
      </c>
      <c r="B8" s="510" t="str">
        <f>"ZZ"&amp;ITEMS_Comm!C13</f>
        <v>ZZResidential - Other - Low income</v>
      </c>
      <c r="C8" s="510" t="str">
        <f>"Backstop - "&amp;ITEMS_Comm!D13</f>
        <v>Backstop - PJ</v>
      </c>
      <c r="D8" s="32" t="s">
        <v>950</v>
      </c>
      <c r="E8" s="32" t="str">
        <f t="shared" ref="E8:E27" si="0">IF(A8="*","","Pja")</f>
        <v/>
      </c>
      <c r="F8" s="32" t="str">
        <f t="shared" ref="F8:F27" si="1">IF(A8="*","","DAYNITE")</f>
        <v/>
      </c>
      <c r="G8" s="32" t="str">
        <f t="shared" ref="G8:G27" si="2">IF(A8="*","","DMD")</f>
        <v/>
      </c>
    </row>
    <row r="9" spans="1:11">
      <c r="A9" s="21" t="s">
        <v>110</v>
      </c>
      <c r="B9" s="510" t="str">
        <f>"ZZ"&amp;ITEMS_Comm!C14</f>
        <v>ZZResidential - Lighting - Middle income</v>
      </c>
      <c r="C9" s="510" t="str">
        <f>"Backstop - "&amp;ITEMS_Comm!D14</f>
        <v>Backstop - PJ</v>
      </c>
      <c r="D9" s="32" t="s">
        <v>950</v>
      </c>
      <c r="E9" s="32" t="str">
        <f t="shared" si="0"/>
        <v/>
      </c>
      <c r="F9" s="32" t="str">
        <f t="shared" si="1"/>
        <v/>
      </c>
      <c r="G9" s="32" t="str">
        <f t="shared" si="2"/>
        <v/>
      </c>
    </row>
    <row r="10" spans="1:11">
      <c r="A10" s="21" t="s">
        <v>110</v>
      </c>
      <c r="B10" s="510" t="str">
        <f>"ZZ"&amp;ITEMS_Comm!C15</f>
        <v>ZZResidential - Lighting - Middle income</v>
      </c>
      <c r="C10" s="510" t="str">
        <f>"Backstop - "&amp;ITEMS_Comm!D15</f>
        <v>Backstop - PJ</v>
      </c>
      <c r="D10" s="32" t="s">
        <v>950</v>
      </c>
      <c r="E10" s="32" t="str">
        <f t="shared" si="0"/>
        <v/>
      </c>
      <c r="F10" s="32" t="str">
        <f t="shared" si="1"/>
        <v/>
      </c>
      <c r="G10" s="32" t="str">
        <f t="shared" si="2"/>
        <v/>
      </c>
    </row>
    <row r="11" spans="1:11">
      <c r="A11" s="21" t="s">
        <v>110</v>
      </c>
      <c r="B11" s="510" t="str">
        <f>"ZZ"&amp;ITEMS_Comm!C16</f>
        <v>ZZResidential - Cooking - Middle income</v>
      </c>
      <c r="C11" s="510" t="str">
        <f>"Backstop - "&amp;ITEMS_Comm!D16</f>
        <v>Backstop - PJ</v>
      </c>
      <c r="D11" s="32" t="s">
        <v>950</v>
      </c>
      <c r="E11" s="32" t="str">
        <f t="shared" si="0"/>
        <v/>
      </c>
      <c r="F11" s="32" t="str">
        <f t="shared" si="1"/>
        <v/>
      </c>
      <c r="G11" s="32" t="str">
        <f t="shared" si="2"/>
        <v/>
      </c>
    </row>
    <row r="12" spans="1:11">
      <c r="A12" s="21" t="s">
        <v>110</v>
      </c>
      <c r="B12" s="510" t="str">
        <f>"ZZ"&amp;ITEMS_Comm!C17</f>
        <v>ZZResidential - Heating - Middle income</v>
      </c>
      <c r="C12" s="510" t="str">
        <f>"Backstop - "&amp;ITEMS_Comm!D17</f>
        <v>Backstop - PJ</v>
      </c>
      <c r="D12" s="32" t="s">
        <v>950</v>
      </c>
      <c r="E12" s="32" t="str">
        <f t="shared" si="0"/>
        <v/>
      </c>
      <c r="F12" s="32" t="str">
        <f t="shared" si="1"/>
        <v/>
      </c>
      <c r="G12" s="32" t="str">
        <f t="shared" si="2"/>
        <v/>
      </c>
    </row>
    <row r="13" spans="1:11">
      <c r="A13" s="21" t="s">
        <v>110</v>
      </c>
      <c r="B13" s="510" t="str">
        <f>"ZZ"&amp;ITEMS_Comm!C18</f>
        <v>ZZResidential - Water heating - Middle income</v>
      </c>
      <c r="C13" s="510" t="str">
        <f>"Backstop - "&amp;ITEMS_Comm!D18</f>
        <v>Backstop - PJ</v>
      </c>
      <c r="D13" s="32" t="s">
        <v>950</v>
      </c>
      <c r="E13" s="32" t="str">
        <f t="shared" si="0"/>
        <v/>
      </c>
      <c r="F13" s="32" t="str">
        <f t="shared" si="1"/>
        <v/>
      </c>
      <c r="G13" s="32" t="str">
        <f t="shared" si="2"/>
        <v/>
      </c>
    </row>
    <row r="14" spans="1:11">
      <c r="A14" s="21" t="s">
        <v>110</v>
      </c>
      <c r="B14" s="510" t="str">
        <f>"ZZ"&amp;ITEMS_Comm!C19</f>
        <v>ZZResidential - Water heating - Middle income</v>
      </c>
      <c r="C14" s="510" t="str">
        <f>"Backstop - "&amp;ITEMS_Comm!D19</f>
        <v>Backstop - PJ</v>
      </c>
      <c r="D14" s="32" t="s">
        <v>950</v>
      </c>
      <c r="E14" s="32" t="str">
        <f t="shared" si="0"/>
        <v/>
      </c>
      <c r="F14" s="32" t="str">
        <f t="shared" si="1"/>
        <v/>
      </c>
      <c r="G14" s="32" t="str">
        <f t="shared" si="2"/>
        <v/>
      </c>
    </row>
    <row r="15" spans="1:11">
      <c r="A15" s="21" t="s">
        <v>110</v>
      </c>
      <c r="B15" s="510" t="str">
        <f>"ZZ"&amp;ITEMS_Comm!C20</f>
        <v>ZZResidential - Refrigeration - Middle income</v>
      </c>
      <c r="C15" s="510" t="str">
        <f>"Backstop - "&amp;ITEMS_Comm!D20</f>
        <v>Backstop - PJ</v>
      </c>
      <c r="D15" s="32" t="s">
        <v>950</v>
      </c>
      <c r="E15" s="32" t="str">
        <f t="shared" si="0"/>
        <v/>
      </c>
      <c r="F15" s="32" t="str">
        <f t="shared" si="1"/>
        <v/>
      </c>
      <c r="G15" s="32" t="str">
        <f t="shared" si="2"/>
        <v/>
      </c>
    </row>
    <row r="16" spans="1:11">
      <c r="A16" s="21" t="s">
        <v>110</v>
      </c>
      <c r="B16" s="510" t="str">
        <f>"ZZ"&amp;ITEMS_Comm!C21</f>
        <v>ZZResidential - Other - Middle income</v>
      </c>
      <c r="C16" s="510" t="str">
        <f>"Backstop - "&amp;ITEMS_Comm!D21</f>
        <v>Backstop - PJ</v>
      </c>
      <c r="D16" s="32" t="s">
        <v>950</v>
      </c>
      <c r="E16" s="32" t="str">
        <f t="shared" si="0"/>
        <v/>
      </c>
      <c r="F16" s="32" t="str">
        <f t="shared" si="1"/>
        <v/>
      </c>
      <c r="G16" s="32" t="str">
        <f t="shared" si="2"/>
        <v/>
      </c>
    </row>
    <row r="17" spans="1:7">
      <c r="A17" s="21" t="s">
        <v>110</v>
      </c>
      <c r="B17" s="510" t="str">
        <f>"ZZ"&amp;ITEMS_Comm!C22</f>
        <v>ZZResidential - Lighting - High income</v>
      </c>
      <c r="C17" s="510" t="str">
        <f>"Backstop - "&amp;ITEMS_Comm!D22</f>
        <v>Backstop - PJ</v>
      </c>
      <c r="D17" s="32" t="s">
        <v>950</v>
      </c>
      <c r="E17" s="32" t="str">
        <f t="shared" si="0"/>
        <v/>
      </c>
      <c r="F17" s="32" t="str">
        <f t="shared" si="1"/>
        <v/>
      </c>
      <c r="G17" s="32" t="str">
        <f t="shared" si="2"/>
        <v/>
      </c>
    </row>
    <row r="18" spans="1:7">
      <c r="A18" s="21" t="s">
        <v>110</v>
      </c>
      <c r="B18" s="510" t="str">
        <f>"ZZ"&amp;ITEMS_Comm!C23</f>
        <v>ZZResidential - Cooking - High income</v>
      </c>
      <c r="C18" s="510" t="str">
        <f>"Backstop - "&amp;ITEMS_Comm!D23</f>
        <v>Backstop - PJ</v>
      </c>
      <c r="D18" s="32" t="s">
        <v>950</v>
      </c>
      <c r="E18" s="32" t="str">
        <f t="shared" si="0"/>
        <v/>
      </c>
      <c r="F18" s="32" t="str">
        <f t="shared" si="1"/>
        <v/>
      </c>
      <c r="G18" s="32" t="str">
        <f t="shared" si="2"/>
        <v/>
      </c>
    </row>
    <row r="19" spans="1:7">
      <c r="A19" s="21" t="s">
        <v>110</v>
      </c>
      <c r="B19" s="510" t="str">
        <f>"ZZ"&amp;ITEMS_Comm!C24</f>
        <v>ZZResidential - Heating - High income</v>
      </c>
      <c r="C19" s="510" t="str">
        <f>"Backstop - "&amp;ITEMS_Comm!D24</f>
        <v>Backstop - PJ</v>
      </c>
      <c r="D19" s="32" t="s">
        <v>950</v>
      </c>
      <c r="E19" s="32" t="str">
        <f t="shared" si="0"/>
        <v/>
      </c>
      <c r="F19" s="32" t="str">
        <f t="shared" si="1"/>
        <v/>
      </c>
      <c r="G19" s="32" t="str">
        <f t="shared" si="2"/>
        <v/>
      </c>
    </row>
    <row r="20" spans="1:7">
      <c r="A20" s="21" t="s">
        <v>110</v>
      </c>
      <c r="B20" s="510" t="str">
        <f>"ZZ"&amp;ITEMS_Comm!C25</f>
        <v>ZZResidential - Water heating - High income</v>
      </c>
      <c r="C20" s="510" t="str">
        <f>"Backstop - "&amp;ITEMS_Comm!D25</f>
        <v>Backstop - PJ</v>
      </c>
      <c r="D20" s="32" t="s">
        <v>950</v>
      </c>
      <c r="E20" s="32" t="str">
        <f t="shared" si="0"/>
        <v/>
      </c>
      <c r="F20" s="32" t="str">
        <f t="shared" si="1"/>
        <v/>
      </c>
      <c r="G20" s="32" t="str">
        <f t="shared" si="2"/>
        <v/>
      </c>
    </row>
    <row r="21" spans="1:7">
      <c r="A21" s="21" t="s">
        <v>110</v>
      </c>
      <c r="B21" s="510" t="str">
        <f>"ZZ"&amp;ITEMS_Comm!C26</f>
        <v>ZZResidential - Water heating - High income</v>
      </c>
      <c r="C21" s="510" t="str">
        <f>"Backstop - "&amp;ITEMS_Comm!D26</f>
        <v>Backstop - PJ</v>
      </c>
      <c r="D21" s="32" t="s">
        <v>950</v>
      </c>
      <c r="E21" s="32" t="str">
        <f t="shared" si="0"/>
        <v/>
      </c>
      <c r="F21" s="32" t="str">
        <f t="shared" si="1"/>
        <v/>
      </c>
      <c r="G21" s="32" t="str">
        <f t="shared" si="2"/>
        <v/>
      </c>
    </row>
    <row r="22" spans="1:7">
      <c r="A22" s="21" t="s">
        <v>110</v>
      </c>
      <c r="B22" s="510" t="str">
        <f>"ZZ"&amp;ITEMS_Comm!C27</f>
        <v>ZZResidential - Refrigeration - High income</v>
      </c>
      <c r="C22" s="510" t="str">
        <f>"Backstop - "&amp;ITEMS_Comm!D27</f>
        <v>Backstop - PJ</v>
      </c>
      <c r="D22" s="32" t="s">
        <v>950</v>
      </c>
      <c r="E22" s="32" t="str">
        <f t="shared" si="0"/>
        <v/>
      </c>
      <c r="F22" s="32" t="str">
        <f t="shared" si="1"/>
        <v/>
      </c>
      <c r="G22" s="32" t="str">
        <f t="shared" si="2"/>
        <v/>
      </c>
    </row>
    <row r="23" spans="1:7">
      <c r="A23" s="21" t="s">
        <v>110</v>
      </c>
      <c r="B23" s="510" t="str">
        <f>"ZZ"&amp;ITEMS_Comm!C28</f>
        <v>ZZResidential - Other - High income</v>
      </c>
      <c r="C23" s="510" t="str">
        <f>"Backstop - "&amp;ITEMS_Comm!D28</f>
        <v>Backstop - PJ</v>
      </c>
      <c r="D23" s="32" t="s">
        <v>950</v>
      </c>
      <c r="E23" s="32" t="str">
        <f t="shared" si="0"/>
        <v/>
      </c>
      <c r="F23" s="32" t="str">
        <f t="shared" si="1"/>
        <v/>
      </c>
      <c r="G23" s="32" t="str">
        <f t="shared" si="2"/>
        <v/>
      </c>
    </row>
    <row r="24" spans="1:7">
      <c r="A24" s="21" t="str">
        <f>ITEMS_Comm!A29</f>
        <v>*</v>
      </c>
      <c r="B24" s="510"/>
      <c r="C24" s="510"/>
      <c r="D24" s="510"/>
      <c r="E24" s="510"/>
      <c r="F24" s="510"/>
      <c r="G24" s="510"/>
    </row>
    <row r="25" spans="1:7">
      <c r="A25" s="21" t="str">
        <f>ITEMS_Comm!A30</f>
        <v>*</v>
      </c>
      <c r="B25" s="510"/>
      <c r="C25" s="510"/>
      <c r="D25" s="510"/>
      <c r="E25" s="510"/>
      <c r="F25" s="510"/>
      <c r="G25" s="510"/>
    </row>
    <row r="26" spans="1:7">
      <c r="A26" s="21" t="str">
        <f>ITEMS_Comm!A31</f>
        <v>*</v>
      </c>
      <c r="B26" s="510"/>
      <c r="C26" s="510"/>
      <c r="D26" s="510"/>
      <c r="E26" s="510"/>
      <c r="F26" s="510"/>
      <c r="G26" s="510"/>
    </row>
    <row r="27" spans="1:7">
      <c r="A27" s="21" t="str">
        <f>IF(LEFT(RES!A39,1)="*","*","")</f>
        <v/>
      </c>
      <c r="B27" s="510" t="str">
        <f>IF(A27="*","",RES!B39)</f>
        <v>RLELELCINC-E</v>
      </c>
      <c r="C27" s="21" t="str">
        <f>IF(A27="*","",RES!A39)</f>
        <v>Residential - Lighting - Low Income  - Electricity - INC - E</v>
      </c>
      <c r="D27" s="32" t="s">
        <v>950</v>
      </c>
      <c r="E27" s="32" t="str">
        <f t="shared" si="0"/>
        <v>Pja</v>
      </c>
      <c r="F27" s="32" t="str">
        <f t="shared" si="1"/>
        <v>DAYNITE</v>
      </c>
      <c r="G27" s="32" t="str">
        <f t="shared" si="2"/>
        <v>DMD</v>
      </c>
    </row>
    <row r="28" spans="1:7">
      <c r="A28" s="21" t="str">
        <f>IF(LEFT(RES!A40,1)="*","*","")</f>
        <v/>
      </c>
      <c r="B28" s="510" t="str">
        <f>IF(A28="*","",RES!B40)</f>
        <v>RLELOKEOKE</v>
      </c>
      <c r="C28" s="21" t="str">
        <f>IF(A28="*","",RES!A40)</f>
        <v>Residential - Lighting - Low Income  -Paraffin - PAR - E</v>
      </c>
      <c r="D28" s="32" t="s">
        <v>950</v>
      </c>
      <c r="E28" s="32" t="str">
        <f t="shared" ref="E28:E91" si="3">IF(A28="*","","Pja")</f>
        <v>Pja</v>
      </c>
      <c r="F28" s="32" t="str">
        <f t="shared" ref="F28:F91" si="4">IF(A28="*","","DAYNITE")</f>
        <v>DAYNITE</v>
      </c>
      <c r="G28" s="32" t="str">
        <f t="shared" ref="G28:G91" si="5">IF(A28="*","","DMD")</f>
        <v>DMD</v>
      </c>
    </row>
    <row r="29" spans="1:7">
      <c r="A29" s="21" t="str">
        <f>IF(LEFT(RES!A41,1)="*","*","")</f>
        <v>*</v>
      </c>
      <c r="B29" s="510" t="str">
        <f>IF(A29="*","",RES!B41)</f>
        <v/>
      </c>
      <c r="C29" s="21" t="str">
        <f>IF(A29="*","",RES!A41)</f>
        <v/>
      </c>
      <c r="D29" s="32" t="s">
        <v>950</v>
      </c>
      <c r="E29" s="32" t="str">
        <f t="shared" si="3"/>
        <v/>
      </c>
      <c r="F29" s="32" t="str">
        <f t="shared" si="4"/>
        <v/>
      </c>
      <c r="G29" s="32" t="str">
        <f t="shared" si="5"/>
        <v/>
      </c>
    </row>
    <row r="30" spans="1:7">
      <c r="A30" s="21" t="str">
        <f>IF(LEFT(RES!A42,1)="*","*","")</f>
        <v>*</v>
      </c>
      <c r="B30" s="510" t="str">
        <f>IF(A30="*","",RES!B42)</f>
        <v/>
      </c>
      <c r="C30" s="21" t="str">
        <f>IF(A30="*","",RES!A42)</f>
        <v/>
      </c>
      <c r="D30" s="32" t="s">
        <v>950</v>
      </c>
      <c r="E30" s="32" t="str">
        <f t="shared" si="3"/>
        <v/>
      </c>
      <c r="F30" s="32" t="str">
        <f t="shared" si="4"/>
        <v/>
      </c>
      <c r="G30" s="32" t="str">
        <f t="shared" si="5"/>
        <v/>
      </c>
    </row>
    <row r="31" spans="1:7">
      <c r="A31" s="21" t="str">
        <f>IF(LEFT(RES!A43,1)="*","*","")</f>
        <v/>
      </c>
      <c r="B31" s="510" t="str">
        <f>IF(A31="*","",RES!B43)</f>
        <v>RLEKELCHOT-E</v>
      </c>
      <c r="C31" s="21" t="str">
        <f>IF(A31="*","",RES!A43)</f>
        <v>Residential - Cooking - Low Income  - Electricity - HOT - E</v>
      </c>
      <c r="D31" s="32" t="s">
        <v>950</v>
      </c>
      <c r="E31" s="32" t="str">
        <f t="shared" si="3"/>
        <v>Pja</v>
      </c>
      <c r="F31" s="32" t="str">
        <f t="shared" si="4"/>
        <v>DAYNITE</v>
      </c>
      <c r="G31" s="32" t="str">
        <f t="shared" si="5"/>
        <v>DMD</v>
      </c>
    </row>
    <row r="32" spans="1:7">
      <c r="A32" s="21" t="str">
        <f>IF(LEFT(RES!A44,1)="*","*","")</f>
        <v/>
      </c>
      <c r="B32" s="510" t="str">
        <f>IF(A32="*","",RES!B44)</f>
        <v>RLEKOLPRING-E</v>
      </c>
      <c r="C32" s="21" t="str">
        <f>IF(A32="*","",RES!A44)</f>
        <v>Residential - Cooking - Low Income  - Oil LPG - RING - E</v>
      </c>
      <c r="D32" s="32" t="s">
        <v>950</v>
      </c>
      <c r="E32" s="32" t="str">
        <f t="shared" si="3"/>
        <v>Pja</v>
      </c>
      <c r="F32" s="32" t="str">
        <f t="shared" si="4"/>
        <v>DAYNITE</v>
      </c>
      <c r="G32" s="32" t="str">
        <f t="shared" si="5"/>
        <v>DMD</v>
      </c>
    </row>
    <row r="33" spans="1:7">
      <c r="A33" s="21" t="str">
        <f>IF(LEFT(RES!A45,1)="*","*","")</f>
        <v/>
      </c>
      <c r="B33" s="510" t="str">
        <f>IF(A33="*","",RES!B45)</f>
        <v>RLEKBIWBNM-E</v>
      </c>
      <c r="C33" s="21" t="str">
        <f>IF(A33="*","",RES!A45)</f>
        <v>Residential - Cooking - Low Income  - Biomass Wood - BNM - E</v>
      </c>
      <c r="D33" s="32" t="s">
        <v>950</v>
      </c>
      <c r="E33" s="32" t="str">
        <f t="shared" si="3"/>
        <v>Pja</v>
      </c>
      <c r="F33" s="32" t="str">
        <f t="shared" si="4"/>
        <v>DAYNITE</v>
      </c>
      <c r="G33" s="32" t="str">
        <f t="shared" si="5"/>
        <v>DMD</v>
      </c>
    </row>
    <row r="34" spans="1:7">
      <c r="A34" s="21" t="str">
        <f>IF(LEFT(RES!A46,1)="*","*","")</f>
        <v/>
      </c>
      <c r="B34" s="510" t="str">
        <f>IF(A34="*","",RES!B46)</f>
        <v>RLEKCOABNM-E</v>
      </c>
      <c r="C34" s="21" t="str">
        <f>IF(A34="*","",RES!A46)</f>
        <v>Residential - Cooking - Low Income  - Coal - BNM - E</v>
      </c>
      <c r="D34" s="32" t="s">
        <v>950</v>
      </c>
      <c r="E34" s="32" t="str">
        <f t="shared" si="3"/>
        <v>Pja</v>
      </c>
      <c r="F34" s="32" t="str">
        <f t="shared" si="4"/>
        <v>DAYNITE</v>
      </c>
      <c r="G34" s="32" t="str">
        <f t="shared" si="5"/>
        <v>DMD</v>
      </c>
    </row>
    <row r="35" spans="1:7">
      <c r="A35" s="21" t="str">
        <f>IF(LEFT(RES!A47,1)="*","*","")</f>
        <v/>
      </c>
      <c r="B35" s="510" t="str">
        <f>IF(A35="*","",RES!B47)</f>
        <v>RLEKOKEWICK-E</v>
      </c>
      <c r="C35" s="21" t="str">
        <f>IF(A35="*","",RES!A47)</f>
        <v>Residential - Cooking - Low Income  - Oil Paraffin - WICK - E</v>
      </c>
      <c r="D35" s="32" t="s">
        <v>950</v>
      </c>
      <c r="E35" s="32" t="str">
        <f t="shared" si="3"/>
        <v>Pja</v>
      </c>
      <c r="F35" s="32" t="str">
        <f t="shared" si="4"/>
        <v>DAYNITE</v>
      </c>
      <c r="G35" s="32" t="str">
        <f t="shared" si="5"/>
        <v>DMD</v>
      </c>
    </row>
    <row r="36" spans="1:7">
      <c r="A36" s="21" t="str">
        <f>IF(LEFT(RES!A48,1)="*","*","")</f>
        <v>*</v>
      </c>
      <c r="B36" s="510" t="str">
        <f>IF(A36="*","",RES!B48)</f>
        <v/>
      </c>
      <c r="C36" s="21" t="str">
        <f>IF(A36="*","",RES!A48)</f>
        <v/>
      </c>
      <c r="D36" s="32" t="s">
        <v>950</v>
      </c>
      <c r="E36" s="32" t="str">
        <f t="shared" si="3"/>
        <v/>
      </c>
      <c r="F36" s="32" t="str">
        <f t="shared" si="4"/>
        <v/>
      </c>
      <c r="G36" s="32" t="str">
        <f t="shared" si="5"/>
        <v/>
      </c>
    </row>
    <row r="37" spans="1:7">
      <c r="A37" s="21" t="str">
        <f>IF(LEFT(RES!A49,1)="*","*","")</f>
        <v>*</v>
      </c>
      <c r="B37" s="510" t="str">
        <f>IF(A37="*","",RES!B49)</f>
        <v/>
      </c>
      <c r="C37" s="21" t="str">
        <f>IF(A37="*","",RES!A49)</f>
        <v/>
      </c>
      <c r="D37" s="32" t="s">
        <v>950</v>
      </c>
      <c r="E37" s="32" t="str">
        <f t="shared" si="3"/>
        <v/>
      </c>
      <c r="F37" s="32" t="str">
        <f t="shared" si="4"/>
        <v/>
      </c>
      <c r="G37" s="32" t="str">
        <f t="shared" si="5"/>
        <v/>
      </c>
    </row>
    <row r="38" spans="1:7">
      <c r="A38" s="21" t="str">
        <f>IF(LEFT(RES!A50,1)="*","*","")</f>
        <v/>
      </c>
      <c r="B38" s="510" t="str">
        <f>IF(A38="*","",RES!B50)</f>
        <v>RLEHELCHEATBAR-E</v>
      </c>
      <c r="C38" s="21" t="str">
        <f>IF(A38="*","",RES!A50)</f>
        <v>Residential - Space Heating - Low Income  - Electricity - HEATBAR - E</v>
      </c>
      <c r="D38" s="32" t="s">
        <v>950</v>
      </c>
      <c r="E38" s="32" t="str">
        <f t="shared" si="3"/>
        <v>Pja</v>
      </c>
      <c r="F38" s="32" t="str">
        <f t="shared" si="4"/>
        <v>DAYNITE</v>
      </c>
      <c r="G38" s="32" t="str">
        <f t="shared" si="5"/>
        <v>DMD</v>
      </c>
    </row>
    <row r="39" spans="1:7">
      <c r="A39" s="21" t="str">
        <f>IF(LEFT(RES!A51,1)="*","*","")</f>
        <v/>
      </c>
      <c r="B39" s="510" t="str">
        <f>IF(A39="*","",RES!B51)</f>
        <v>RLEHOKEHEAT-E</v>
      </c>
      <c r="C39" s="21" t="str">
        <f>IF(A39="*","",RES!A51)</f>
        <v>Residential - Space Heating - Low Income  - Oil Paraffin - HEAT - E</v>
      </c>
      <c r="D39" s="32" t="s">
        <v>950</v>
      </c>
      <c r="E39" s="32" t="str">
        <f t="shared" si="3"/>
        <v>Pja</v>
      </c>
      <c r="F39" s="32" t="str">
        <f t="shared" si="4"/>
        <v>DAYNITE</v>
      </c>
      <c r="G39" s="32" t="str">
        <f t="shared" si="5"/>
        <v>DMD</v>
      </c>
    </row>
    <row r="40" spans="1:7">
      <c r="A40" s="21" t="str">
        <f>IF(LEFT(RES!A52,1)="*","*","")</f>
        <v/>
      </c>
      <c r="B40" s="510" t="str">
        <f>IF(A40="*","",RES!B52)</f>
        <v>RLEHBIWOPEN-E</v>
      </c>
      <c r="C40" s="21" t="str">
        <f>IF(A40="*","",RES!A52)</f>
        <v>Residential - Space Heating - Low Income  - Biomass Wood - OPEN - E</v>
      </c>
      <c r="D40" s="32" t="s">
        <v>950</v>
      </c>
      <c r="E40" s="32" t="str">
        <f t="shared" si="3"/>
        <v>Pja</v>
      </c>
      <c r="F40" s="32" t="str">
        <f t="shared" si="4"/>
        <v>DAYNITE</v>
      </c>
      <c r="G40" s="32" t="str">
        <f t="shared" si="5"/>
        <v>DMD</v>
      </c>
    </row>
    <row r="41" spans="1:7">
      <c r="A41" s="21" t="str">
        <f>IF(LEFT(RES!A53,1)="*","*","")</f>
        <v/>
      </c>
      <c r="B41" s="510" t="str">
        <f>IF(A41="*","",RES!B53)</f>
        <v>RLEHCOABNM-E</v>
      </c>
      <c r="C41" s="21" t="str">
        <f>IF(A41="*","",RES!A53)</f>
        <v>Residential - Space Heating - Low Income  - Coal - BNM - E</v>
      </c>
      <c r="D41" s="32" t="s">
        <v>950</v>
      </c>
      <c r="E41" s="32" t="str">
        <f t="shared" si="3"/>
        <v>Pja</v>
      </c>
      <c r="F41" s="32" t="str">
        <f t="shared" si="4"/>
        <v>DAYNITE</v>
      </c>
      <c r="G41" s="32" t="str">
        <f t="shared" si="5"/>
        <v>DMD</v>
      </c>
    </row>
    <row r="42" spans="1:7">
      <c r="A42" s="21" t="str">
        <f>IF(LEFT(RES!A54,1)="*","*","")</f>
        <v/>
      </c>
      <c r="B42" s="510" t="str">
        <f>IF(A42="*","",RES!B54)</f>
        <v>RLEHOLPHET-E</v>
      </c>
      <c r="C42" s="21" t="str">
        <f>IF(A42="*","",RES!A54)</f>
        <v>Residential - Space Heating - Low Income  - Oil LPG - HET - E</v>
      </c>
      <c r="D42" s="32" t="s">
        <v>950</v>
      </c>
      <c r="E42" s="32" t="str">
        <f t="shared" si="3"/>
        <v>Pja</v>
      </c>
      <c r="F42" s="32" t="str">
        <f t="shared" si="4"/>
        <v>DAYNITE</v>
      </c>
      <c r="G42" s="32" t="str">
        <f t="shared" si="5"/>
        <v>DMD</v>
      </c>
    </row>
    <row r="43" spans="1:7">
      <c r="A43" s="21" t="str">
        <f>IF(LEFT(RES!A55,1)="*","*","")</f>
        <v>*</v>
      </c>
      <c r="B43" s="510" t="str">
        <f>IF(A43="*","",RES!B55)</f>
        <v/>
      </c>
      <c r="C43" s="21" t="str">
        <f>IF(A43="*","",RES!A55)</f>
        <v/>
      </c>
      <c r="D43" s="32" t="s">
        <v>950</v>
      </c>
      <c r="E43" s="32" t="str">
        <f t="shared" si="3"/>
        <v/>
      </c>
      <c r="F43" s="32" t="str">
        <f t="shared" si="4"/>
        <v/>
      </c>
      <c r="G43" s="32" t="str">
        <f t="shared" si="5"/>
        <v/>
      </c>
    </row>
    <row r="44" spans="1:7">
      <c r="A44" s="21" t="str">
        <f>IF(LEFT(RES!A56,1)="*","*","")</f>
        <v>*</v>
      </c>
      <c r="B44" s="510" t="str">
        <f>IF(A44="*","",RES!B56)</f>
        <v/>
      </c>
      <c r="C44" s="21" t="str">
        <f>IF(A44="*","",RES!A56)</f>
        <v/>
      </c>
      <c r="D44" s="32" t="s">
        <v>950</v>
      </c>
      <c r="E44" s="32" t="str">
        <f t="shared" si="3"/>
        <v/>
      </c>
      <c r="F44" s="32" t="str">
        <f t="shared" si="4"/>
        <v/>
      </c>
      <c r="G44" s="32" t="str">
        <f t="shared" si="5"/>
        <v/>
      </c>
    </row>
    <row r="45" spans="1:7">
      <c r="A45" s="21" t="str">
        <f>IF(LEFT(RES!A57,1)="*","*","")</f>
        <v>*</v>
      </c>
      <c r="B45" s="510" t="str">
        <f>IF(A45="*","",RES!B57)</f>
        <v/>
      </c>
      <c r="C45" s="21" t="str">
        <f>IF(A45="*","",RES!A57)</f>
        <v/>
      </c>
      <c r="D45" s="32" t="s">
        <v>950</v>
      </c>
      <c r="E45" s="32" t="str">
        <f t="shared" si="3"/>
        <v/>
      </c>
      <c r="F45" s="32" t="str">
        <f t="shared" si="4"/>
        <v/>
      </c>
      <c r="G45" s="32" t="str">
        <f t="shared" si="5"/>
        <v/>
      </c>
    </row>
    <row r="46" spans="1:7">
      <c r="A46" s="21" t="str">
        <f>IF(LEFT(RES!A58,1)="*","*","")</f>
        <v>*</v>
      </c>
      <c r="B46" s="510" t="str">
        <f>IF(A46="*","",RES!B58)</f>
        <v/>
      </c>
      <c r="C46" s="21" t="str">
        <f>IF(A46="*","",RES!A58)</f>
        <v/>
      </c>
      <c r="D46" s="32" t="s">
        <v>950</v>
      </c>
      <c r="E46" s="32" t="str">
        <f t="shared" si="3"/>
        <v/>
      </c>
      <c r="F46" s="32" t="str">
        <f t="shared" si="4"/>
        <v/>
      </c>
      <c r="G46" s="32" t="str">
        <f t="shared" si="5"/>
        <v/>
      </c>
    </row>
    <row r="47" spans="1:7">
      <c r="A47" s="21" t="str">
        <f>IF(LEFT(RES!A59,1)="*","*","")</f>
        <v>*</v>
      </c>
      <c r="B47" s="510" t="str">
        <f>IF(A47="*","",RES!B59)</f>
        <v/>
      </c>
      <c r="C47" s="21" t="str">
        <f>IF(A47="*","",RES!A59)</f>
        <v/>
      </c>
      <c r="D47" s="32" t="s">
        <v>950</v>
      </c>
      <c r="E47" s="32" t="str">
        <f t="shared" si="3"/>
        <v/>
      </c>
      <c r="F47" s="32" t="str">
        <f t="shared" si="4"/>
        <v/>
      </c>
      <c r="G47" s="32" t="str">
        <f t="shared" si="5"/>
        <v/>
      </c>
    </row>
    <row r="48" spans="1:7">
      <c r="A48" s="21" t="str">
        <f>IF(LEFT(RES!A60,1)="*","*","")</f>
        <v>*</v>
      </c>
      <c r="B48" s="510" t="str">
        <f>IF(A48="*","",RES!B60)</f>
        <v/>
      </c>
      <c r="C48" s="21" t="str">
        <f>IF(A48="*","",RES!A60)</f>
        <v/>
      </c>
      <c r="D48" s="32" t="s">
        <v>950</v>
      </c>
      <c r="E48" s="32" t="str">
        <f t="shared" si="3"/>
        <v/>
      </c>
      <c r="F48" s="32" t="str">
        <f t="shared" si="4"/>
        <v/>
      </c>
      <c r="G48" s="32" t="str">
        <f t="shared" si="5"/>
        <v/>
      </c>
    </row>
    <row r="49" spans="1:7">
      <c r="A49" s="21" t="str">
        <f>IF(LEFT(RES!A61,1)="*","*","")</f>
        <v/>
      </c>
      <c r="B49" s="510" t="str">
        <f>IF(A49="*","",RES!B61)</f>
        <v>RLEWOKEKETWI-E</v>
      </c>
      <c r="C49" s="21" t="str">
        <f>IF(A49="*","",RES!A61)</f>
        <v>Residential - Water Heating - Low Income  - Oil Paraffin - KETWI - E</v>
      </c>
      <c r="D49" s="32" t="s">
        <v>950</v>
      </c>
      <c r="E49" s="32" t="str">
        <f t="shared" si="3"/>
        <v>Pja</v>
      </c>
      <c r="F49" s="32" t="str">
        <f t="shared" si="4"/>
        <v>DAYNITE</v>
      </c>
      <c r="G49" s="32" t="str">
        <f t="shared" si="5"/>
        <v>DMD</v>
      </c>
    </row>
    <row r="50" spans="1:7">
      <c r="A50" s="21" t="str">
        <f>IF(LEFT(RES!A62,1)="*","*","")</f>
        <v/>
      </c>
      <c r="B50" s="510" t="str">
        <f>IF(A50="*","",RES!B62)</f>
        <v>RLEWELCKET-E</v>
      </c>
      <c r="C50" s="21" t="str">
        <f>IF(A50="*","",RES!A62)</f>
        <v>Residential - Water Heating - Low Income  - Electricity - KET - E</v>
      </c>
      <c r="D50" s="32" t="s">
        <v>950</v>
      </c>
      <c r="E50" s="32" t="str">
        <f t="shared" si="3"/>
        <v>Pja</v>
      </c>
      <c r="F50" s="32" t="str">
        <f t="shared" si="4"/>
        <v>DAYNITE</v>
      </c>
      <c r="G50" s="32" t="str">
        <f t="shared" si="5"/>
        <v>DMD</v>
      </c>
    </row>
    <row r="51" spans="1:7">
      <c r="A51" s="21" t="str">
        <f>IF(LEFT(RES!A63,1)="*","*","")</f>
        <v/>
      </c>
      <c r="B51" s="510" t="str">
        <f>IF(A51="*","",RES!B63)</f>
        <v>RLEWBIWKETBI-E</v>
      </c>
      <c r="C51" s="21" t="str">
        <f>IF(A51="*","",RES!A63)</f>
        <v>Residential - Water Heating - Low Income  - Biomass Wood - KETBI - E</v>
      </c>
      <c r="D51" s="32" t="s">
        <v>950</v>
      </c>
      <c r="E51" s="32" t="str">
        <f t="shared" si="3"/>
        <v>Pja</v>
      </c>
      <c r="F51" s="32" t="str">
        <f t="shared" si="4"/>
        <v>DAYNITE</v>
      </c>
      <c r="G51" s="32" t="str">
        <f t="shared" si="5"/>
        <v>DMD</v>
      </c>
    </row>
    <row r="52" spans="1:7">
      <c r="A52" s="21" t="str">
        <f>IF(LEFT(RES!A64,1)="*","*","")</f>
        <v/>
      </c>
      <c r="B52" s="510" t="str">
        <f>IF(A52="*","",RES!B64)</f>
        <v>RLEWCOAKETCOA-E</v>
      </c>
      <c r="C52" s="21" t="str">
        <f>IF(A52="*","",RES!A64)</f>
        <v>Residential - Water Heating - Low Income  - Coal - KETCOA - E</v>
      </c>
      <c r="D52" s="32" t="s">
        <v>950</v>
      </c>
      <c r="E52" s="32" t="str">
        <f t="shared" si="3"/>
        <v>Pja</v>
      </c>
      <c r="F52" s="32" t="str">
        <f t="shared" si="4"/>
        <v>DAYNITE</v>
      </c>
      <c r="G52" s="32" t="str">
        <f t="shared" si="5"/>
        <v>DMD</v>
      </c>
    </row>
    <row r="53" spans="1:7">
      <c r="A53" s="21" t="str">
        <f>IF(LEFT(RES!A65,1)="*","*","")</f>
        <v/>
      </c>
      <c r="B53" s="510" t="str">
        <f>IF(A53="*","",RES!B65)</f>
        <v>RLEWOLPKETLPG-E</v>
      </c>
      <c r="C53" s="21" t="str">
        <f>IF(A53="*","",RES!A65)</f>
        <v>Residential - Water Heating - Low Income  - Oil LPG - KETLPG - E</v>
      </c>
      <c r="D53" s="32" t="s">
        <v>950</v>
      </c>
      <c r="E53" s="32" t="str">
        <f t="shared" si="3"/>
        <v>Pja</v>
      </c>
      <c r="F53" s="32" t="str">
        <f t="shared" si="4"/>
        <v>DAYNITE</v>
      </c>
      <c r="G53" s="32" t="str">
        <f t="shared" si="5"/>
        <v>DMD</v>
      </c>
    </row>
    <row r="54" spans="1:7">
      <c r="A54" s="21" t="str">
        <f>IF(LEFT(RES!A66,1)="*","*","")</f>
        <v>*</v>
      </c>
      <c r="B54" s="510" t="str">
        <f>IF(A54="*","",RES!B66)</f>
        <v/>
      </c>
      <c r="C54" s="21" t="str">
        <f>IF(A54="*","",RES!A66)</f>
        <v/>
      </c>
      <c r="D54" s="32" t="s">
        <v>950</v>
      </c>
      <c r="E54" s="32" t="str">
        <f t="shared" si="3"/>
        <v/>
      </c>
      <c r="F54" s="32" t="str">
        <f t="shared" si="4"/>
        <v/>
      </c>
      <c r="G54" s="32" t="str">
        <f t="shared" si="5"/>
        <v/>
      </c>
    </row>
    <row r="55" spans="1:7">
      <c r="A55" s="21" t="str">
        <f>IF(LEFT(RES!A67,1)="*","*","")</f>
        <v>*</v>
      </c>
      <c r="B55" s="510" t="str">
        <f>IF(A55="*","",RES!B67)</f>
        <v/>
      </c>
      <c r="C55" s="21" t="str">
        <f>IF(A55="*","",RES!A67)</f>
        <v/>
      </c>
      <c r="D55" s="32" t="s">
        <v>950</v>
      </c>
      <c r="E55" s="32" t="str">
        <f t="shared" si="3"/>
        <v/>
      </c>
      <c r="F55" s="32" t="str">
        <f t="shared" si="4"/>
        <v/>
      </c>
      <c r="G55" s="32" t="str">
        <f t="shared" si="5"/>
        <v/>
      </c>
    </row>
    <row r="56" spans="1:7">
      <c r="A56" s="21" t="str">
        <f>IF(LEFT(RES!A68,1)="*","*","")</f>
        <v/>
      </c>
      <c r="B56" s="510" t="str">
        <f>IF(A56="*","",RES!B68)</f>
        <v>RLERELCREF-E</v>
      </c>
      <c r="C56" s="21" t="str">
        <f>IF(A56="*","",RES!A68)</f>
        <v>Residential - Refrigeration - Low Income  - Electricity - REF - E</v>
      </c>
      <c r="D56" s="32" t="s">
        <v>950</v>
      </c>
      <c r="E56" s="32" t="str">
        <f t="shared" si="3"/>
        <v>Pja</v>
      </c>
      <c r="F56" s="32" t="str">
        <f t="shared" si="4"/>
        <v>DAYNITE</v>
      </c>
      <c r="G56" s="32" t="str">
        <f t="shared" si="5"/>
        <v>DMD</v>
      </c>
    </row>
    <row r="57" spans="1:7">
      <c r="A57" s="21" t="str">
        <f>IF(LEFT(RES!A69,1)="*","*","")</f>
        <v>*</v>
      </c>
      <c r="B57" s="510" t="str">
        <f>IF(A57="*","",RES!B69)</f>
        <v/>
      </c>
      <c r="C57" s="21" t="str">
        <f>IF(A57="*","",RES!A69)</f>
        <v/>
      </c>
      <c r="D57" s="32" t="s">
        <v>950</v>
      </c>
      <c r="E57" s="32" t="str">
        <f t="shared" si="3"/>
        <v/>
      </c>
      <c r="F57" s="32" t="str">
        <f t="shared" si="4"/>
        <v/>
      </c>
      <c r="G57" s="32" t="str">
        <f t="shared" si="5"/>
        <v/>
      </c>
    </row>
    <row r="58" spans="1:7">
      <c r="A58" s="21" t="str">
        <f>IF(LEFT(RES!A70,1)="*","*","")</f>
        <v>*</v>
      </c>
      <c r="B58" s="510" t="str">
        <f>IF(A58="*","",RES!B70)</f>
        <v/>
      </c>
      <c r="C58" s="21" t="str">
        <f>IF(A58="*","",RES!A70)</f>
        <v/>
      </c>
      <c r="D58" s="32" t="s">
        <v>950</v>
      </c>
      <c r="E58" s="32" t="str">
        <f t="shared" si="3"/>
        <v/>
      </c>
      <c r="F58" s="32" t="str">
        <f t="shared" si="4"/>
        <v/>
      </c>
      <c r="G58" s="32" t="str">
        <f t="shared" si="5"/>
        <v/>
      </c>
    </row>
    <row r="59" spans="1:7">
      <c r="A59" s="21" t="str">
        <f>IF(LEFT(RES!A71,1)="*","*","")</f>
        <v/>
      </c>
      <c r="B59" s="510" t="str">
        <f>IF(A59="*","",RES!B71)</f>
        <v>RLEOELCOTH-E</v>
      </c>
      <c r="C59" s="21" t="str">
        <f>IF(A59="*","",RES!A71)</f>
        <v>Residential - Other - Low Income  - Electricity - OTH - E</v>
      </c>
      <c r="D59" s="32" t="s">
        <v>950</v>
      </c>
      <c r="E59" s="32" t="str">
        <f t="shared" si="3"/>
        <v>Pja</v>
      </c>
      <c r="F59" s="32" t="str">
        <f t="shared" si="4"/>
        <v>DAYNITE</v>
      </c>
      <c r="G59" s="32" t="str">
        <f t="shared" si="5"/>
        <v>DMD</v>
      </c>
    </row>
    <row r="60" spans="1:7">
      <c r="A60" s="21" t="str">
        <f>IF(LEFT(RES!A72,1)="*","*","")</f>
        <v>*</v>
      </c>
      <c r="B60" s="510" t="str">
        <f>IF(A60="*","",RES!B72)</f>
        <v/>
      </c>
      <c r="C60" s="21" t="str">
        <f>IF(A60="*","",RES!A72)</f>
        <v/>
      </c>
      <c r="D60" s="32" t="s">
        <v>950</v>
      </c>
      <c r="E60" s="32" t="str">
        <f t="shared" si="3"/>
        <v/>
      </c>
      <c r="F60" s="32" t="str">
        <f t="shared" si="4"/>
        <v/>
      </c>
      <c r="G60" s="32" t="str">
        <f t="shared" si="5"/>
        <v/>
      </c>
    </row>
    <row r="61" spans="1:7">
      <c r="A61" s="21" t="str">
        <f>IF(LEFT(RES!A73,1)="*","*","")</f>
        <v>*</v>
      </c>
      <c r="B61" s="510" t="str">
        <f>IF(A61="*","",RES!B73)</f>
        <v/>
      </c>
      <c r="C61" s="21" t="str">
        <f>IF(A61="*","",RES!A73)</f>
        <v/>
      </c>
      <c r="D61" s="32" t="s">
        <v>950</v>
      </c>
      <c r="E61" s="32" t="str">
        <f t="shared" si="3"/>
        <v/>
      </c>
      <c r="F61" s="32" t="str">
        <f t="shared" si="4"/>
        <v/>
      </c>
      <c r="G61" s="32" t="str">
        <f t="shared" si="5"/>
        <v/>
      </c>
    </row>
    <row r="62" spans="1:7">
      <c r="A62" s="21" t="str">
        <f>IF(LEFT(RES!A74,1)="*","*","")</f>
        <v>*</v>
      </c>
      <c r="B62" s="510" t="str">
        <f>IF(A62="*","",RES!B74)</f>
        <v/>
      </c>
      <c r="C62" s="21" t="str">
        <f>IF(A62="*","",RES!A74)</f>
        <v/>
      </c>
      <c r="D62" s="32" t="s">
        <v>950</v>
      </c>
      <c r="E62" s="32" t="str">
        <f t="shared" si="3"/>
        <v/>
      </c>
      <c r="F62" s="32" t="str">
        <f t="shared" si="4"/>
        <v/>
      </c>
      <c r="G62" s="32" t="str">
        <f t="shared" si="5"/>
        <v/>
      </c>
    </row>
    <row r="63" spans="1:7">
      <c r="A63" s="21" t="str">
        <f>IF(LEFT(RES!A75,1)="*","*","")</f>
        <v/>
      </c>
      <c r="B63" s="510" t="str">
        <f>IF(A63="*","",RES!B75)</f>
        <v>RMELELCINC-E</v>
      </c>
      <c r="C63" s="21" t="str">
        <f>IF(A63="*","",RES!A75)</f>
        <v>Residential - Lighting - Middle Income  - Electricity - INC - E</v>
      </c>
      <c r="D63" s="32" t="s">
        <v>950</v>
      </c>
      <c r="E63" s="32" t="str">
        <f t="shared" si="3"/>
        <v>Pja</v>
      </c>
      <c r="F63" s="32" t="str">
        <f t="shared" si="4"/>
        <v>DAYNITE</v>
      </c>
      <c r="G63" s="32" t="str">
        <f t="shared" si="5"/>
        <v>DMD</v>
      </c>
    </row>
    <row r="64" spans="1:7">
      <c r="A64" s="21" t="str">
        <f>IF(LEFT(RES!A76,1)="*","*","")</f>
        <v>*</v>
      </c>
      <c r="B64" s="510" t="str">
        <f>IF(A64="*","",RES!B76)</f>
        <v/>
      </c>
      <c r="C64" s="21" t="str">
        <f>IF(A64="*","",RES!A76)</f>
        <v/>
      </c>
      <c r="D64" s="32" t="s">
        <v>950</v>
      </c>
      <c r="E64" s="32" t="str">
        <f t="shared" si="3"/>
        <v/>
      </c>
      <c r="F64" s="32" t="str">
        <f t="shared" si="4"/>
        <v/>
      </c>
      <c r="G64" s="32" t="str">
        <f t="shared" si="5"/>
        <v/>
      </c>
    </row>
    <row r="65" spans="1:7">
      <c r="A65" s="21" t="str">
        <f>IF(LEFT(RES!A77,1)="*","*","")</f>
        <v>*</v>
      </c>
      <c r="B65" s="510" t="str">
        <f>IF(A65="*","",RES!B77)</f>
        <v/>
      </c>
      <c r="C65" s="21" t="str">
        <f>IF(A65="*","",RES!A77)</f>
        <v/>
      </c>
      <c r="D65" s="32" t="s">
        <v>950</v>
      </c>
      <c r="E65" s="32" t="str">
        <f t="shared" si="3"/>
        <v/>
      </c>
      <c r="F65" s="32" t="str">
        <f t="shared" si="4"/>
        <v/>
      </c>
      <c r="G65" s="32" t="str">
        <f t="shared" si="5"/>
        <v/>
      </c>
    </row>
    <row r="66" spans="1:7">
      <c r="A66" s="21" t="str">
        <f>IF(LEFT(RES!A78,1)="*","*","")</f>
        <v>*</v>
      </c>
      <c r="B66" s="510" t="str">
        <f>IF(A66="*","",RES!B78)</f>
        <v/>
      </c>
      <c r="C66" s="21" t="str">
        <f>IF(A66="*","",RES!A78)</f>
        <v/>
      </c>
      <c r="D66" s="32" t="s">
        <v>950</v>
      </c>
      <c r="E66" s="32" t="str">
        <f t="shared" si="3"/>
        <v/>
      </c>
      <c r="F66" s="32" t="str">
        <f t="shared" si="4"/>
        <v/>
      </c>
      <c r="G66" s="32" t="str">
        <f t="shared" si="5"/>
        <v/>
      </c>
    </row>
    <row r="67" spans="1:7">
      <c r="A67" s="21" t="str">
        <f>IF(LEFT(RES!A79,1)="*","*","")</f>
        <v/>
      </c>
      <c r="B67" s="510" t="str">
        <f>IF(A67="*","",RES!B79)</f>
        <v>RMEKELCSTOV-E</v>
      </c>
      <c r="C67" s="21" t="str">
        <f>IF(A67="*","",RES!A79)</f>
        <v>Residential - Cooking - Middle Income  - Electricity - STOV - E</v>
      </c>
      <c r="D67" s="32" t="s">
        <v>950</v>
      </c>
      <c r="E67" s="32" t="str">
        <f t="shared" si="3"/>
        <v>Pja</v>
      </c>
      <c r="F67" s="32" t="str">
        <f t="shared" si="4"/>
        <v>DAYNITE</v>
      </c>
      <c r="G67" s="32" t="str">
        <f t="shared" si="5"/>
        <v>DMD</v>
      </c>
    </row>
    <row r="68" spans="1:7">
      <c r="A68" s="21" t="str">
        <f>IF(LEFT(RES!A80,1)="*","*","")</f>
        <v/>
      </c>
      <c r="B68" s="510" t="str">
        <f>IF(A68="*","",RES!B80)</f>
        <v>RMEKOLPSTOV-E</v>
      </c>
      <c r="C68" s="21" t="str">
        <f>IF(A68="*","",RES!A80)</f>
        <v>Residential - Cooking - Middle Income  - Oil LPG - STOV - E</v>
      </c>
      <c r="D68" s="32" t="s">
        <v>950</v>
      </c>
      <c r="E68" s="32" t="str">
        <f t="shared" si="3"/>
        <v>Pja</v>
      </c>
      <c r="F68" s="32" t="str">
        <f t="shared" si="4"/>
        <v>DAYNITE</v>
      </c>
      <c r="G68" s="32" t="str">
        <f t="shared" si="5"/>
        <v>DMD</v>
      </c>
    </row>
    <row r="69" spans="1:7">
      <c r="A69" s="21" t="str">
        <f>IF(LEFT(RES!A81,1)="*","*","")</f>
        <v/>
      </c>
      <c r="B69" s="510" t="str">
        <f>IF(A69="*","",RES!B81)</f>
        <v>RMEKBIWSTOV-E</v>
      </c>
      <c r="C69" s="21" t="str">
        <f>IF(A69="*","",RES!A81)</f>
        <v>Residential - Cooking - Middle Income  - Biomass Wood - STOV - E</v>
      </c>
      <c r="D69" s="32" t="s">
        <v>950</v>
      </c>
      <c r="E69" s="32" t="str">
        <f t="shared" si="3"/>
        <v>Pja</v>
      </c>
      <c r="F69" s="32" t="str">
        <f t="shared" si="4"/>
        <v>DAYNITE</v>
      </c>
      <c r="G69" s="32" t="str">
        <f t="shared" si="5"/>
        <v>DMD</v>
      </c>
    </row>
    <row r="70" spans="1:7">
      <c r="A70" s="21" t="str">
        <f>IF(LEFT(RES!A82,1)="*","*","")</f>
        <v/>
      </c>
      <c r="B70" s="510" t="str">
        <f>IF(A70="*","",RES!B82)</f>
        <v>RMEKCOABNM-E</v>
      </c>
      <c r="C70" s="21" t="str">
        <f>IF(A70="*","",RES!A82)</f>
        <v>Residential - Cooking - Middle Income  - Coal - BNM - E</v>
      </c>
      <c r="D70" s="32" t="s">
        <v>950</v>
      </c>
      <c r="E70" s="32" t="str">
        <f t="shared" si="3"/>
        <v>Pja</v>
      </c>
      <c r="F70" s="32" t="str">
        <f t="shared" si="4"/>
        <v>DAYNITE</v>
      </c>
      <c r="G70" s="32" t="str">
        <f t="shared" si="5"/>
        <v>DMD</v>
      </c>
    </row>
    <row r="71" spans="1:7">
      <c r="A71" s="21" t="str">
        <f>IF(LEFT(RES!A83,1)="*","*","")</f>
        <v/>
      </c>
      <c r="B71" s="510" t="str">
        <f>IF(A71="*","",RES!B83)</f>
        <v>RMEKOKEWICK-E</v>
      </c>
      <c r="C71" s="21" t="str">
        <f>IF(A71="*","",RES!A83)</f>
        <v>Residential - Cooking - Middle Income  - Oil Paraffin - WICK - E</v>
      </c>
      <c r="D71" s="32" t="s">
        <v>950</v>
      </c>
      <c r="E71" s="32" t="str">
        <f t="shared" si="3"/>
        <v>Pja</v>
      </c>
      <c r="F71" s="32" t="str">
        <f t="shared" si="4"/>
        <v>DAYNITE</v>
      </c>
      <c r="G71" s="32" t="str">
        <f t="shared" si="5"/>
        <v>DMD</v>
      </c>
    </row>
    <row r="72" spans="1:7">
      <c r="A72" s="21" t="str">
        <f>IF(LEFT(RES!A84,1)="*","*","")</f>
        <v/>
      </c>
      <c r="B72" s="510" t="str">
        <f>IF(A72="*","",RES!B84)</f>
        <v>RMEKGASSTOV-E</v>
      </c>
      <c r="C72" s="21" t="str">
        <f>IF(A72="*","",RES!A84)</f>
        <v>Residential - Cooking - Middle Income  - Natural Gas - STOV - E</v>
      </c>
      <c r="D72" s="32" t="s">
        <v>950</v>
      </c>
      <c r="E72" s="32" t="str">
        <f t="shared" si="3"/>
        <v>Pja</v>
      </c>
      <c r="F72" s="32" t="str">
        <f t="shared" si="4"/>
        <v>DAYNITE</v>
      </c>
      <c r="G72" s="32" t="str">
        <f t="shared" si="5"/>
        <v>DMD</v>
      </c>
    </row>
    <row r="73" spans="1:7">
      <c r="A73" s="21" t="str">
        <f>IF(LEFT(RES!A85,1)="*","*","")</f>
        <v>*</v>
      </c>
      <c r="B73" s="510" t="str">
        <f>IF(A73="*","",RES!B85)</f>
        <v/>
      </c>
      <c r="C73" s="21" t="str">
        <f>IF(A73="*","",RES!A85)</f>
        <v/>
      </c>
      <c r="D73" s="32" t="s">
        <v>950</v>
      </c>
      <c r="E73" s="32" t="str">
        <f t="shared" si="3"/>
        <v/>
      </c>
      <c r="F73" s="32" t="str">
        <f t="shared" si="4"/>
        <v/>
      </c>
      <c r="G73" s="32" t="str">
        <f t="shared" si="5"/>
        <v/>
      </c>
    </row>
    <row r="74" spans="1:7">
      <c r="A74" s="21" t="str">
        <f>IF(LEFT(RES!A86,1)="*","*","")</f>
        <v>*</v>
      </c>
      <c r="B74" s="510" t="str">
        <f>IF(A74="*","",RES!B86)</f>
        <v/>
      </c>
      <c r="C74" s="21" t="str">
        <f>IF(A74="*","",RES!A86)</f>
        <v/>
      </c>
      <c r="D74" s="32" t="s">
        <v>950</v>
      </c>
      <c r="E74" s="32" t="str">
        <f t="shared" si="3"/>
        <v/>
      </c>
      <c r="F74" s="32" t="str">
        <f t="shared" si="4"/>
        <v/>
      </c>
      <c r="G74" s="32" t="str">
        <f t="shared" si="5"/>
        <v/>
      </c>
    </row>
    <row r="75" spans="1:7">
      <c r="A75" s="21" t="str">
        <f>IF(LEFT(RES!A87,1)="*","*","")</f>
        <v/>
      </c>
      <c r="B75" s="510" t="str">
        <f>IF(A75="*","",RES!B87)</f>
        <v>RMEHELCHEATFIN-E</v>
      </c>
      <c r="C75" s="21" t="str">
        <f>IF(A75="*","",RES!A87)</f>
        <v>Residential - Space Heating - Middle Income  - Electricity - HEATFIN - E</v>
      </c>
      <c r="D75" s="32" t="s">
        <v>950</v>
      </c>
      <c r="E75" s="32" t="str">
        <f t="shared" si="3"/>
        <v>Pja</v>
      </c>
      <c r="F75" s="32" t="str">
        <f t="shared" si="4"/>
        <v>DAYNITE</v>
      </c>
      <c r="G75" s="32" t="str">
        <f t="shared" si="5"/>
        <v>DMD</v>
      </c>
    </row>
    <row r="76" spans="1:7">
      <c r="A76" s="21" t="str">
        <f>IF(LEFT(RES!A88,1)="*","*","")</f>
        <v/>
      </c>
      <c r="B76" s="510" t="str">
        <f>IF(A76="*","",RES!B88)</f>
        <v>RMEHOKEHEAT-E</v>
      </c>
      <c r="C76" s="21" t="str">
        <f>IF(A76="*","",RES!A88)</f>
        <v>Residential - Space Heating - Middle Income  - Oil Paraffin - HEAT - E</v>
      </c>
      <c r="D76" s="32" t="s">
        <v>950</v>
      </c>
      <c r="E76" s="32" t="str">
        <f t="shared" si="3"/>
        <v>Pja</v>
      </c>
      <c r="F76" s="32" t="str">
        <f t="shared" si="4"/>
        <v>DAYNITE</v>
      </c>
      <c r="G76" s="32" t="str">
        <f t="shared" si="5"/>
        <v>DMD</v>
      </c>
    </row>
    <row r="77" spans="1:7">
      <c r="A77" s="21" t="str">
        <f>IF(LEFT(RES!A89,1)="*","*","")</f>
        <v/>
      </c>
      <c r="B77" s="510" t="str">
        <f>IF(A77="*","",RES!B89)</f>
        <v>RMEHBIWSTOV-E</v>
      </c>
      <c r="C77" s="21" t="str">
        <f>IF(A77="*","",RES!A89)</f>
        <v>Residential - Space Heating - Middle Income  - Biomass Wood - STOV - E</v>
      </c>
      <c r="D77" s="32" t="s">
        <v>950</v>
      </c>
      <c r="E77" s="32" t="str">
        <f t="shared" si="3"/>
        <v>Pja</v>
      </c>
      <c r="F77" s="32" t="str">
        <f t="shared" si="4"/>
        <v>DAYNITE</v>
      </c>
      <c r="G77" s="32" t="str">
        <f t="shared" si="5"/>
        <v>DMD</v>
      </c>
    </row>
    <row r="78" spans="1:7">
      <c r="A78" s="21" t="str">
        <f>IF(LEFT(RES!A90,1)="*","*","")</f>
        <v/>
      </c>
      <c r="B78" s="510" t="str">
        <f>IF(A78="*","",RES!B90)</f>
        <v>RMEHCOASTOV-E</v>
      </c>
      <c r="C78" s="21" t="str">
        <f>IF(A78="*","",RES!A90)</f>
        <v>Residential - Space Heating - Middle Income  - Coal - STOV - E</v>
      </c>
      <c r="D78" s="32" t="s">
        <v>950</v>
      </c>
      <c r="E78" s="32" t="str">
        <f t="shared" si="3"/>
        <v>Pja</v>
      </c>
      <c r="F78" s="32" t="str">
        <f t="shared" si="4"/>
        <v>DAYNITE</v>
      </c>
      <c r="G78" s="32" t="str">
        <f t="shared" si="5"/>
        <v>DMD</v>
      </c>
    </row>
    <row r="79" spans="1:7">
      <c r="A79" s="21" t="str">
        <f>IF(LEFT(RES!A91,1)="*","*","")</f>
        <v/>
      </c>
      <c r="B79" s="510" t="str">
        <f>IF(A79="*","",RES!B91)</f>
        <v>RMEHOLPHEAT-E</v>
      </c>
      <c r="C79" s="21" t="str">
        <f>IF(A79="*","",RES!A91)</f>
        <v>Residential - Space Heating - Middle Income  - Oil LPG - HEAT - E</v>
      </c>
      <c r="D79" s="32" t="s">
        <v>950</v>
      </c>
      <c r="E79" s="32" t="str">
        <f t="shared" si="3"/>
        <v>Pja</v>
      </c>
      <c r="F79" s="32" t="str">
        <f t="shared" si="4"/>
        <v>DAYNITE</v>
      </c>
      <c r="G79" s="32" t="str">
        <f t="shared" si="5"/>
        <v>DMD</v>
      </c>
    </row>
    <row r="80" spans="1:7">
      <c r="A80" s="21" t="str">
        <f>IF(LEFT(RES!A92,1)="*","*","")</f>
        <v/>
      </c>
      <c r="B80" s="510" t="str">
        <f>IF(A80="*","",RES!B92)</f>
        <v>RMEHGASHEAT-N</v>
      </c>
      <c r="C80" s="21" t="str">
        <f>IF(A80="*","",RES!A92)</f>
        <v>Residential - Space Heating - Middle Income  - Natural Gas - HEAT - N</v>
      </c>
      <c r="D80" s="32" t="s">
        <v>950</v>
      </c>
      <c r="E80" s="32" t="str">
        <f t="shared" si="3"/>
        <v>Pja</v>
      </c>
      <c r="F80" s="32" t="str">
        <f t="shared" si="4"/>
        <v>DAYNITE</v>
      </c>
      <c r="G80" s="32" t="str">
        <f t="shared" si="5"/>
        <v>DMD</v>
      </c>
    </row>
    <row r="81" spans="1:7">
      <c r="A81" s="21" t="str">
        <f>IF(LEFT(RES!A93,1)="*","*","")</f>
        <v>*</v>
      </c>
      <c r="B81" s="510" t="str">
        <f>IF(A81="*","",RES!B93)</f>
        <v/>
      </c>
      <c r="C81" s="21" t="str">
        <f>IF(A81="*","",RES!A93)</f>
        <v/>
      </c>
      <c r="D81" s="32" t="s">
        <v>950</v>
      </c>
      <c r="E81" s="32" t="str">
        <f t="shared" si="3"/>
        <v/>
      </c>
      <c r="F81" s="32" t="str">
        <f t="shared" si="4"/>
        <v/>
      </c>
      <c r="G81" s="32" t="str">
        <f t="shared" si="5"/>
        <v/>
      </c>
    </row>
    <row r="82" spans="1:7">
      <c r="A82" s="21" t="str">
        <f>IF(LEFT(RES!A94,1)="*","*","")</f>
        <v>*</v>
      </c>
      <c r="B82" s="510" t="str">
        <f>IF(A82="*","",RES!B94)</f>
        <v/>
      </c>
      <c r="C82" s="21" t="str">
        <f>IF(A82="*","",RES!A94)</f>
        <v/>
      </c>
      <c r="D82" s="32" t="s">
        <v>950</v>
      </c>
      <c r="E82" s="32" t="str">
        <f t="shared" si="3"/>
        <v/>
      </c>
      <c r="F82" s="32" t="str">
        <f t="shared" si="4"/>
        <v/>
      </c>
      <c r="G82" s="32" t="str">
        <f t="shared" si="5"/>
        <v/>
      </c>
    </row>
    <row r="83" spans="1:7">
      <c r="A83" s="21" t="str">
        <f>IF(LEFT(RES!A95,1)="*","*","")</f>
        <v/>
      </c>
      <c r="B83" s="510" t="str">
        <f>IF(A83="*","",RES!B95)</f>
        <v>RMEWELCGEY-E</v>
      </c>
      <c r="C83" s="21" t="str">
        <f>IF(A83="*","",RES!A95)</f>
        <v>Residential - Water Heating - Middle Income  - Electricity - GEY - E</v>
      </c>
      <c r="D83" s="32" t="s">
        <v>950</v>
      </c>
      <c r="E83" s="32" t="str">
        <f t="shared" si="3"/>
        <v>Pja</v>
      </c>
      <c r="F83" s="32" t="str">
        <f t="shared" si="4"/>
        <v>DAYNITE</v>
      </c>
      <c r="G83" s="32" t="str">
        <f t="shared" si="5"/>
        <v>DMD</v>
      </c>
    </row>
    <row r="84" spans="1:7">
      <c r="A84" s="21" t="str">
        <f>IF(LEFT(RES!A96,1)="*","*","")</f>
        <v/>
      </c>
      <c r="B84" s="510" t="str">
        <f>IF(A84="*","",RES!B96)</f>
        <v>RMEWELCSWH-E</v>
      </c>
      <c r="C84" s="21" t="str">
        <f>IF(A84="*","",RES!A96)</f>
        <v>Residential - Water Heating - Middle Income  - Electricity - SWH - Low pressure</v>
      </c>
      <c r="D84" s="32" t="s">
        <v>950</v>
      </c>
      <c r="E84" s="32" t="str">
        <f t="shared" si="3"/>
        <v>Pja</v>
      </c>
      <c r="F84" s="32" t="str">
        <f t="shared" si="4"/>
        <v>DAYNITE</v>
      </c>
      <c r="G84" s="32" t="str">
        <f t="shared" si="5"/>
        <v>DMD</v>
      </c>
    </row>
    <row r="85" spans="1:7">
      <c r="A85" s="21" t="str">
        <f>IF(LEFT(RES!A97,1)="*","*","")</f>
        <v>*</v>
      </c>
      <c r="B85" s="510" t="str">
        <f>IF(A85="*","",RES!B97)</f>
        <v/>
      </c>
      <c r="C85" s="21" t="str">
        <f>IF(A85="*","",RES!A97)</f>
        <v/>
      </c>
      <c r="D85" s="32" t="s">
        <v>950</v>
      </c>
      <c r="E85" s="32" t="str">
        <f t="shared" si="3"/>
        <v/>
      </c>
      <c r="F85" s="32" t="str">
        <f t="shared" si="4"/>
        <v/>
      </c>
      <c r="G85" s="32" t="str">
        <f t="shared" si="5"/>
        <v/>
      </c>
    </row>
    <row r="86" spans="1:7">
      <c r="A86" s="21" t="str">
        <f>IF(LEFT(RES!A98,1)="*","*","")</f>
        <v>*</v>
      </c>
      <c r="B86" s="510" t="str">
        <f>IF(A86="*","",RES!B98)</f>
        <v/>
      </c>
      <c r="C86" s="21" t="str">
        <f>IF(A86="*","",RES!A98)</f>
        <v/>
      </c>
      <c r="D86" s="32" t="s">
        <v>950</v>
      </c>
      <c r="E86" s="32" t="str">
        <f t="shared" si="3"/>
        <v/>
      </c>
      <c r="F86" s="32" t="str">
        <f t="shared" si="4"/>
        <v/>
      </c>
      <c r="G86" s="32" t="str">
        <f t="shared" si="5"/>
        <v/>
      </c>
    </row>
    <row r="87" spans="1:7">
      <c r="A87" s="21" t="str">
        <f>IF(LEFT(RES!A99,1)="*","*","")</f>
        <v/>
      </c>
      <c r="B87" s="510" t="str">
        <f>IF(A87="*","",RES!B99)</f>
        <v>RMEWELCKET-E</v>
      </c>
      <c r="C87" s="21" t="str">
        <f>IF(A87="*","",RES!A99)</f>
        <v>Residential - Water Heating - Middle Income  - Electricity - Kettle - E</v>
      </c>
      <c r="D87" s="32" t="s">
        <v>950</v>
      </c>
      <c r="E87" s="32" t="str">
        <f t="shared" si="3"/>
        <v>Pja</v>
      </c>
      <c r="F87" s="32" t="str">
        <f t="shared" si="4"/>
        <v>DAYNITE</v>
      </c>
      <c r="G87" s="32" t="str">
        <f t="shared" si="5"/>
        <v>DMD</v>
      </c>
    </row>
    <row r="88" spans="1:7">
      <c r="A88" s="21" t="str">
        <f>IF(LEFT(RES!A100,1)="*","*","")</f>
        <v/>
      </c>
      <c r="B88" s="510" t="str">
        <f>IF(A88="*","",RES!B100)</f>
        <v>RMEWOKEKETPR-E</v>
      </c>
      <c r="C88" s="21" t="str">
        <f>IF(A88="*","",RES!A100)</f>
        <v>Residential - Water Heating - Middle Income  - Oil Paraffin - KETPR - E</v>
      </c>
      <c r="D88" s="32" t="s">
        <v>950</v>
      </c>
      <c r="E88" s="32" t="str">
        <f t="shared" si="3"/>
        <v>Pja</v>
      </c>
      <c r="F88" s="32" t="str">
        <f t="shared" si="4"/>
        <v>DAYNITE</v>
      </c>
      <c r="G88" s="32" t="str">
        <f t="shared" si="5"/>
        <v>DMD</v>
      </c>
    </row>
    <row r="89" spans="1:7">
      <c r="A89" s="21" t="str">
        <f>IF(LEFT(RES!A101,1)="*","*","")</f>
        <v/>
      </c>
      <c r="B89" s="510" t="str">
        <f>IF(A89="*","",RES!B101)</f>
        <v>RMEWBIWKETBI-E</v>
      </c>
      <c r="C89" s="21" t="str">
        <f>IF(A89="*","",RES!A101)</f>
        <v>Residential - Water Heating - Middle Income  - Biomass Wood - KETBI - E</v>
      </c>
      <c r="D89" s="32" t="s">
        <v>950</v>
      </c>
      <c r="E89" s="32" t="str">
        <f t="shared" si="3"/>
        <v>Pja</v>
      </c>
      <c r="F89" s="32" t="str">
        <f t="shared" si="4"/>
        <v>DAYNITE</v>
      </c>
      <c r="G89" s="32" t="str">
        <f t="shared" si="5"/>
        <v>DMD</v>
      </c>
    </row>
    <row r="90" spans="1:7">
      <c r="A90" s="21" t="str">
        <f>IF(LEFT(RES!A102,1)="*","*","")</f>
        <v/>
      </c>
      <c r="B90" s="510" t="str">
        <f>IF(A90="*","",RES!B102)</f>
        <v>RMEWCOASTOV-E</v>
      </c>
      <c r="C90" s="21" t="str">
        <f>IF(A90="*","",RES!A102)</f>
        <v>Residential - Water Heating - Middle Income  - Coal - STOV - E</v>
      </c>
      <c r="D90" s="32" t="s">
        <v>950</v>
      </c>
      <c r="E90" s="32" t="str">
        <f t="shared" si="3"/>
        <v>Pja</v>
      </c>
      <c r="F90" s="32" t="str">
        <f t="shared" si="4"/>
        <v>DAYNITE</v>
      </c>
      <c r="G90" s="32" t="str">
        <f t="shared" si="5"/>
        <v>DMD</v>
      </c>
    </row>
    <row r="91" spans="1:7">
      <c r="A91" s="21" t="str">
        <f>IF(LEFT(RES!A103,1)="*","*","")</f>
        <v/>
      </c>
      <c r="B91" s="510" t="str">
        <f>IF(A91="*","",RES!B103)</f>
        <v>RMEWOLPKETLPG-E</v>
      </c>
      <c r="C91" s="21" t="str">
        <f>IF(A91="*","",RES!A103)</f>
        <v>Residential - Water Heating - Middle Income  - Oil LPG - KETLPG - E</v>
      </c>
      <c r="D91" s="32" t="s">
        <v>950</v>
      </c>
      <c r="E91" s="32" t="str">
        <f t="shared" si="3"/>
        <v>Pja</v>
      </c>
      <c r="F91" s="32" t="str">
        <f t="shared" si="4"/>
        <v>DAYNITE</v>
      </c>
      <c r="G91" s="32" t="str">
        <f t="shared" si="5"/>
        <v>DMD</v>
      </c>
    </row>
    <row r="92" spans="1:7">
      <c r="A92" s="21" t="str">
        <f>IF(LEFT(RES!A104,1)="*","*","")</f>
        <v/>
      </c>
      <c r="B92" s="510" t="str">
        <f>IF(A92="*","",RES!B104)</f>
        <v>RMEWGASGEY-N</v>
      </c>
      <c r="C92" s="21" t="str">
        <f>IF(A92="*","",RES!A104)</f>
        <v>Residential - Water Heating - Middle Income  - Natural Gas - GEY - N</v>
      </c>
      <c r="D92" s="32" t="s">
        <v>950</v>
      </c>
      <c r="E92" s="32" t="str">
        <f t="shared" ref="E92:E133" si="6">IF(A92="*","","Pja")</f>
        <v>Pja</v>
      </c>
      <c r="F92" s="32" t="str">
        <f t="shared" ref="F92:F133" si="7">IF(A92="*","","DAYNITE")</f>
        <v>DAYNITE</v>
      </c>
      <c r="G92" s="32" t="str">
        <f t="shared" ref="G92:G133" si="8">IF(A92="*","","DMD")</f>
        <v>DMD</v>
      </c>
    </row>
    <row r="93" spans="1:7">
      <c r="A93" s="21" t="str">
        <f>IF(LEFT(RES!A105,1)="*","*","")</f>
        <v>*</v>
      </c>
      <c r="B93" s="510" t="str">
        <f>IF(A93="*","",RES!B105)</f>
        <v/>
      </c>
      <c r="C93" s="21" t="str">
        <f>IF(A93="*","",RES!A105)</f>
        <v/>
      </c>
      <c r="D93" s="32" t="s">
        <v>950</v>
      </c>
      <c r="E93" s="32" t="str">
        <f t="shared" si="6"/>
        <v/>
      </c>
      <c r="F93" s="32" t="str">
        <f t="shared" si="7"/>
        <v/>
      </c>
      <c r="G93" s="32" t="str">
        <f t="shared" si="8"/>
        <v/>
      </c>
    </row>
    <row r="94" spans="1:7">
      <c r="A94" s="21" t="str">
        <f>IF(LEFT(RES!A106,1)="*","*","")</f>
        <v>*</v>
      </c>
      <c r="B94" s="510" t="str">
        <f>IF(A94="*","",RES!B106)</f>
        <v/>
      </c>
      <c r="C94" s="21" t="str">
        <f>IF(A94="*","",RES!A106)</f>
        <v/>
      </c>
      <c r="D94" s="32" t="s">
        <v>950</v>
      </c>
      <c r="E94" s="32" t="str">
        <f t="shared" si="6"/>
        <v/>
      </c>
      <c r="F94" s="32" t="str">
        <f t="shared" si="7"/>
        <v/>
      </c>
      <c r="G94" s="32" t="str">
        <f t="shared" si="8"/>
        <v/>
      </c>
    </row>
    <row r="95" spans="1:7">
      <c r="A95" s="21" t="str">
        <f>IF(LEFT(RES!A107,1)="*","*","")</f>
        <v/>
      </c>
      <c r="B95" s="510" t="str">
        <f>IF(A95="*","",RES!B107)</f>
        <v>RMERELCREF-E</v>
      </c>
      <c r="C95" s="21" t="str">
        <f>IF(A95="*","",RES!A107)</f>
        <v>Residential - Refrigeration - Middle Income  - Electricity - REF - E</v>
      </c>
      <c r="D95" s="32" t="s">
        <v>950</v>
      </c>
      <c r="E95" s="32" t="str">
        <f t="shared" si="6"/>
        <v>Pja</v>
      </c>
      <c r="F95" s="32" t="str">
        <f t="shared" si="7"/>
        <v>DAYNITE</v>
      </c>
      <c r="G95" s="32" t="str">
        <f t="shared" si="8"/>
        <v>DMD</v>
      </c>
    </row>
    <row r="96" spans="1:7">
      <c r="A96" s="21" t="str">
        <f>IF(LEFT(RES!A108,1)="*","*","")</f>
        <v>*</v>
      </c>
      <c r="B96" s="510" t="str">
        <f>IF(A96="*","",RES!B108)</f>
        <v/>
      </c>
      <c r="C96" s="21" t="str">
        <f>IF(A96="*","",RES!A108)</f>
        <v/>
      </c>
      <c r="D96" s="32" t="s">
        <v>950</v>
      </c>
      <c r="E96" s="32" t="str">
        <f t="shared" si="6"/>
        <v/>
      </c>
      <c r="F96" s="32" t="str">
        <f t="shared" si="7"/>
        <v/>
      </c>
      <c r="G96" s="32" t="str">
        <f t="shared" si="8"/>
        <v/>
      </c>
    </row>
    <row r="97" spans="1:7">
      <c r="A97" s="21" t="str">
        <f>IF(LEFT(RES!A109,1)="*","*","")</f>
        <v>*</v>
      </c>
      <c r="B97" s="510" t="str">
        <f>IF(A97="*","",RES!B109)</f>
        <v/>
      </c>
      <c r="C97" s="21" t="str">
        <f>IF(A97="*","",RES!A109)</f>
        <v/>
      </c>
      <c r="D97" s="32" t="s">
        <v>950</v>
      </c>
      <c r="E97" s="32" t="str">
        <f t="shared" si="6"/>
        <v/>
      </c>
      <c r="F97" s="32" t="str">
        <f t="shared" si="7"/>
        <v/>
      </c>
      <c r="G97" s="32" t="str">
        <f t="shared" si="8"/>
        <v/>
      </c>
    </row>
    <row r="98" spans="1:7">
      <c r="A98" s="21" t="str">
        <f>IF(LEFT(RES!A110,1)="*","*","")</f>
        <v/>
      </c>
      <c r="B98" s="510" t="str">
        <f>IF(A98="*","",RES!B110)</f>
        <v>RMEOELCOTH-E</v>
      </c>
      <c r="C98" s="21" t="str">
        <f>IF(A98="*","",RES!A110)</f>
        <v>Residential - Other - Middle Income  - Electricity - OTH - E</v>
      </c>
      <c r="D98" s="32" t="s">
        <v>950</v>
      </c>
      <c r="E98" s="32" t="str">
        <f t="shared" si="6"/>
        <v>Pja</v>
      </c>
      <c r="F98" s="32" t="str">
        <f t="shared" si="7"/>
        <v>DAYNITE</v>
      </c>
      <c r="G98" s="32" t="str">
        <f t="shared" si="8"/>
        <v>DMD</v>
      </c>
    </row>
    <row r="99" spans="1:7">
      <c r="A99" s="21" t="str">
        <f>IF(LEFT(RES!A111,1)="*","*","")</f>
        <v>*</v>
      </c>
      <c r="B99" s="510" t="str">
        <f>IF(A99="*","",RES!B111)</f>
        <v/>
      </c>
      <c r="C99" s="21" t="str">
        <f>IF(A99="*","",RES!A111)</f>
        <v/>
      </c>
      <c r="D99" s="32" t="s">
        <v>950</v>
      </c>
      <c r="E99" s="32" t="str">
        <f t="shared" si="6"/>
        <v/>
      </c>
      <c r="F99" s="32" t="str">
        <f t="shared" si="7"/>
        <v/>
      </c>
      <c r="G99" s="32" t="str">
        <f t="shared" si="8"/>
        <v/>
      </c>
    </row>
    <row r="100" spans="1:7">
      <c r="A100" s="21" t="str">
        <f>IF(LEFT(RES!A112,1)="*","*","")</f>
        <v>*</v>
      </c>
      <c r="B100" s="510" t="str">
        <f>IF(A100="*","",RES!B112)</f>
        <v/>
      </c>
      <c r="C100" s="21" t="str">
        <f>IF(A100="*","",RES!A112)</f>
        <v/>
      </c>
      <c r="D100" s="32" t="s">
        <v>950</v>
      </c>
      <c r="E100" s="32" t="str">
        <f t="shared" si="6"/>
        <v/>
      </c>
      <c r="F100" s="32" t="str">
        <f t="shared" si="7"/>
        <v/>
      </c>
      <c r="G100" s="32" t="str">
        <f t="shared" si="8"/>
        <v/>
      </c>
    </row>
    <row r="101" spans="1:7">
      <c r="A101" s="21" t="str">
        <f>IF(LEFT(RES!A113,1)="*","*","")</f>
        <v>*</v>
      </c>
      <c r="B101" s="510" t="str">
        <f>IF(A101="*","",RES!B113)</f>
        <v/>
      </c>
      <c r="C101" s="21" t="str">
        <f>IF(A101="*","",RES!A113)</f>
        <v/>
      </c>
      <c r="D101" s="32" t="s">
        <v>950</v>
      </c>
      <c r="E101" s="32" t="str">
        <f t="shared" si="6"/>
        <v/>
      </c>
      <c r="F101" s="32" t="str">
        <f t="shared" si="7"/>
        <v/>
      </c>
      <c r="G101" s="32" t="str">
        <f t="shared" si="8"/>
        <v/>
      </c>
    </row>
    <row r="102" spans="1:7">
      <c r="A102" s="21" t="str">
        <f>IF(LEFT(RES!A114,1)="*","*","")</f>
        <v/>
      </c>
      <c r="B102" s="510" t="str">
        <f>IF(A102="*","",RES!B114)</f>
        <v>RHELELCINC-E</v>
      </c>
      <c r="C102" s="21" t="str">
        <f>IF(A102="*","",RES!A114)</f>
        <v>Residential - Lighting - High Income  - Electricity - INC - E</v>
      </c>
      <c r="D102" s="32" t="s">
        <v>950</v>
      </c>
      <c r="E102" s="32" t="str">
        <f t="shared" si="6"/>
        <v>Pja</v>
      </c>
      <c r="F102" s="32" t="str">
        <f t="shared" si="7"/>
        <v>DAYNITE</v>
      </c>
      <c r="G102" s="32" t="str">
        <f t="shared" si="8"/>
        <v>DMD</v>
      </c>
    </row>
    <row r="103" spans="1:7">
      <c r="A103" s="21" t="str">
        <f>IF(LEFT(RES!A115,1)="*","*","")</f>
        <v>*</v>
      </c>
      <c r="B103" s="510" t="str">
        <f>IF(A103="*","",RES!B115)</f>
        <v/>
      </c>
      <c r="C103" s="21" t="str">
        <f>IF(A103="*","",RES!A115)</f>
        <v/>
      </c>
      <c r="D103" s="32" t="s">
        <v>950</v>
      </c>
      <c r="E103" s="32" t="str">
        <f t="shared" si="6"/>
        <v/>
      </c>
      <c r="F103" s="32" t="str">
        <f t="shared" si="7"/>
        <v/>
      </c>
      <c r="G103" s="32" t="str">
        <f t="shared" si="8"/>
        <v/>
      </c>
    </row>
    <row r="104" spans="1:7">
      <c r="A104" s="21" t="str">
        <f>IF(LEFT(RES!A116,1)="*","*","")</f>
        <v>*</v>
      </c>
      <c r="B104" s="510" t="str">
        <f>IF(A104="*","",RES!B116)</f>
        <v/>
      </c>
      <c r="C104" s="21" t="str">
        <f>IF(A104="*","",RES!A116)</f>
        <v/>
      </c>
      <c r="D104" s="32" t="s">
        <v>950</v>
      </c>
      <c r="E104" s="32" t="str">
        <f t="shared" si="6"/>
        <v/>
      </c>
      <c r="F104" s="32" t="str">
        <f t="shared" si="7"/>
        <v/>
      </c>
      <c r="G104" s="32" t="str">
        <f t="shared" si="8"/>
        <v/>
      </c>
    </row>
    <row r="105" spans="1:7">
      <c r="A105" s="21" t="str">
        <f>IF(LEFT(RES!A117,1)="*","*","")</f>
        <v/>
      </c>
      <c r="B105" s="510" t="str">
        <f>IF(A105="*","",RES!B117)</f>
        <v>RHEKELCSTOV-E</v>
      </c>
      <c r="C105" s="21" t="str">
        <f>IF(A105="*","",RES!A117)</f>
        <v>Residential - Cooking - High Income  - Electricity - STOV - E</v>
      </c>
      <c r="D105" s="32" t="s">
        <v>950</v>
      </c>
      <c r="E105" s="32" t="str">
        <f t="shared" si="6"/>
        <v>Pja</v>
      </c>
      <c r="F105" s="32" t="str">
        <f t="shared" si="7"/>
        <v>DAYNITE</v>
      </c>
      <c r="G105" s="32" t="str">
        <f t="shared" si="8"/>
        <v>DMD</v>
      </c>
    </row>
    <row r="106" spans="1:7">
      <c r="A106" s="21" t="str">
        <f>IF(LEFT(RES!A118,1)="*","*","")</f>
        <v/>
      </c>
      <c r="B106" s="510" t="str">
        <f>IF(A106="*","",RES!B118)</f>
        <v>RHEKOLPSTOV-E</v>
      </c>
      <c r="C106" s="21" t="str">
        <f>IF(A106="*","",RES!A118)</f>
        <v>Residential - Cooking - High Income  - Oil LPG - STOV - E</v>
      </c>
      <c r="D106" s="32" t="s">
        <v>950</v>
      </c>
      <c r="E106" s="32" t="str">
        <f t="shared" si="6"/>
        <v>Pja</v>
      </c>
      <c r="F106" s="32" t="str">
        <f t="shared" si="7"/>
        <v>DAYNITE</v>
      </c>
      <c r="G106" s="32" t="str">
        <f t="shared" si="8"/>
        <v>DMD</v>
      </c>
    </row>
    <row r="107" spans="1:7">
      <c r="A107" s="21" t="str">
        <f>IF(LEFT(RES!A119,1)="*","*","")</f>
        <v/>
      </c>
      <c r="B107" s="510" t="str">
        <f>IF(A107="*","",RES!B119)</f>
        <v>RHEKBIWSTOV-E</v>
      </c>
      <c r="C107" s="21" t="str">
        <f>IF(A107="*","",RES!A119)</f>
        <v>Residential - Cooking - High Income  - Biomass Wood - STOV - E</v>
      </c>
      <c r="D107" s="32" t="s">
        <v>950</v>
      </c>
      <c r="E107" s="32" t="str">
        <f t="shared" si="6"/>
        <v>Pja</v>
      </c>
      <c r="F107" s="32" t="str">
        <f t="shared" si="7"/>
        <v>DAYNITE</v>
      </c>
      <c r="G107" s="32" t="str">
        <f t="shared" si="8"/>
        <v>DMD</v>
      </c>
    </row>
    <row r="108" spans="1:7">
      <c r="A108" s="21" t="str">
        <f>IF(LEFT(RES!A120,1)="*","*","")</f>
        <v/>
      </c>
      <c r="B108" s="510" t="str">
        <f>IF(A108="*","",RES!B120)</f>
        <v>RHEKOKEPRIMUS-E</v>
      </c>
      <c r="C108" s="21" t="str">
        <f>IF(A108="*","",RES!A120)</f>
        <v>Residential - Cooking - High Income  - Oil Paraffin - PRIMUS - E</v>
      </c>
      <c r="D108" s="32" t="s">
        <v>950</v>
      </c>
      <c r="E108" s="32" t="str">
        <f t="shared" si="6"/>
        <v>Pja</v>
      </c>
      <c r="F108" s="32" t="str">
        <f t="shared" si="7"/>
        <v>DAYNITE</v>
      </c>
      <c r="G108" s="32" t="str">
        <f t="shared" si="8"/>
        <v>DMD</v>
      </c>
    </row>
    <row r="109" spans="1:7">
      <c r="A109" s="21" t="str">
        <f>IF(LEFT(RES!A121,1)="*","*","")</f>
        <v/>
      </c>
      <c r="B109" s="510" t="str">
        <f>IF(A109="*","",RES!B121)</f>
        <v>RHEKGASSTOV-E</v>
      </c>
      <c r="C109" s="21" t="str">
        <f>IF(A109="*","",RES!A121)</f>
        <v>Residential - Cooking - High Income  - Natural Gas - STOV - E</v>
      </c>
      <c r="D109" s="32" t="s">
        <v>950</v>
      </c>
      <c r="E109" s="32" t="str">
        <f t="shared" si="6"/>
        <v>Pja</v>
      </c>
      <c r="F109" s="32" t="str">
        <f t="shared" si="7"/>
        <v>DAYNITE</v>
      </c>
      <c r="G109" s="32" t="str">
        <f t="shared" si="8"/>
        <v>DMD</v>
      </c>
    </row>
    <row r="110" spans="1:7">
      <c r="A110" s="21" t="str">
        <f>IF(LEFT(RES!A122,1)="*","*","")</f>
        <v>*</v>
      </c>
      <c r="B110" s="510" t="str">
        <f>IF(A110="*","",RES!B122)</f>
        <v/>
      </c>
      <c r="C110" s="21" t="str">
        <f>IF(A110="*","",RES!A122)</f>
        <v/>
      </c>
      <c r="D110" s="32" t="s">
        <v>950</v>
      </c>
      <c r="E110" s="32" t="str">
        <f t="shared" si="6"/>
        <v/>
      </c>
      <c r="F110" s="32" t="str">
        <f t="shared" si="7"/>
        <v/>
      </c>
      <c r="G110" s="32" t="str">
        <f t="shared" si="8"/>
        <v/>
      </c>
    </row>
    <row r="111" spans="1:7">
      <c r="A111" s="21" t="str">
        <f>IF(LEFT(RES!A123,1)="*","*","")</f>
        <v>*</v>
      </c>
      <c r="B111" s="510" t="str">
        <f>IF(A111="*","",RES!B123)</f>
        <v/>
      </c>
      <c r="C111" s="21" t="str">
        <f>IF(A111="*","",RES!A123)</f>
        <v/>
      </c>
      <c r="D111" s="32" t="s">
        <v>950</v>
      </c>
      <c r="E111" s="32" t="str">
        <f t="shared" si="6"/>
        <v/>
      </c>
      <c r="F111" s="32" t="str">
        <f t="shared" si="7"/>
        <v/>
      </c>
      <c r="G111" s="32" t="str">
        <f t="shared" si="8"/>
        <v/>
      </c>
    </row>
    <row r="112" spans="1:7">
      <c r="A112" s="21" t="str">
        <f>IF(LEFT(RES!A124,1)="*","*","")</f>
        <v/>
      </c>
      <c r="B112" s="510" t="str">
        <f>IF(A112="*","",RES!B124)</f>
        <v>RHEHELCHEATFIN-E</v>
      </c>
      <c r="C112" s="21" t="str">
        <f>IF(A112="*","",RES!A124)</f>
        <v>Residential - Space Heating - High Income  - Electricity - HEATFIN - E</v>
      </c>
      <c r="D112" s="32" t="s">
        <v>950</v>
      </c>
      <c r="E112" s="32" t="str">
        <f t="shared" si="6"/>
        <v>Pja</v>
      </c>
      <c r="F112" s="32" t="str">
        <f t="shared" si="7"/>
        <v>DAYNITE</v>
      </c>
      <c r="G112" s="32" t="str">
        <f t="shared" si="8"/>
        <v>DMD</v>
      </c>
    </row>
    <row r="113" spans="1:7">
      <c r="A113" s="21" t="str">
        <f>IF(LEFT(RES!A125,1)="*","*","")</f>
        <v/>
      </c>
      <c r="B113" s="510" t="str">
        <f>IF(A113="*","",RES!B125)</f>
        <v>RHEHOKEHEAT-E</v>
      </c>
      <c r="C113" s="21" t="str">
        <f>IF(A113="*","",RES!A125)</f>
        <v>Residential - Space Heating - High Income  - Oil Paraffin - HEAT - E</v>
      </c>
      <c r="D113" s="32" t="s">
        <v>950</v>
      </c>
      <c r="E113" s="32" t="str">
        <f t="shared" si="6"/>
        <v>Pja</v>
      </c>
      <c r="F113" s="32" t="str">
        <f t="shared" si="7"/>
        <v>DAYNITE</v>
      </c>
      <c r="G113" s="32" t="str">
        <f t="shared" si="8"/>
        <v>DMD</v>
      </c>
    </row>
    <row r="114" spans="1:7">
      <c r="A114" s="21" t="str">
        <f>IF(LEFT(RES!A126,1)="*","*","")</f>
        <v/>
      </c>
      <c r="B114" s="510" t="str">
        <f>IF(A114="*","",RES!B126)</f>
        <v>RHEHBIWSTOV-E</v>
      </c>
      <c r="C114" s="21" t="str">
        <f>IF(A114="*","",RES!A126)</f>
        <v>Residential - Space Heating - High Income  - Biomass Wood - STOV - E</v>
      </c>
      <c r="D114" s="32" t="s">
        <v>950</v>
      </c>
      <c r="E114" s="32" t="str">
        <f t="shared" si="6"/>
        <v>Pja</v>
      </c>
      <c r="F114" s="32" t="str">
        <f t="shared" si="7"/>
        <v>DAYNITE</v>
      </c>
      <c r="G114" s="32" t="str">
        <f t="shared" si="8"/>
        <v>DMD</v>
      </c>
    </row>
    <row r="115" spans="1:7">
      <c r="A115" s="21" t="str">
        <f>IF(LEFT(RES!A127,1)="*","*","")</f>
        <v/>
      </c>
      <c r="B115" s="510" t="str">
        <f>IF(A115="*","",RES!B127)</f>
        <v>RHEHCOASTOV-E</v>
      </c>
      <c r="C115" s="21" t="str">
        <f>IF(A115="*","",RES!A127)</f>
        <v>Residential - Space Heating - High Income  - Coal - STOV - E</v>
      </c>
      <c r="D115" s="32" t="s">
        <v>950</v>
      </c>
      <c r="E115" s="32" t="str">
        <f t="shared" si="6"/>
        <v>Pja</v>
      </c>
      <c r="F115" s="32" t="str">
        <f t="shared" si="7"/>
        <v>DAYNITE</v>
      </c>
      <c r="G115" s="32" t="str">
        <f t="shared" si="8"/>
        <v>DMD</v>
      </c>
    </row>
    <row r="116" spans="1:7">
      <c r="A116" s="21" t="str">
        <f>IF(LEFT(RES!A128,1)="*","*","")</f>
        <v/>
      </c>
      <c r="B116" s="510" t="str">
        <f>IF(A116="*","",RES!B128)</f>
        <v>RHEHOLPHEAT-E</v>
      </c>
      <c r="C116" s="21" t="str">
        <f>IF(A116="*","",RES!A128)</f>
        <v>Residential - Space Heating - High Income  - Oil LPG - HEAT - E</v>
      </c>
      <c r="D116" s="32" t="s">
        <v>950</v>
      </c>
      <c r="E116" s="32" t="str">
        <f t="shared" si="6"/>
        <v>Pja</v>
      </c>
      <c r="F116" s="32" t="str">
        <f t="shared" si="7"/>
        <v>DAYNITE</v>
      </c>
      <c r="G116" s="32" t="str">
        <f t="shared" si="8"/>
        <v>DMD</v>
      </c>
    </row>
    <row r="117" spans="1:7">
      <c r="A117" s="21" t="str">
        <f>IF(LEFT(RES!A129,1)="*","*","")</f>
        <v/>
      </c>
      <c r="B117" s="510" t="str">
        <f>IF(A117="*","",RES!B129)</f>
        <v>RHEHGASHEAT-N</v>
      </c>
      <c r="C117" s="21" t="str">
        <f>IF(A117="*","",RES!A129)</f>
        <v>Residential - Space Heating - High Income  - Natural Gas - HEAT - N</v>
      </c>
      <c r="D117" s="32" t="s">
        <v>950</v>
      </c>
      <c r="E117" s="32" t="str">
        <f t="shared" si="6"/>
        <v>Pja</v>
      </c>
      <c r="F117" s="32" t="str">
        <f t="shared" si="7"/>
        <v>DAYNITE</v>
      </c>
      <c r="G117" s="32" t="str">
        <f t="shared" si="8"/>
        <v>DMD</v>
      </c>
    </row>
    <row r="118" spans="1:7">
      <c r="A118" s="21" t="str">
        <f>IF(LEFT(RES!A130,1)="*","*","")</f>
        <v>*</v>
      </c>
      <c r="B118" s="510" t="str">
        <f>IF(A118="*","",RES!B130)</f>
        <v/>
      </c>
      <c r="C118" s="21" t="str">
        <f>IF(A118="*","",RES!A130)</f>
        <v/>
      </c>
      <c r="D118" s="32" t="s">
        <v>950</v>
      </c>
      <c r="E118" s="32" t="str">
        <f t="shared" si="6"/>
        <v/>
      </c>
      <c r="F118" s="32" t="str">
        <f t="shared" si="7"/>
        <v/>
      </c>
      <c r="G118" s="32" t="str">
        <f t="shared" si="8"/>
        <v/>
      </c>
    </row>
    <row r="119" spans="1:7">
      <c r="A119" s="21" t="str">
        <f>IF(LEFT(RES!A131,1)="*","*","")</f>
        <v>*</v>
      </c>
      <c r="B119" s="510" t="str">
        <f>IF(A119="*","",RES!B131)</f>
        <v/>
      </c>
      <c r="C119" s="21" t="str">
        <f>IF(A119="*","",RES!A131)</f>
        <v/>
      </c>
      <c r="D119" s="32" t="s">
        <v>950</v>
      </c>
      <c r="E119" s="32" t="str">
        <f t="shared" si="6"/>
        <v/>
      </c>
      <c r="F119" s="32" t="str">
        <f t="shared" si="7"/>
        <v/>
      </c>
      <c r="G119" s="32" t="str">
        <f t="shared" si="8"/>
        <v/>
      </c>
    </row>
    <row r="120" spans="1:7">
      <c r="A120" s="21" t="str">
        <f>IF(LEFT(RES!A132,1)="*","*","")</f>
        <v/>
      </c>
      <c r="B120" s="510" t="str">
        <f>IF(A120="*","",RES!B132)</f>
        <v>RHEWELCGEY-E</v>
      </c>
      <c r="C120" s="21" t="str">
        <f>IF(A120="*","",RES!A132)</f>
        <v>Residential - Water Heating - High Income  - Electricity - GEY - E</v>
      </c>
      <c r="D120" s="32" t="s">
        <v>950</v>
      </c>
      <c r="E120" s="32" t="str">
        <f t="shared" si="6"/>
        <v>Pja</v>
      </c>
      <c r="F120" s="32" t="str">
        <f t="shared" si="7"/>
        <v>DAYNITE</v>
      </c>
      <c r="G120" s="32" t="str">
        <f t="shared" si="8"/>
        <v>DMD</v>
      </c>
    </row>
    <row r="121" spans="1:7">
      <c r="A121" s="21" t="str">
        <f>IF(LEFT(RES!A133,1)="*","*","")</f>
        <v/>
      </c>
      <c r="B121" s="510" t="str">
        <f>IF(A121="*","",RES!B133)</f>
        <v>RHEWELCCHP-N</v>
      </c>
      <c r="C121" s="21" t="str">
        <f>IF(A121="*","",RES!A133)</f>
        <v>Residential - Water Heating - High Income  - Electricity - HP - N</v>
      </c>
      <c r="D121" s="32" t="s">
        <v>950</v>
      </c>
      <c r="E121" s="32" t="str">
        <f t="shared" si="6"/>
        <v>Pja</v>
      </c>
      <c r="F121" s="32" t="str">
        <f t="shared" si="7"/>
        <v>DAYNITE</v>
      </c>
      <c r="G121" s="32" t="str">
        <f t="shared" si="8"/>
        <v>DMD</v>
      </c>
    </row>
    <row r="122" spans="1:7">
      <c r="A122" s="21" t="str">
        <f>IF(LEFT(RES!A134,1)="*","*","")</f>
        <v/>
      </c>
      <c r="B122" s="510" t="str">
        <f>IF(A122="*","",RES!B134)</f>
        <v>RHEWELCSWH-E</v>
      </c>
      <c r="C122" s="21" t="str">
        <f>IF(A122="*","",RES!A134)</f>
        <v>Residential - Water Heating - High Income  - Electricity - SWH - E</v>
      </c>
      <c r="D122" s="32" t="s">
        <v>950</v>
      </c>
      <c r="E122" s="32" t="str">
        <f t="shared" si="6"/>
        <v>Pja</v>
      </c>
      <c r="F122" s="32" t="str">
        <f t="shared" si="7"/>
        <v>DAYNITE</v>
      </c>
      <c r="G122" s="32" t="str">
        <f t="shared" si="8"/>
        <v>DMD</v>
      </c>
    </row>
    <row r="123" spans="1:7">
      <c r="A123" s="21" t="str">
        <f>IF(LEFT(RES!A135,1)="*","*","")</f>
        <v>*</v>
      </c>
      <c r="B123" s="510" t="str">
        <f>IF(A123="*","",RES!B135)</f>
        <v/>
      </c>
      <c r="C123" s="21" t="str">
        <f>IF(A123="*","",RES!A135)</f>
        <v/>
      </c>
      <c r="D123" s="32" t="s">
        <v>950</v>
      </c>
      <c r="E123" s="32" t="str">
        <f t="shared" si="6"/>
        <v/>
      </c>
      <c r="F123" s="32" t="str">
        <f t="shared" si="7"/>
        <v/>
      </c>
      <c r="G123" s="32" t="str">
        <f t="shared" si="8"/>
        <v/>
      </c>
    </row>
    <row r="124" spans="1:7">
      <c r="A124" s="21" t="str">
        <f>IF(LEFT(RES!A136,1)="*","*","")</f>
        <v>*</v>
      </c>
      <c r="B124" s="510" t="str">
        <f>IF(A124="*","",RES!B136)</f>
        <v/>
      </c>
      <c r="C124" s="21" t="str">
        <f>IF(A124="*","",RES!A136)</f>
        <v/>
      </c>
      <c r="D124" s="32" t="s">
        <v>950</v>
      </c>
      <c r="E124" s="32" t="str">
        <f t="shared" si="6"/>
        <v/>
      </c>
      <c r="F124" s="32" t="str">
        <f t="shared" si="7"/>
        <v/>
      </c>
      <c r="G124" s="32" t="str">
        <f t="shared" si="8"/>
        <v/>
      </c>
    </row>
    <row r="125" spans="1:7">
      <c r="A125" s="21" t="str">
        <f>IF(LEFT(RES!A137,1)="*","*","")</f>
        <v>*</v>
      </c>
      <c r="B125" s="510" t="str">
        <f>IF(A125="*","",RES!B137)</f>
        <v/>
      </c>
      <c r="C125" s="21" t="str">
        <f>IF(A125="*","",RES!A137)</f>
        <v/>
      </c>
      <c r="D125" s="32" t="s">
        <v>950</v>
      </c>
      <c r="E125" s="32" t="str">
        <f t="shared" si="6"/>
        <v/>
      </c>
      <c r="F125" s="32" t="str">
        <f t="shared" si="7"/>
        <v/>
      </c>
      <c r="G125" s="32" t="str">
        <f t="shared" si="8"/>
        <v/>
      </c>
    </row>
    <row r="126" spans="1:7">
      <c r="A126" s="21" t="str">
        <f>IF(LEFT(RES!A138,1)="*","*","")</f>
        <v>*</v>
      </c>
      <c r="B126" s="510" t="str">
        <f>IF(A126="*","",RES!B138)</f>
        <v/>
      </c>
      <c r="C126" s="21" t="str">
        <f>IF(A126="*","",RES!A138)</f>
        <v/>
      </c>
      <c r="D126" s="32" t="s">
        <v>950</v>
      </c>
      <c r="E126" s="32" t="str">
        <f t="shared" si="6"/>
        <v/>
      </c>
      <c r="F126" s="32" t="str">
        <f t="shared" si="7"/>
        <v/>
      </c>
      <c r="G126" s="32" t="str">
        <f t="shared" si="8"/>
        <v/>
      </c>
    </row>
    <row r="127" spans="1:7">
      <c r="A127" s="21" t="str">
        <f>IF(LEFT(RES!A139,1)="*","*","")</f>
        <v>*</v>
      </c>
      <c r="B127" s="510" t="str">
        <f>IF(A127="*","",RES!B139)</f>
        <v/>
      </c>
      <c r="C127" s="21" t="str">
        <f>IF(A127="*","",RES!A139)</f>
        <v/>
      </c>
      <c r="D127" s="32" t="s">
        <v>950</v>
      </c>
      <c r="E127" s="32" t="str">
        <f t="shared" si="6"/>
        <v/>
      </c>
      <c r="F127" s="32" t="str">
        <f t="shared" si="7"/>
        <v/>
      </c>
      <c r="G127" s="32" t="str">
        <f t="shared" si="8"/>
        <v/>
      </c>
    </row>
    <row r="128" spans="1:7">
      <c r="A128" s="21" t="str">
        <f>IF(LEFT(RES!A140,1)="*","*","")</f>
        <v>*</v>
      </c>
      <c r="B128" s="510" t="str">
        <f>IF(A128="*","",RES!B140)</f>
        <v/>
      </c>
      <c r="C128" s="21" t="str">
        <f>IF(A128="*","",RES!A140)</f>
        <v/>
      </c>
      <c r="D128" s="32" t="s">
        <v>950</v>
      </c>
      <c r="E128" s="32" t="str">
        <f t="shared" si="6"/>
        <v/>
      </c>
      <c r="F128" s="32" t="str">
        <f t="shared" si="7"/>
        <v/>
      </c>
      <c r="G128" s="32" t="str">
        <f t="shared" si="8"/>
        <v/>
      </c>
    </row>
    <row r="129" spans="1:7">
      <c r="A129" s="21" t="str">
        <f>IF(LEFT(RES!A141,1)="*","*","")</f>
        <v>*</v>
      </c>
      <c r="B129" s="510" t="str">
        <f>IF(A129="*","",RES!B141)</f>
        <v/>
      </c>
      <c r="C129" s="21" t="str">
        <f>IF(A129="*","",RES!A141)</f>
        <v/>
      </c>
      <c r="D129" s="32" t="s">
        <v>950</v>
      </c>
      <c r="E129" s="32" t="str">
        <f t="shared" si="6"/>
        <v/>
      </c>
      <c r="F129" s="32" t="str">
        <f t="shared" si="7"/>
        <v/>
      </c>
      <c r="G129" s="32" t="str">
        <f t="shared" si="8"/>
        <v/>
      </c>
    </row>
    <row r="130" spans="1:7">
      <c r="A130" s="21" t="str">
        <f>IF(LEFT(RES!A142,1)="*","*","")</f>
        <v>*</v>
      </c>
      <c r="B130" s="510" t="str">
        <f>IF(A130="*","",RES!B142)</f>
        <v/>
      </c>
      <c r="C130" s="21" t="str">
        <f>IF(A130="*","",RES!A142)</f>
        <v/>
      </c>
      <c r="D130" s="32" t="s">
        <v>950</v>
      </c>
      <c r="E130" s="32" t="str">
        <f t="shared" si="6"/>
        <v/>
      </c>
      <c r="F130" s="32" t="str">
        <f t="shared" si="7"/>
        <v/>
      </c>
      <c r="G130" s="32" t="str">
        <f t="shared" si="8"/>
        <v/>
      </c>
    </row>
    <row r="131" spans="1:7">
      <c r="A131" s="21" t="str">
        <f>IF(LEFT(RES!A143,1)="*","*","")</f>
        <v/>
      </c>
      <c r="B131" s="510" t="str">
        <f>IF(A131="*","",RES!B143)</f>
        <v>RHEOELCOTH-E</v>
      </c>
      <c r="C131" s="21" t="str">
        <f>IF(A131="*","",RES!A143)</f>
        <v>Residential - Other - High Income  - Electricity - OTH - E</v>
      </c>
      <c r="D131" s="32" t="s">
        <v>950</v>
      </c>
      <c r="E131" s="32" t="str">
        <f t="shared" si="6"/>
        <v>Pja</v>
      </c>
      <c r="F131" s="32" t="str">
        <f t="shared" si="7"/>
        <v>DAYNITE</v>
      </c>
      <c r="G131" s="32" t="str">
        <f t="shared" si="8"/>
        <v>DMD</v>
      </c>
    </row>
    <row r="132" spans="1:7">
      <c r="A132" s="21" t="str">
        <f>IF(LEFT(RES!A144,1)="*","*","")</f>
        <v>*</v>
      </c>
      <c r="B132" s="510" t="str">
        <f>IF(A132="*","",RES!B144)</f>
        <v/>
      </c>
      <c r="C132" s="21" t="str">
        <f>IF(A132="*","",RES!A144)</f>
        <v/>
      </c>
      <c r="D132" s="32" t="s">
        <v>950</v>
      </c>
      <c r="E132" s="32" t="str">
        <f t="shared" si="6"/>
        <v/>
      </c>
      <c r="F132" s="32" t="str">
        <f t="shared" si="7"/>
        <v/>
      </c>
      <c r="G132" s="32" t="str">
        <f t="shared" si="8"/>
        <v/>
      </c>
    </row>
    <row r="133" spans="1:7">
      <c r="A133" s="21" t="str">
        <f>IF(LEFT(RES!A145,1)="*","*","")</f>
        <v>*</v>
      </c>
      <c r="B133" s="510" t="str">
        <f>IF(A133="*","",RES!B145)</f>
        <v/>
      </c>
      <c r="C133" s="21" t="str">
        <f>IF(A133="*","",RES!A145)</f>
        <v/>
      </c>
      <c r="D133" s="32" t="s">
        <v>950</v>
      </c>
      <c r="E133" s="32" t="str">
        <f t="shared" si="6"/>
        <v/>
      </c>
      <c r="F133" s="32" t="str">
        <f t="shared" si="7"/>
        <v/>
      </c>
      <c r="G133" s="32" t="str">
        <f t="shared" si="8"/>
        <v/>
      </c>
    </row>
    <row r="134" spans="1:7">
      <c r="B134" s="510"/>
      <c r="D134" s="32"/>
      <c r="E134" s="32"/>
      <c r="F134" s="32"/>
      <c r="G134" s="32"/>
    </row>
    <row r="135" spans="1:7">
      <c r="B135" s="510"/>
      <c r="D135" s="32"/>
      <c r="E135" s="32"/>
      <c r="F135" s="32"/>
      <c r="G135" s="32"/>
    </row>
    <row r="136" spans="1:7">
      <c r="B136" s="510"/>
      <c r="D136" s="32"/>
      <c r="E136" s="32"/>
      <c r="F136" s="32"/>
      <c r="G136" s="32"/>
    </row>
    <row r="137" spans="1:7">
      <c r="B137" s="510"/>
      <c r="D137" s="32"/>
      <c r="E137" s="32"/>
      <c r="F137" s="32"/>
      <c r="G137" s="32"/>
    </row>
    <row r="138" spans="1:7">
      <c r="B138" s="510"/>
      <c r="D138" s="32"/>
      <c r="E138" s="32"/>
      <c r="F138" s="32"/>
      <c r="G138" s="32"/>
    </row>
    <row r="139" spans="1:7">
      <c r="B139" s="510"/>
      <c r="D139" s="32"/>
      <c r="E139" s="32"/>
      <c r="F139" s="32"/>
      <c r="G139" s="32"/>
    </row>
    <row r="140" spans="1:7">
      <c r="B140" s="510"/>
      <c r="D140" s="32"/>
      <c r="E140" s="32"/>
      <c r="F140" s="32"/>
      <c r="G140" s="32"/>
    </row>
    <row r="141" spans="1:7">
      <c r="B141" s="510"/>
      <c r="D141" s="32"/>
      <c r="E141" s="32"/>
      <c r="F141" s="32"/>
      <c r="G141" s="32"/>
    </row>
    <row r="142" spans="1:7">
      <c r="B142" s="510"/>
      <c r="D142" s="32"/>
      <c r="E142" s="32"/>
      <c r="F142" s="32"/>
      <c r="G142" s="32"/>
    </row>
    <row r="143" spans="1:7">
      <c r="B143" s="510"/>
      <c r="D143" s="32"/>
      <c r="E143" s="32"/>
      <c r="F143" s="32"/>
      <c r="G143" s="32"/>
    </row>
    <row r="144" spans="1:7">
      <c r="B144" s="510"/>
      <c r="D144" s="32"/>
      <c r="E144" s="32"/>
      <c r="F144" s="32"/>
      <c r="G144" s="32"/>
    </row>
    <row r="145" spans="2:7">
      <c r="B145" s="510"/>
      <c r="D145" s="32"/>
      <c r="E145" s="32"/>
      <c r="F145" s="32"/>
      <c r="G145" s="32"/>
    </row>
    <row r="146" spans="2:7">
      <c r="B146" s="510"/>
      <c r="D146" s="32"/>
      <c r="E146" s="32"/>
      <c r="F146" s="32"/>
      <c r="G146" s="32"/>
    </row>
    <row r="147" spans="2:7">
      <c r="B147" s="510"/>
      <c r="D147" s="32"/>
      <c r="E147" s="32"/>
      <c r="F147" s="32"/>
      <c r="G147" s="32"/>
    </row>
    <row r="148" spans="2:7">
      <c r="B148" s="510"/>
      <c r="D148" s="32"/>
      <c r="E148" s="32"/>
      <c r="F148" s="32"/>
      <c r="G148" s="32"/>
    </row>
    <row r="149" spans="2:7">
      <c r="B149" s="510"/>
      <c r="D149" s="32"/>
      <c r="E149" s="32"/>
      <c r="F149" s="32"/>
      <c r="G149" s="32"/>
    </row>
    <row r="150" spans="2:7">
      <c r="B150" s="510"/>
      <c r="D150" s="32"/>
      <c r="E150" s="32"/>
      <c r="F150" s="32"/>
      <c r="G150" s="32"/>
    </row>
    <row r="151" spans="2:7">
      <c r="B151" s="510"/>
      <c r="D151" s="32"/>
      <c r="E151" s="32"/>
      <c r="F151" s="32"/>
      <c r="G151" s="32"/>
    </row>
    <row r="152" spans="2:7">
      <c r="B152" s="510"/>
      <c r="D152" s="32"/>
      <c r="E152" s="32"/>
      <c r="F152" s="32"/>
      <c r="G152" s="32"/>
    </row>
    <row r="153" spans="2:7">
      <c r="B153" s="510"/>
      <c r="D153" s="32"/>
      <c r="E153" s="32"/>
      <c r="F153" s="32"/>
      <c r="G153" s="32"/>
    </row>
    <row r="154" spans="2:7">
      <c r="B154" s="510"/>
      <c r="D154" s="32"/>
      <c r="E154" s="32"/>
      <c r="F154" s="32"/>
      <c r="G154" s="32"/>
    </row>
    <row r="155" spans="2:7">
      <c r="B155" s="510"/>
      <c r="D155" s="32"/>
      <c r="E155" s="32"/>
      <c r="F155" s="32"/>
      <c r="G155" s="32"/>
    </row>
    <row r="156" spans="2:7">
      <c r="B156" s="510"/>
      <c r="D156" s="32"/>
      <c r="E156" s="32"/>
      <c r="F156" s="32"/>
      <c r="G156" s="32"/>
    </row>
    <row r="157" spans="2:7">
      <c r="B157" s="510"/>
      <c r="D157" s="32"/>
      <c r="E157" s="32"/>
      <c r="F157" s="32"/>
      <c r="G157" s="32"/>
    </row>
    <row r="158" spans="2:7">
      <c r="B158" s="510"/>
      <c r="D158" s="32"/>
      <c r="E158" s="32"/>
      <c r="F158" s="32"/>
      <c r="G158" s="32"/>
    </row>
    <row r="159" spans="2:7">
      <c r="B159" s="510"/>
      <c r="D159" s="32"/>
      <c r="E159" s="32"/>
      <c r="F159" s="32"/>
      <c r="G159" s="32"/>
    </row>
    <row r="160" spans="2:7">
      <c r="B160" s="510"/>
      <c r="D160" s="32"/>
      <c r="E160" s="32"/>
      <c r="F160" s="32"/>
      <c r="G160" s="32"/>
    </row>
    <row r="161" spans="2:7">
      <c r="B161" s="510"/>
      <c r="D161" s="32"/>
      <c r="E161" s="32"/>
      <c r="F161" s="32"/>
      <c r="G161" s="32"/>
    </row>
    <row r="162" spans="2:7">
      <c r="B162" s="510"/>
      <c r="D162" s="32"/>
      <c r="E162" s="32"/>
      <c r="F162" s="32"/>
      <c r="G162" s="32"/>
    </row>
    <row r="163" spans="2:7">
      <c r="B163" s="510"/>
      <c r="D163" s="32"/>
      <c r="E163" s="32"/>
      <c r="F163" s="32"/>
      <c r="G163" s="32"/>
    </row>
    <row r="164" spans="2:7">
      <c r="B164" s="510"/>
      <c r="D164" s="32"/>
      <c r="E164" s="32"/>
      <c r="F164" s="32"/>
      <c r="G164" s="32"/>
    </row>
    <row r="165" spans="2:7">
      <c r="B165" s="510"/>
      <c r="D165" s="32"/>
      <c r="E165" s="32"/>
      <c r="F165" s="32"/>
      <c r="G165" s="32"/>
    </row>
    <row r="166" spans="2:7">
      <c r="B166" s="510"/>
      <c r="D166" s="32"/>
      <c r="E166" s="32"/>
      <c r="F166" s="32"/>
      <c r="G166" s="32"/>
    </row>
    <row r="167" spans="2:7">
      <c r="B167" s="510"/>
      <c r="D167" s="32"/>
      <c r="E167" s="32"/>
      <c r="F167" s="32"/>
      <c r="G167" s="32"/>
    </row>
    <row r="168" spans="2:7">
      <c r="B168" s="510"/>
      <c r="D168" s="32"/>
      <c r="E168" s="32"/>
      <c r="F168" s="32"/>
      <c r="G168" s="32"/>
    </row>
    <row r="169" spans="2:7">
      <c r="B169" s="510"/>
      <c r="D169" s="32"/>
      <c r="E169" s="32"/>
      <c r="F169" s="32"/>
      <c r="G169" s="32"/>
    </row>
    <row r="170" spans="2:7">
      <c r="B170" s="510"/>
      <c r="D170" s="32"/>
      <c r="E170" s="32"/>
      <c r="F170" s="32"/>
      <c r="G170" s="32"/>
    </row>
    <row r="171" spans="2:7">
      <c r="B171" s="510"/>
      <c r="D171" s="32"/>
      <c r="E171" s="32"/>
      <c r="F171" s="32"/>
      <c r="G171" s="32"/>
    </row>
    <row r="172" spans="2:7">
      <c r="B172" s="510"/>
      <c r="D172" s="32"/>
      <c r="E172" s="32"/>
      <c r="F172" s="32"/>
      <c r="G172" s="32"/>
    </row>
    <row r="173" spans="2:7">
      <c r="B173" s="510"/>
      <c r="D173" s="32"/>
      <c r="E173" s="32"/>
      <c r="F173" s="32"/>
      <c r="G173" s="32"/>
    </row>
    <row r="174" spans="2:7">
      <c r="B174" s="510"/>
      <c r="D174" s="32"/>
      <c r="E174" s="32"/>
      <c r="F174" s="32"/>
      <c r="G174" s="32"/>
    </row>
    <row r="175" spans="2:7">
      <c r="B175" s="510"/>
      <c r="D175" s="32"/>
      <c r="E175" s="32"/>
      <c r="F175" s="32"/>
      <c r="G175" s="32"/>
    </row>
    <row r="176" spans="2:7">
      <c r="B176" s="510"/>
      <c r="D176" s="32"/>
      <c r="E176" s="32"/>
      <c r="F176" s="32"/>
      <c r="G176" s="32"/>
    </row>
    <row r="177" spans="2:7">
      <c r="B177" s="510"/>
      <c r="D177" s="32"/>
      <c r="E177" s="32"/>
      <c r="F177" s="32"/>
      <c r="G177" s="32"/>
    </row>
    <row r="178" spans="2:7">
      <c r="D178" s="32"/>
      <c r="E178" s="32"/>
    </row>
    <row r="179" spans="2:7">
      <c r="D179" s="32"/>
      <c r="E179" s="32"/>
    </row>
    <row r="180" spans="2:7">
      <c r="D180" s="32"/>
      <c r="E180" s="32"/>
    </row>
    <row r="181" spans="2:7">
      <c r="D181" s="32"/>
      <c r="E181" s="32"/>
    </row>
    <row r="182" spans="2:7">
      <c r="D182" s="32"/>
      <c r="E182" s="32"/>
    </row>
    <row r="183" spans="2:7">
      <c r="D183" s="32"/>
      <c r="E183" s="32"/>
    </row>
    <row r="184" spans="2:7">
      <c r="D184" s="32"/>
      <c r="E184" s="32"/>
    </row>
    <row r="185" spans="2:7">
      <c r="D185" s="32"/>
      <c r="E185" s="32"/>
    </row>
    <row r="186" spans="2:7">
      <c r="D186" s="32"/>
      <c r="E186" s="32"/>
    </row>
    <row r="187" spans="2:7">
      <c r="D187" s="32"/>
      <c r="E187" s="32"/>
    </row>
    <row r="188" spans="2:7">
      <c r="D188" s="32"/>
      <c r="E188" s="32"/>
    </row>
    <row r="189" spans="2:7">
      <c r="D189" s="32"/>
      <c r="E189" s="32"/>
    </row>
    <row r="190" spans="2:7">
      <c r="D190" s="32"/>
      <c r="E190" s="32"/>
    </row>
    <row r="191" spans="2:7">
      <c r="D191" s="32"/>
      <c r="E191" s="32"/>
    </row>
    <row r="192" spans="2:7">
      <c r="D192" s="32"/>
      <c r="E192" s="32"/>
    </row>
    <row r="193" spans="4:5">
      <c r="D193" s="32"/>
      <c r="E193" s="32"/>
    </row>
    <row r="194" spans="4:5">
      <c r="D194" s="32"/>
      <c r="E194" s="32"/>
    </row>
    <row r="195" spans="4:5">
      <c r="D195" s="32"/>
      <c r="E195" s="32"/>
    </row>
    <row r="196" spans="4:5">
      <c r="D196" s="32"/>
      <c r="E196" s="32"/>
    </row>
    <row r="197" spans="4:5">
      <c r="D197" s="32"/>
      <c r="E197" s="32"/>
    </row>
    <row r="198" spans="4:5">
      <c r="D198" s="32"/>
      <c r="E198" s="32"/>
    </row>
    <row r="199" spans="4:5">
      <c r="D199" s="32"/>
      <c r="E199" s="32"/>
    </row>
    <row r="200" spans="4:5">
      <c r="D200" s="32"/>
      <c r="E200" s="32"/>
    </row>
    <row r="201" spans="4:5">
      <c r="D201" s="32"/>
      <c r="E201" s="32"/>
    </row>
    <row r="202" spans="4:5">
      <c r="D202" s="32"/>
      <c r="E202" s="32"/>
    </row>
    <row r="203" spans="4:5">
      <c r="D203" s="32"/>
      <c r="E203" s="32"/>
    </row>
    <row r="204" spans="4:5">
      <c r="D204" s="32"/>
      <c r="E204" s="32"/>
    </row>
    <row r="205" spans="4:5">
      <c r="D205" s="32"/>
      <c r="E205" s="32"/>
    </row>
    <row r="206" spans="4:5">
      <c r="D206" s="32"/>
      <c r="E206" s="32"/>
    </row>
    <row r="207" spans="4:5">
      <c r="D207" s="32"/>
      <c r="E207" s="32"/>
    </row>
    <row r="208" spans="4:5">
      <c r="D208" s="32"/>
      <c r="E208" s="32"/>
    </row>
    <row r="209" spans="4:5">
      <c r="D209" s="32"/>
      <c r="E209" s="32"/>
    </row>
    <row r="210" spans="4:5">
      <c r="D210" s="32"/>
      <c r="E210" s="32"/>
    </row>
    <row r="211" spans="4:5">
      <c r="D211" s="32"/>
      <c r="E211" s="32"/>
    </row>
    <row r="212" spans="4:5">
      <c r="D212" s="32"/>
      <c r="E212" s="32"/>
    </row>
    <row r="213" spans="4:5">
      <c r="D213" s="32"/>
      <c r="E213" s="32"/>
    </row>
    <row r="214" spans="4:5">
      <c r="D214" s="32"/>
      <c r="E214" s="32"/>
    </row>
    <row r="215" spans="4:5">
      <c r="D215" s="32"/>
      <c r="E215" s="32"/>
    </row>
    <row r="216" spans="4:5">
      <c r="D216" s="32"/>
      <c r="E216" s="32"/>
    </row>
    <row r="217" spans="4:5">
      <c r="D217" s="32"/>
      <c r="E217" s="32"/>
    </row>
    <row r="218" spans="4:5">
      <c r="D218" s="32"/>
      <c r="E218" s="32"/>
    </row>
    <row r="219" spans="4:5">
      <c r="D219" s="32"/>
      <c r="E219" s="32"/>
    </row>
    <row r="220" spans="4:5">
      <c r="D220" s="32"/>
      <c r="E220" s="32"/>
    </row>
    <row r="221" spans="4:5">
      <c r="D221" s="32"/>
      <c r="E221" s="32"/>
    </row>
    <row r="222" spans="4:5">
      <c r="D222" s="32"/>
      <c r="E222" s="32"/>
    </row>
    <row r="223" spans="4:5">
      <c r="D223" s="32"/>
      <c r="E223" s="32"/>
    </row>
    <row r="224" spans="4:5">
      <c r="D224" s="32"/>
      <c r="E224" s="32"/>
    </row>
    <row r="225" spans="4:5">
      <c r="D225" s="32"/>
      <c r="E225" s="32"/>
    </row>
    <row r="226" spans="4:5">
      <c r="D226" s="32"/>
      <c r="E226" s="32"/>
    </row>
    <row r="227" spans="4:5">
      <c r="D227" s="32"/>
      <c r="E227" s="32"/>
    </row>
    <row r="228" spans="4:5">
      <c r="D228" s="32"/>
      <c r="E228" s="32"/>
    </row>
    <row r="229" spans="4:5">
      <c r="D229" s="32"/>
      <c r="E229" s="32"/>
    </row>
    <row r="230" spans="4:5">
      <c r="D230" s="32"/>
      <c r="E230" s="32"/>
    </row>
    <row r="231" spans="4:5">
      <c r="D231" s="32"/>
      <c r="E231" s="32"/>
    </row>
    <row r="232" spans="4:5">
      <c r="D232" s="32"/>
      <c r="E232" s="32"/>
    </row>
    <row r="233" spans="4:5">
      <c r="D233" s="32"/>
      <c r="E233" s="32"/>
    </row>
    <row r="234" spans="4:5">
      <c r="D234" s="32"/>
      <c r="E234" s="32"/>
    </row>
    <row r="235" spans="4:5">
      <c r="D235" s="32"/>
      <c r="E235" s="32"/>
    </row>
    <row r="236" spans="4:5">
      <c r="D236" s="32"/>
      <c r="E236" s="32"/>
    </row>
    <row r="237" spans="4:5">
      <c r="D237" s="32"/>
      <c r="E237" s="32"/>
    </row>
    <row r="238" spans="4:5">
      <c r="D238" s="32"/>
      <c r="E238" s="32"/>
    </row>
    <row r="239" spans="4:5">
      <c r="D239" s="32"/>
      <c r="E239" s="32"/>
    </row>
    <row r="240" spans="4:5">
      <c r="D240" s="32"/>
      <c r="E240" s="32"/>
    </row>
    <row r="241" customFormat="1" ht="12.75"/>
    <row r="242" customFormat="1" ht="12.75"/>
    <row r="243" customFormat="1" ht="12.75"/>
    <row r="244" customFormat="1" ht="12.75"/>
    <row r="245" customFormat="1" ht="12.75"/>
    <row r="246" customFormat="1" ht="12.75"/>
    <row r="247" customFormat="1" ht="12.75"/>
    <row r="248" customFormat="1" ht="12.75"/>
    <row r="249" customFormat="1" ht="12.75"/>
    <row r="250" customFormat="1" ht="12.75"/>
    <row r="251" customFormat="1" ht="12.75"/>
    <row r="252" customFormat="1" ht="12.75"/>
    <row r="253" customFormat="1" ht="12.75"/>
    <row r="254" customFormat="1" ht="12.75"/>
    <row r="255" customFormat="1" ht="12.75"/>
    <row r="256" customFormat="1" ht="12.75"/>
    <row r="257" spans="4:5" customFormat="1" ht="12.75"/>
    <row r="258" spans="4:5" customFormat="1" ht="12.75"/>
    <row r="259" spans="4:5" customFormat="1" ht="12.75"/>
    <row r="260" spans="4:5" customFormat="1" ht="12.75"/>
    <row r="261" spans="4:5">
      <c r="D261" s="32"/>
      <c r="E261" s="32"/>
    </row>
    <row r="262" spans="4:5">
      <c r="D262" s="32"/>
      <c r="E262" s="32"/>
    </row>
    <row r="263" spans="4:5">
      <c r="D263" s="32"/>
      <c r="E263" s="32"/>
    </row>
    <row r="264" spans="4:5">
      <c r="D264" s="32"/>
      <c r="E264" s="32"/>
    </row>
    <row r="265" spans="4:5">
      <c r="D265" s="32"/>
      <c r="E265" s="32"/>
    </row>
    <row r="266" spans="4:5">
      <c r="D266" s="32"/>
      <c r="E266" s="32"/>
    </row>
    <row r="267" spans="4:5">
      <c r="D267" s="32"/>
      <c r="E267" s="32"/>
    </row>
    <row r="268" spans="4:5">
      <c r="D268" s="32"/>
      <c r="E268" s="32"/>
    </row>
    <row r="269" spans="4:5">
      <c r="D269" s="32"/>
      <c r="E269" s="32"/>
    </row>
    <row r="270" spans="4:5">
      <c r="D270" s="32"/>
      <c r="E270" s="32"/>
    </row>
    <row r="271" spans="4:5">
      <c r="D271" s="32"/>
      <c r="E271" s="32"/>
    </row>
    <row r="272" spans="4:5">
      <c r="D272" s="32"/>
      <c r="E272" s="32"/>
    </row>
    <row r="273" spans="4:5">
      <c r="D273" s="32"/>
      <c r="E273" s="32"/>
    </row>
    <row r="274" spans="4:5">
      <c r="D274" s="32"/>
      <c r="E274" s="32"/>
    </row>
    <row r="275" spans="4:5">
      <c r="D275" s="32"/>
      <c r="E275" s="32"/>
    </row>
    <row r="276" spans="4:5">
      <c r="D276" s="32"/>
      <c r="E276" s="32"/>
    </row>
    <row r="277" spans="4:5">
      <c r="D277" s="32"/>
      <c r="E277" s="32"/>
    </row>
    <row r="278" spans="4:5">
      <c r="D278" s="32"/>
      <c r="E278" s="32"/>
    </row>
    <row r="279" spans="4:5">
      <c r="D279" s="32"/>
      <c r="E279" s="32"/>
    </row>
    <row r="280" spans="4:5">
      <c r="D280" s="32"/>
      <c r="E280" s="32"/>
    </row>
    <row r="281" spans="4:5">
      <c r="D281" s="32"/>
      <c r="E281" s="32"/>
    </row>
    <row r="282" spans="4:5">
      <c r="D282" s="32"/>
      <c r="E282" s="32"/>
    </row>
    <row r="283" spans="4:5">
      <c r="D283" s="32"/>
      <c r="E283" s="32"/>
    </row>
    <row r="284" spans="4:5">
      <c r="D284" s="32"/>
      <c r="E284" s="32"/>
    </row>
    <row r="285" spans="4:5">
      <c r="D285" s="32"/>
      <c r="E285" s="32"/>
    </row>
    <row r="286" spans="4:5">
      <c r="D286" s="32"/>
      <c r="E286" s="32"/>
    </row>
    <row r="287" spans="4:5">
      <c r="D287" s="32"/>
      <c r="E287" s="32"/>
    </row>
    <row r="288" spans="4:5">
      <c r="D288" s="32"/>
      <c r="E288" s="32"/>
    </row>
    <row r="289" spans="4:5">
      <c r="D289" s="32"/>
      <c r="E289" s="32"/>
    </row>
    <row r="290" spans="4:5">
      <c r="D290" s="32"/>
      <c r="E290" s="32"/>
    </row>
    <row r="291" spans="4:5">
      <c r="D291" s="32"/>
      <c r="E291" s="32"/>
    </row>
    <row r="292" spans="4:5">
      <c r="D292" s="32"/>
      <c r="E292" s="32"/>
    </row>
    <row r="293" spans="4:5">
      <c r="D293" s="32"/>
      <c r="E293" s="32"/>
    </row>
    <row r="294" spans="4:5">
      <c r="D294" s="32"/>
      <c r="E294" s="32"/>
    </row>
    <row r="295" spans="4:5">
      <c r="D295" s="32"/>
      <c r="E295" s="32"/>
    </row>
    <row r="296" spans="4:5">
      <c r="D296" s="32"/>
      <c r="E296" s="32"/>
    </row>
    <row r="297" spans="4:5">
      <c r="D297" s="32"/>
      <c r="E297" s="32"/>
    </row>
    <row r="298" spans="4:5">
      <c r="D298" s="32"/>
      <c r="E298" s="32"/>
    </row>
    <row r="299" spans="4:5">
      <c r="D299" s="32"/>
      <c r="E299" s="32"/>
    </row>
    <row r="300" spans="4:5">
      <c r="D300" s="32"/>
      <c r="E300" s="32"/>
    </row>
    <row r="301" spans="4:5">
      <c r="D301" s="32"/>
      <c r="E301" s="32"/>
    </row>
    <row r="302" spans="4:5">
      <c r="D302" s="32"/>
      <c r="E302" s="32"/>
    </row>
    <row r="303" spans="4:5">
      <c r="D303" s="32"/>
      <c r="E303" s="32"/>
    </row>
    <row r="304" spans="4:5">
      <c r="D304" s="32"/>
      <c r="E304" s="32"/>
    </row>
    <row r="305" spans="4:5">
      <c r="D305" s="32"/>
      <c r="E305" s="32"/>
    </row>
    <row r="306" spans="4:5">
      <c r="D306" s="32"/>
      <c r="E306" s="32"/>
    </row>
    <row r="307" spans="4:5">
      <c r="D307" s="32"/>
      <c r="E307" s="32"/>
    </row>
    <row r="308" spans="4:5">
      <c r="D308" s="32"/>
      <c r="E308" s="32"/>
    </row>
    <row r="309" spans="4:5">
      <c r="D309" s="32"/>
      <c r="E309" s="32"/>
    </row>
    <row r="310" spans="4:5">
      <c r="D310" s="32"/>
      <c r="E310" s="32"/>
    </row>
    <row r="311" spans="4:5">
      <c r="D311" s="32"/>
      <c r="E311" s="32"/>
    </row>
    <row r="312" spans="4:5">
      <c r="D312" s="32"/>
      <c r="E312" s="32"/>
    </row>
    <row r="313" spans="4:5">
      <c r="D313" s="32"/>
      <c r="E313" s="32"/>
    </row>
    <row r="314" spans="4:5">
      <c r="D314" s="32"/>
      <c r="E314" s="32"/>
    </row>
    <row r="315" spans="4:5">
      <c r="D315" s="32"/>
      <c r="E315" s="32"/>
    </row>
    <row r="316" spans="4:5">
      <c r="D316" s="32"/>
      <c r="E316" s="32"/>
    </row>
    <row r="317" spans="4:5">
      <c r="D317" s="32"/>
      <c r="E317" s="32"/>
    </row>
    <row r="318" spans="4:5">
      <c r="D318" s="32"/>
      <c r="E318" s="32"/>
    </row>
    <row r="319" spans="4:5">
      <c r="D319" s="32"/>
      <c r="E319" s="32"/>
    </row>
    <row r="320" spans="4:5">
      <c r="D320" s="32"/>
      <c r="E320" s="32"/>
    </row>
    <row r="321" spans="4:5">
      <c r="D321" s="32"/>
      <c r="E321" s="32"/>
    </row>
    <row r="322" spans="4:5">
      <c r="D322" s="32"/>
      <c r="E322" s="32"/>
    </row>
    <row r="323" spans="4:5">
      <c r="D323" s="32"/>
      <c r="E323" s="32"/>
    </row>
    <row r="324" spans="4:5">
      <c r="D324" s="32"/>
      <c r="E324" s="32"/>
    </row>
    <row r="325" spans="4:5">
      <c r="D325" s="32"/>
      <c r="E325" s="32"/>
    </row>
    <row r="326" spans="4:5">
      <c r="D326" s="32"/>
      <c r="E326" s="32"/>
    </row>
    <row r="327" spans="4:5">
      <c r="D327" s="32"/>
      <c r="E327" s="32"/>
    </row>
    <row r="328" spans="4:5">
      <c r="D328" s="32"/>
      <c r="E328" s="32"/>
    </row>
    <row r="329" spans="4:5">
      <c r="D329" s="32"/>
      <c r="E329" s="32"/>
    </row>
    <row r="330" spans="4:5">
      <c r="D330" s="32"/>
      <c r="E330" s="32"/>
    </row>
    <row r="331" spans="4:5">
      <c r="D331" s="32"/>
      <c r="E331" s="32"/>
    </row>
    <row r="332" spans="4:5">
      <c r="D332" s="32"/>
      <c r="E332" s="32"/>
    </row>
    <row r="333" spans="4:5">
      <c r="D333" s="32"/>
      <c r="E333" s="32"/>
    </row>
    <row r="334" spans="4:5">
      <c r="D334" s="32"/>
      <c r="E334" s="32"/>
    </row>
    <row r="335" spans="4:5">
      <c r="D335" s="32"/>
      <c r="E335" s="32"/>
    </row>
    <row r="336" spans="4:5">
      <c r="D336" s="32"/>
      <c r="E336" s="32"/>
    </row>
    <row r="337" spans="4:5">
      <c r="D337" s="32"/>
      <c r="E337" s="32"/>
    </row>
    <row r="338" spans="4:5">
      <c r="D338" s="32"/>
      <c r="E338" s="32"/>
    </row>
    <row r="339" spans="4:5">
      <c r="D339" s="32"/>
      <c r="E339" s="32"/>
    </row>
    <row r="340" spans="4:5">
      <c r="D340" s="32"/>
      <c r="E340" s="32"/>
    </row>
    <row r="341" spans="4:5">
      <c r="D341" s="32"/>
      <c r="E341" s="32"/>
    </row>
    <row r="342" spans="4:5">
      <c r="D342" s="32"/>
      <c r="E342" s="32"/>
    </row>
    <row r="343" spans="4:5">
      <c r="D343" s="32"/>
      <c r="E343" s="32"/>
    </row>
    <row r="344" spans="4:5">
      <c r="D344" s="32"/>
      <c r="E344" s="32"/>
    </row>
    <row r="345" spans="4:5">
      <c r="D345" s="32"/>
      <c r="E345" s="32"/>
    </row>
    <row r="346" spans="4:5">
      <c r="D346" s="32"/>
      <c r="E346" s="32"/>
    </row>
    <row r="347" spans="4:5">
      <c r="D347" s="32"/>
      <c r="E347" s="32"/>
    </row>
    <row r="348" spans="4:5">
      <c r="D348" s="32"/>
      <c r="E348" s="32"/>
    </row>
    <row r="349" spans="4:5">
      <c r="D349" s="32"/>
      <c r="E349" s="32"/>
    </row>
    <row r="350" spans="4:5">
      <c r="D350" s="32"/>
      <c r="E350" s="32"/>
    </row>
    <row r="351" spans="4:5">
      <c r="D351" s="32"/>
      <c r="E351" s="32"/>
    </row>
    <row r="352" spans="4:5">
      <c r="D352" s="32"/>
      <c r="E352" s="32"/>
    </row>
    <row r="353" spans="4:5">
      <c r="D353" s="32"/>
      <c r="E353" s="32"/>
    </row>
    <row r="354" spans="4:5">
      <c r="D354" s="32"/>
      <c r="E354" s="32"/>
    </row>
    <row r="355" spans="4:5">
      <c r="D355" s="32"/>
      <c r="E355" s="32"/>
    </row>
    <row r="356" spans="4:5">
      <c r="D356" s="32"/>
      <c r="E356" s="32"/>
    </row>
    <row r="357" spans="4:5">
      <c r="D357" s="32"/>
      <c r="E357" s="32"/>
    </row>
    <row r="358" spans="4:5">
      <c r="D358" s="32"/>
      <c r="E358" s="32"/>
    </row>
    <row r="359" spans="4:5">
      <c r="D359" s="32"/>
      <c r="E359" s="32"/>
    </row>
    <row r="360" spans="4:5">
      <c r="D360" s="32"/>
      <c r="E360" s="32"/>
    </row>
    <row r="361" spans="4:5">
      <c r="D361" s="32"/>
      <c r="E361" s="32"/>
    </row>
    <row r="362" spans="4:5">
      <c r="D362" s="32"/>
      <c r="E362" s="32"/>
    </row>
    <row r="363" spans="4:5">
      <c r="D363" s="32"/>
      <c r="E363" s="32"/>
    </row>
    <row r="364" spans="4:5">
      <c r="D364" s="32"/>
      <c r="E364" s="32"/>
    </row>
    <row r="365" spans="4:5">
      <c r="D365" s="32"/>
      <c r="E365" s="32"/>
    </row>
    <row r="366" spans="4:5">
      <c r="D366" s="32"/>
      <c r="E366" s="32"/>
    </row>
    <row r="367" spans="4:5">
      <c r="D367" s="32"/>
      <c r="E367" s="32"/>
    </row>
    <row r="368" spans="4:5">
      <c r="D368" s="32"/>
      <c r="E368" s="32"/>
    </row>
    <row r="369" spans="4:5">
      <c r="D369" s="32"/>
      <c r="E369" s="32"/>
    </row>
    <row r="370" spans="4:5">
      <c r="D370" s="32"/>
      <c r="E370" s="32"/>
    </row>
    <row r="371" spans="4:5">
      <c r="D371" s="32"/>
      <c r="E371" s="32"/>
    </row>
    <row r="372" spans="4:5">
      <c r="D372" s="32"/>
      <c r="E372" s="32"/>
    </row>
    <row r="373" spans="4:5">
      <c r="D373" s="32"/>
      <c r="E373" s="32"/>
    </row>
    <row r="374" spans="4:5">
      <c r="D374" s="32"/>
      <c r="E374" s="32"/>
    </row>
    <row r="375" spans="4:5">
      <c r="D375" s="32"/>
      <c r="E375" s="32"/>
    </row>
    <row r="376" spans="4:5">
      <c r="D376" s="32"/>
      <c r="E376" s="32"/>
    </row>
    <row r="377" spans="4:5">
      <c r="D377" s="32"/>
      <c r="E377" s="32"/>
    </row>
    <row r="378" spans="4:5">
      <c r="D378" s="32"/>
      <c r="E378" s="32"/>
    </row>
    <row r="379" spans="4:5">
      <c r="D379" s="32"/>
      <c r="E379" s="32"/>
    </row>
    <row r="380" spans="4:5">
      <c r="D380" s="32"/>
      <c r="E380" s="32"/>
    </row>
    <row r="381" spans="4:5">
      <c r="D381" s="32"/>
      <c r="E381" s="32"/>
    </row>
    <row r="382" spans="4:5">
      <c r="D382" s="32"/>
      <c r="E382" s="32"/>
    </row>
    <row r="383" spans="4:5">
      <c r="D383" s="32"/>
      <c r="E383" s="32"/>
    </row>
    <row r="384" spans="4:5">
      <c r="D384" s="32"/>
      <c r="E384" s="32"/>
    </row>
    <row r="385" spans="4:5">
      <c r="D385" s="32"/>
      <c r="E385" s="32"/>
    </row>
    <row r="386" spans="4:5">
      <c r="D386" s="32"/>
      <c r="E386" s="32"/>
    </row>
    <row r="387" spans="4:5">
      <c r="D387" s="32"/>
      <c r="E387" s="32"/>
    </row>
    <row r="388" spans="4:5">
      <c r="D388" s="32"/>
      <c r="E388" s="32"/>
    </row>
    <row r="389" spans="4:5">
      <c r="D389" s="32"/>
      <c r="E389" s="32"/>
    </row>
    <row r="390" spans="4:5">
      <c r="D390" s="32"/>
      <c r="E390" s="32"/>
    </row>
    <row r="391" spans="4:5">
      <c r="D391" s="32"/>
      <c r="E391" s="32"/>
    </row>
    <row r="392" spans="4:5">
      <c r="D392" s="32"/>
      <c r="E392" s="32"/>
    </row>
    <row r="393" spans="4:5">
      <c r="D393" s="32"/>
      <c r="E393" s="32"/>
    </row>
    <row r="394" spans="4:5">
      <c r="D394" s="32"/>
      <c r="E394" s="32"/>
    </row>
    <row r="395" spans="4:5">
      <c r="D395" s="32"/>
      <c r="E395" s="32"/>
    </row>
    <row r="396" spans="4:5">
      <c r="D396" s="32"/>
      <c r="E396" s="32"/>
    </row>
    <row r="397" spans="4:5">
      <c r="D397" s="32"/>
      <c r="E397" s="32"/>
    </row>
    <row r="398" spans="4:5">
      <c r="D398" s="32"/>
      <c r="E398" s="32"/>
    </row>
    <row r="399" spans="4:5">
      <c r="D399" s="32"/>
      <c r="E399" s="32"/>
    </row>
    <row r="400" spans="4:5">
      <c r="D400" s="32"/>
      <c r="E400" s="32"/>
    </row>
    <row r="401" spans="4:5">
      <c r="D401" s="32"/>
      <c r="E401" s="32"/>
    </row>
    <row r="402" spans="4:5">
      <c r="D402" s="32"/>
      <c r="E402" s="32"/>
    </row>
    <row r="403" spans="4:5">
      <c r="D403" s="32"/>
      <c r="E403" s="32"/>
    </row>
  </sheetData>
  <conditionalFormatting sqref="B8">
    <cfRule type="duplicateValues" dxfId="4" priority="4" stopIfTrue="1"/>
  </conditionalFormatting>
  <conditionalFormatting sqref="B19">
    <cfRule type="duplicateValues" dxfId="3" priority="3" stopIfTrue="1"/>
  </conditionalFormatting>
  <conditionalFormatting sqref="B261:B1048576 B6:B7 B9:B18 C24:G26 B20:B240">
    <cfRule type="duplicateValues" dxfId="2" priority="5" stopIfTrue="1"/>
  </conditionalFormatting>
  <pageMargins left="0.7" right="0.7" top="0.75" bottom="0.75" header="0.3" footer="0.3"/>
  <pageSetup paperSize="9" orientation="portrait" horizontalDpi="0" verticalDpi="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6">
    <tabColor theme="9" tint="-0.249977111117893"/>
  </sheetPr>
  <dimension ref="A1:J51"/>
  <sheetViews>
    <sheetView workbookViewId="0">
      <selection activeCell="C44" sqref="C44"/>
    </sheetView>
  </sheetViews>
  <sheetFormatPr defaultColWidth="11.42578125" defaultRowHeight="11.25"/>
  <cols>
    <col min="1" max="1" width="12.42578125" style="21" customWidth="1"/>
    <col min="2" max="2" width="11" style="21" customWidth="1"/>
    <col min="3" max="3" width="27.42578125" style="21" customWidth="1"/>
    <col min="4" max="4" width="10.140625" style="21" customWidth="1"/>
    <col min="5" max="5" width="28.7109375" style="21" customWidth="1"/>
    <col min="6" max="16384" width="11.42578125" style="21"/>
  </cols>
  <sheetData>
    <row r="1" spans="1:10">
      <c r="A1" s="20"/>
    </row>
    <row r="3" spans="1:10" ht="18.75" customHeight="1"/>
    <row r="4" spans="1:10">
      <c r="B4" s="21" t="s">
        <v>949</v>
      </c>
    </row>
    <row r="5" spans="1:10">
      <c r="B5" s="20" t="s">
        <v>940</v>
      </c>
      <c r="C5" s="20" t="s">
        <v>941</v>
      </c>
      <c r="D5" s="20" t="s">
        <v>942</v>
      </c>
      <c r="E5" s="20" t="s">
        <v>943</v>
      </c>
      <c r="F5" s="20" t="s">
        <v>944</v>
      </c>
      <c r="G5" s="21" t="s">
        <v>945</v>
      </c>
      <c r="H5" s="21" t="s">
        <v>946</v>
      </c>
      <c r="I5" s="20"/>
      <c r="J5" s="20"/>
    </row>
    <row r="6" spans="1:10">
      <c r="A6" s="21" t="str">
        <f>IF(B6=0,"*","")</f>
        <v/>
      </c>
      <c r="B6" s="21" t="str">
        <f>Energy_Balance!B15</f>
        <v>RLEL</v>
      </c>
      <c r="C6" s="21" t="str">
        <f>IF($A6="*","","Residential - "&amp;Energy_Balance!C15&amp;IF(Energy_Balance!D15="L"," - Low income", IF(Energy_Balance!D15="M"," - Middle income"," - High income")))</f>
        <v>Residential - Lighting - Low income</v>
      </c>
      <c r="D6" s="32" t="str">
        <f>IF($A6="*","","PJ")</f>
        <v>PJ</v>
      </c>
      <c r="E6" s="21" t="s">
        <v>948</v>
      </c>
      <c r="F6" s="21" t="s">
        <v>947</v>
      </c>
    </row>
    <row r="7" spans="1:10">
      <c r="A7" s="21" t="str">
        <f>IF(B7=0,"*","")</f>
        <v/>
      </c>
      <c r="B7" s="21" t="str">
        <f>Energy_Balance!B16</f>
        <v>RLNL</v>
      </c>
      <c r="C7" s="21" t="str">
        <f>IF($A7="*","","Residential - "&amp;Energy_Balance!C16&amp;IF(Energy_Balance!D16="L"," - Low income", IF(Energy_Balance!D16="M"," - Middle income"," - High income")))</f>
        <v>Residential - Lighting - Low income</v>
      </c>
      <c r="D7" s="32" t="str">
        <f>IF($A7="*","","PJ")</f>
        <v>PJ</v>
      </c>
      <c r="E7" s="21" t="s">
        <v>948</v>
      </c>
      <c r="F7" s="21" t="s">
        <v>947</v>
      </c>
    </row>
    <row r="8" spans="1:10">
      <c r="A8" s="21" t="str">
        <f t="shared" ref="A8:A49" si="0">IF(B8=0,"*","")</f>
        <v/>
      </c>
      <c r="B8" s="21" t="str">
        <f>Energy_Balance!B17</f>
        <v>RLEK</v>
      </c>
      <c r="C8" s="21" t="str">
        <f>IF($A8="*","","Residential - "&amp;Energy_Balance!C17&amp;IF(Energy_Balance!D17="L"," - Low income", IF(Energy_Balance!D17="M"," - Middle income"," - High income")))</f>
        <v>Residential - Cooking - Low income</v>
      </c>
      <c r="D8" s="32" t="str">
        <f t="shared" ref="D8:D35" si="1">IF($A8="*","","PJ")</f>
        <v>PJ</v>
      </c>
      <c r="E8" s="21" t="s">
        <v>948</v>
      </c>
      <c r="F8" s="21" t="s">
        <v>947</v>
      </c>
    </row>
    <row r="9" spans="1:10">
      <c r="A9" s="21" t="str">
        <f t="shared" si="0"/>
        <v/>
      </c>
      <c r="B9" s="21" t="str">
        <f>Energy_Balance!B18</f>
        <v>RLEH</v>
      </c>
      <c r="C9" s="21" t="str">
        <f>IF($A9="*","","Residential - "&amp;Energy_Balance!C18&amp;IF(Energy_Balance!D18="L"," - Low income", IF(Energy_Balance!D18="M"," - Middle income"," - High income")))</f>
        <v>Residential - Heating - Low income</v>
      </c>
      <c r="D9" s="32" t="str">
        <f t="shared" si="1"/>
        <v>PJ</v>
      </c>
      <c r="E9" s="21" t="s">
        <v>948</v>
      </c>
      <c r="F9" s="21" t="s">
        <v>947</v>
      </c>
    </row>
    <row r="10" spans="1:10">
      <c r="A10" s="21" t="str">
        <f t="shared" si="0"/>
        <v/>
      </c>
      <c r="B10" s="21" t="str">
        <f>Energy_Balance!B19</f>
        <v>RLEW</v>
      </c>
      <c r="C10" s="21" t="str">
        <f>IF($A10="*","","Residential - "&amp;Energy_Balance!C19&amp;IF(Energy_Balance!D19="L"," - Low income", IF(Energy_Balance!D19="M"," - Middle income"," - High income")))</f>
        <v>Residential - Water heating - Low income</v>
      </c>
      <c r="D10" s="32" t="str">
        <f t="shared" si="1"/>
        <v>PJ</v>
      </c>
      <c r="E10" s="21" t="s">
        <v>948</v>
      </c>
      <c r="F10" s="21" t="s">
        <v>947</v>
      </c>
    </row>
    <row r="11" spans="1:10">
      <c r="A11" s="21" t="str">
        <f t="shared" si="0"/>
        <v/>
      </c>
      <c r="B11" s="21" t="str">
        <f>Energy_Balance!B20</f>
        <v>RLEWG</v>
      </c>
      <c r="C11" s="21" t="str">
        <f>IF($A11="*","","Residential - "&amp;Energy_Balance!C20&amp;IF(Energy_Balance!D20="L"," - Low income", IF(Energy_Balance!D20="M"," - Middle income"," - High income")))</f>
        <v>Residential - Water heating - Low income</v>
      </c>
      <c r="D11" s="32" t="str">
        <f t="shared" si="1"/>
        <v>PJ</v>
      </c>
      <c r="E11" s="21" t="s">
        <v>948</v>
      </c>
      <c r="F11" s="21" t="s">
        <v>947</v>
      </c>
    </row>
    <row r="12" spans="1:10">
      <c r="A12" s="21" t="str">
        <f t="shared" si="0"/>
        <v/>
      </c>
      <c r="B12" s="21" t="str">
        <f>Energy_Balance!B21</f>
        <v>RLER</v>
      </c>
      <c r="C12" s="21" t="str">
        <f>IF($A12="*","","Residential - "&amp;Energy_Balance!C21&amp;IF(Energy_Balance!D21="L"," - Low income", IF(Energy_Balance!D21="M"," - Middle income"," - High income")))</f>
        <v>Residential - Refrigeration - Low income</v>
      </c>
      <c r="D12" s="32" t="str">
        <f t="shared" si="1"/>
        <v>PJ</v>
      </c>
      <c r="E12" s="21" t="s">
        <v>948</v>
      </c>
      <c r="F12" s="21" t="s">
        <v>947</v>
      </c>
    </row>
    <row r="13" spans="1:10">
      <c r="A13" s="21" t="str">
        <f t="shared" si="0"/>
        <v/>
      </c>
      <c r="B13" s="21" t="str">
        <f>Energy_Balance!B22</f>
        <v>RLEO</v>
      </c>
      <c r="C13" s="21" t="str">
        <f>IF($A13="*","","Residential - "&amp;Energy_Balance!C22&amp;IF(Energy_Balance!D22="L"," - Low income", IF(Energy_Balance!D22="M"," - Middle income"," - High income")))</f>
        <v>Residential - Other - Low income</v>
      </c>
      <c r="D13" s="32" t="str">
        <f t="shared" si="1"/>
        <v>PJ</v>
      </c>
      <c r="E13" s="21" t="s">
        <v>948</v>
      </c>
      <c r="F13" s="21" t="s">
        <v>947</v>
      </c>
    </row>
    <row r="14" spans="1:10">
      <c r="A14" s="21" t="str">
        <f t="shared" si="0"/>
        <v/>
      </c>
      <c r="B14" s="21" t="str">
        <f>Energy_Balance!B23</f>
        <v>RMEL</v>
      </c>
      <c r="C14" s="21" t="str">
        <f>IF($A14="*","","Residential - "&amp;Energy_Balance!C23&amp;IF(Energy_Balance!D23="L"," - Low income", IF(Energy_Balance!D23="M"," - Middle income"," - High income")))</f>
        <v>Residential - Lighting - Middle income</v>
      </c>
      <c r="D14" s="32" t="str">
        <f t="shared" si="1"/>
        <v>PJ</v>
      </c>
      <c r="E14" s="21" t="s">
        <v>948</v>
      </c>
      <c r="F14" s="21" t="s">
        <v>947</v>
      </c>
    </row>
    <row r="15" spans="1:10">
      <c r="A15" s="21" t="str">
        <f t="shared" si="0"/>
        <v/>
      </c>
      <c r="B15" s="21" t="str">
        <f>Energy_Balance!B24</f>
        <v>RMNL</v>
      </c>
      <c r="C15" s="21" t="str">
        <f>IF($A15="*","","Residential - "&amp;Energy_Balance!C24&amp;IF(Energy_Balance!D24="L"," - Low income", IF(Energy_Balance!D24="M"," - Middle income"," - High income")))</f>
        <v>Residential - Lighting - Middle income</v>
      </c>
      <c r="D15" s="32" t="str">
        <f t="shared" si="1"/>
        <v>PJ</v>
      </c>
      <c r="E15" s="21" t="s">
        <v>948</v>
      </c>
      <c r="F15" s="21" t="s">
        <v>947</v>
      </c>
    </row>
    <row r="16" spans="1:10">
      <c r="A16" s="21" t="str">
        <f t="shared" si="0"/>
        <v/>
      </c>
      <c r="B16" s="21" t="str">
        <f>Energy_Balance!B25</f>
        <v>RMEK</v>
      </c>
      <c r="C16" s="21" t="str">
        <f>IF($A16="*","","Residential - "&amp;Energy_Balance!C25&amp;IF(Energy_Balance!D25="L"," - Low income", IF(Energy_Balance!D25="M"," - Middle income"," - High income")))</f>
        <v>Residential - Cooking - Middle income</v>
      </c>
      <c r="D16" s="32" t="str">
        <f t="shared" si="1"/>
        <v>PJ</v>
      </c>
      <c r="E16" s="21" t="s">
        <v>948</v>
      </c>
      <c r="F16" s="21" t="s">
        <v>947</v>
      </c>
    </row>
    <row r="17" spans="1:6">
      <c r="A17" s="21" t="str">
        <f t="shared" si="0"/>
        <v/>
      </c>
      <c r="B17" s="21" t="str">
        <f>Energy_Balance!B26</f>
        <v>RMEH</v>
      </c>
      <c r="C17" s="21" t="str">
        <f>IF($A17="*","","Residential - "&amp;Energy_Balance!C26&amp;IF(Energy_Balance!D26="L"," - Low income", IF(Energy_Balance!D26="M"," - Middle income"," - High income")))</f>
        <v>Residential - Heating - Middle income</v>
      </c>
      <c r="D17" s="32" t="str">
        <f t="shared" si="1"/>
        <v>PJ</v>
      </c>
      <c r="E17" s="21" t="s">
        <v>948</v>
      </c>
      <c r="F17" s="21" t="s">
        <v>947</v>
      </c>
    </row>
    <row r="18" spans="1:6">
      <c r="A18" s="21" t="str">
        <f t="shared" ref="A18" si="2">IF(B18=0,"*","")</f>
        <v/>
      </c>
      <c r="B18" s="21" t="str">
        <f>Energy_Balance!B27</f>
        <v>RMEW</v>
      </c>
      <c r="C18" s="21" t="str">
        <f>IF($A18="*","","Residential - "&amp;Energy_Balance!C27&amp;IF(Energy_Balance!D27="L"," - Low income", IF(Energy_Balance!D27="M"," - Middle income"," - High income")))</f>
        <v>Residential - Water heating - Middle income</v>
      </c>
      <c r="D18" s="32" t="str">
        <f t="shared" si="1"/>
        <v>PJ</v>
      </c>
      <c r="E18" s="21" t="s">
        <v>948</v>
      </c>
      <c r="F18" s="21" t="s">
        <v>947</v>
      </c>
    </row>
    <row r="19" spans="1:6">
      <c r="A19" s="21" t="str">
        <f t="shared" si="0"/>
        <v/>
      </c>
      <c r="B19" s="21" t="str">
        <f>Energy_Balance!B28</f>
        <v>RMEWG</v>
      </c>
      <c r="C19" s="21" t="str">
        <f>IF($A19="*","","Residential - "&amp;Energy_Balance!C28&amp;IF(Energy_Balance!D28="L"," - Low income", IF(Energy_Balance!D28="M"," - Middle income"," - High income")))</f>
        <v>Residential - Water heating - Middle income</v>
      </c>
      <c r="D19" s="32" t="str">
        <f t="shared" si="1"/>
        <v>PJ</v>
      </c>
      <c r="E19" s="21" t="s">
        <v>948</v>
      </c>
      <c r="F19" s="21" t="s">
        <v>947</v>
      </c>
    </row>
    <row r="20" spans="1:6">
      <c r="A20" s="21" t="str">
        <f t="shared" si="0"/>
        <v/>
      </c>
      <c r="B20" s="21" t="str">
        <f>Energy_Balance!B29</f>
        <v>RMER</v>
      </c>
      <c r="C20" s="21" t="str">
        <f>IF($A20="*","","Residential - "&amp;Energy_Balance!C29&amp;IF(Energy_Balance!D29="L"," - Low income", IF(Energy_Balance!D29="M"," - Middle income"," - High income")))</f>
        <v>Residential - Refrigeration - Middle income</v>
      </c>
      <c r="D20" s="32" t="str">
        <f t="shared" si="1"/>
        <v>PJ</v>
      </c>
      <c r="E20" s="21" t="s">
        <v>948</v>
      </c>
      <c r="F20" s="21" t="s">
        <v>947</v>
      </c>
    </row>
    <row r="21" spans="1:6">
      <c r="A21" s="21" t="str">
        <f t="shared" si="0"/>
        <v/>
      </c>
      <c r="B21" s="21" t="str">
        <f>Energy_Balance!B30</f>
        <v>RMEO</v>
      </c>
      <c r="C21" s="21" t="str">
        <f>IF($A21="*","","Residential - "&amp;Energy_Balance!C30&amp;IF(Energy_Balance!D30="L"," - Low income", IF(Energy_Balance!D30="M"," - Middle income"," - High income")))</f>
        <v>Residential - Other - Middle income</v>
      </c>
      <c r="D21" s="32" t="str">
        <f t="shared" si="1"/>
        <v>PJ</v>
      </c>
      <c r="E21" s="21" t="s">
        <v>948</v>
      </c>
      <c r="F21" s="21" t="s">
        <v>947</v>
      </c>
    </row>
    <row r="22" spans="1:6">
      <c r="A22" s="21" t="str">
        <f t="shared" si="0"/>
        <v/>
      </c>
      <c r="B22" s="21" t="str">
        <f>Energy_Balance!B31</f>
        <v>RHEL</v>
      </c>
      <c r="C22" s="21" t="str">
        <f>IF($A22="*","","Residential - "&amp;Energy_Balance!C31&amp;IF(Energy_Balance!D31="L"," - Low income", IF(Energy_Balance!D31="M"," - Middle income"," - High income")))</f>
        <v>Residential - Lighting - High income</v>
      </c>
      <c r="D22" s="32" t="str">
        <f t="shared" si="1"/>
        <v>PJ</v>
      </c>
      <c r="E22" s="21" t="s">
        <v>948</v>
      </c>
      <c r="F22" s="21" t="s">
        <v>947</v>
      </c>
    </row>
    <row r="23" spans="1:6">
      <c r="A23" s="21" t="str">
        <f t="shared" si="0"/>
        <v/>
      </c>
      <c r="B23" s="21" t="str">
        <f>Energy_Balance!B32</f>
        <v>RHEK</v>
      </c>
      <c r="C23" s="21" t="str">
        <f>IF($A23="*","","Residential - "&amp;Energy_Balance!C32&amp;IF(Energy_Balance!D32="L"," - Low income", IF(Energy_Balance!D32="M"," - Middle income"," - High income")))</f>
        <v>Residential - Cooking - High income</v>
      </c>
      <c r="D23" s="32" t="str">
        <f t="shared" si="1"/>
        <v>PJ</v>
      </c>
      <c r="E23" s="21" t="s">
        <v>948</v>
      </c>
      <c r="F23" s="21" t="s">
        <v>947</v>
      </c>
    </row>
    <row r="24" spans="1:6">
      <c r="A24" s="21" t="str">
        <f t="shared" si="0"/>
        <v/>
      </c>
      <c r="B24" s="21" t="str">
        <f>Energy_Balance!B33</f>
        <v>RHEH</v>
      </c>
      <c r="C24" s="21" t="str">
        <f>IF($A24="*","","Residential - "&amp;Energy_Balance!C33&amp;IF(Energy_Balance!D33="L"," - Low income", IF(Energy_Balance!D33="M"," - Middle income"," - High income")))</f>
        <v>Residential - Heating - High income</v>
      </c>
      <c r="D24" s="32" t="str">
        <f t="shared" si="1"/>
        <v>PJ</v>
      </c>
      <c r="E24" s="21" t="s">
        <v>948</v>
      </c>
      <c r="F24" s="21" t="s">
        <v>947</v>
      </c>
    </row>
    <row r="25" spans="1:6">
      <c r="A25" s="21" t="str">
        <f t="shared" si="0"/>
        <v/>
      </c>
      <c r="B25" s="21" t="str">
        <f>Energy_Balance!B34</f>
        <v>RHEW</v>
      </c>
      <c r="C25" s="21" t="str">
        <f>IF($A25="*","","Residential - "&amp;Energy_Balance!C34&amp;IF(Energy_Balance!D34="L"," - Low income", IF(Energy_Balance!D34="M"," - Middle income"," - High income")))</f>
        <v>Residential - Water heating - High income</v>
      </c>
      <c r="D25" s="32" t="str">
        <f t="shared" si="1"/>
        <v>PJ</v>
      </c>
      <c r="E25" s="21" t="s">
        <v>948</v>
      </c>
      <c r="F25" s="21" t="s">
        <v>947</v>
      </c>
    </row>
    <row r="26" spans="1:6">
      <c r="A26" s="21" t="str">
        <f t="shared" si="0"/>
        <v/>
      </c>
      <c r="B26" s="21" t="str">
        <f>Energy_Balance!B35</f>
        <v>RHEWG</v>
      </c>
      <c r="C26" s="21" t="str">
        <f>IF($A26="*","","Residential - "&amp;Energy_Balance!C35&amp;IF(Energy_Balance!D35="L"," - Low income", IF(Energy_Balance!D35="M"," - Middle income"," - High income")))</f>
        <v>Residential - Water heating - High income</v>
      </c>
      <c r="D26" s="32" t="str">
        <f t="shared" si="1"/>
        <v>PJ</v>
      </c>
      <c r="E26" s="21" t="s">
        <v>948</v>
      </c>
      <c r="F26" s="21" t="s">
        <v>947</v>
      </c>
    </row>
    <row r="27" spans="1:6">
      <c r="A27" s="21" t="str">
        <f t="shared" si="0"/>
        <v/>
      </c>
      <c r="B27" s="21" t="str">
        <f>Energy_Balance!B36</f>
        <v>RHER</v>
      </c>
      <c r="C27" s="21" t="str">
        <f>IF($A27="*","","Residential - "&amp;Energy_Balance!C36&amp;IF(Energy_Balance!D36="L"," - Low income", IF(Energy_Balance!D36="M"," - Middle income"," - High income")))</f>
        <v>Residential - Refrigeration - High income</v>
      </c>
      <c r="D27" s="32" t="str">
        <f t="shared" si="1"/>
        <v>PJ</v>
      </c>
      <c r="E27" s="21" t="s">
        <v>948</v>
      </c>
      <c r="F27" s="21" t="s">
        <v>947</v>
      </c>
    </row>
    <row r="28" spans="1:6">
      <c r="A28" s="21" t="str">
        <f t="shared" si="0"/>
        <v/>
      </c>
      <c r="B28" s="21" t="str">
        <f>Energy_Balance!B37</f>
        <v>RHEO</v>
      </c>
      <c r="C28" s="21" t="str">
        <f>IF($A28="*","","Residential - "&amp;Energy_Balance!C37&amp;IF(Energy_Balance!D37="L"," - Low income", IF(Energy_Balance!D37="M"," - Middle income"," - High income")))</f>
        <v>Residential - Other - High income</v>
      </c>
      <c r="D28" s="32" t="str">
        <f t="shared" si="1"/>
        <v>PJ</v>
      </c>
      <c r="E28" s="21" t="s">
        <v>948</v>
      </c>
      <c r="F28" s="21" t="s">
        <v>947</v>
      </c>
    </row>
    <row r="29" spans="1:6">
      <c r="A29" s="21" t="str">
        <f t="shared" si="0"/>
        <v>*</v>
      </c>
      <c r="C29" s="21" t="str">
        <f>IF($A29="*","","Residential - "&amp;Energy_Balance!C38&amp;IF(Energy_Balance!D38="L"," - Low income", IF(Energy_Balance!D38="M"," - Middle income"," - High income")))</f>
        <v/>
      </c>
      <c r="D29" s="32" t="str">
        <f t="shared" si="1"/>
        <v/>
      </c>
      <c r="E29" s="32" t="str">
        <f t="shared" ref="E29:E35" si="3">IF($A29="*","","COM,DEM,DAYNITE,RES")</f>
        <v/>
      </c>
    </row>
    <row r="30" spans="1:6">
      <c r="A30" s="21" t="str">
        <f t="shared" si="0"/>
        <v>*</v>
      </c>
      <c r="C30" s="21" t="str">
        <f>IF($A30="*","","Residential - "&amp;Energy_Balance!C39&amp;IF(Energy_Balance!D39="L"," - Low income", IF(Energy_Balance!D39="M"," - Middle income"," - High income")))</f>
        <v/>
      </c>
      <c r="D30" s="32" t="str">
        <f t="shared" si="1"/>
        <v/>
      </c>
      <c r="E30" s="32" t="str">
        <f t="shared" si="3"/>
        <v/>
      </c>
    </row>
    <row r="31" spans="1:6">
      <c r="A31" s="21" t="str">
        <f t="shared" si="0"/>
        <v>*</v>
      </c>
      <c r="C31" s="21" t="str">
        <f>IF($A31="*","","Residential - "&amp;Energy_Balance!C40&amp;IF(Energy_Balance!D40="L"," - Low income", IF(Energy_Balance!D40="M"," - Middle income"," - High income")))</f>
        <v/>
      </c>
      <c r="D31" s="32" t="str">
        <f t="shared" si="1"/>
        <v/>
      </c>
      <c r="E31" s="32" t="str">
        <f t="shared" si="3"/>
        <v/>
      </c>
    </row>
    <row r="32" spans="1:6">
      <c r="A32" s="21" t="str">
        <f t="shared" ref="A32" si="4">IF(B32=0,"*","")</f>
        <v>*</v>
      </c>
      <c r="C32" s="21" t="str">
        <f>IF($A32="*","","Residential - "&amp;Energy_Balance!C41&amp;IF(Energy_Balance!D41="L"," - Low income", IF(Energy_Balance!D41="M"," - Middle income"," - High income")))</f>
        <v/>
      </c>
      <c r="D32" s="32" t="str">
        <f t="shared" si="1"/>
        <v/>
      </c>
      <c r="E32" s="32" t="str">
        <f t="shared" si="3"/>
        <v/>
      </c>
    </row>
    <row r="33" spans="1:5">
      <c r="A33" s="21" t="str">
        <f t="shared" si="0"/>
        <v>*</v>
      </c>
      <c r="C33" s="21" t="str">
        <f>IF($A33="*","",RES!#REF!)</f>
        <v/>
      </c>
      <c r="D33" s="32" t="str">
        <f t="shared" si="1"/>
        <v/>
      </c>
      <c r="E33" s="32" t="str">
        <f t="shared" si="3"/>
        <v/>
      </c>
    </row>
    <row r="34" spans="1:5">
      <c r="A34" s="21" t="str">
        <f t="shared" si="0"/>
        <v>*</v>
      </c>
      <c r="C34" s="21" t="str">
        <f>IF($A34="*","",RES!#REF!)</f>
        <v/>
      </c>
      <c r="D34" s="32" t="str">
        <f t="shared" si="1"/>
        <v/>
      </c>
      <c r="E34" s="32" t="str">
        <f t="shared" si="3"/>
        <v/>
      </c>
    </row>
    <row r="35" spans="1:5">
      <c r="A35" s="21" t="str">
        <f t="shared" si="0"/>
        <v>*</v>
      </c>
      <c r="C35" s="21" t="str">
        <f>IF($A35="*","",RES!#REF!)</f>
        <v/>
      </c>
      <c r="D35" s="32" t="str">
        <f t="shared" si="1"/>
        <v/>
      </c>
      <c r="E35" s="32" t="str">
        <f t="shared" si="3"/>
        <v/>
      </c>
    </row>
    <row r="36" spans="1:5">
      <c r="A36" s="21" t="str">
        <f t="shared" si="0"/>
        <v>*</v>
      </c>
      <c r="D36" s="32"/>
      <c r="E36" s="32"/>
    </row>
    <row r="37" spans="1:5">
      <c r="A37" s="21" t="str">
        <f t="shared" si="0"/>
        <v>*</v>
      </c>
      <c r="D37" s="32"/>
      <c r="E37" s="32"/>
    </row>
    <row r="38" spans="1:5">
      <c r="A38" s="21" t="str">
        <f t="shared" si="0"/>
        <v>*</v>
      </c>
      <c r="D38" s="32"/>
      <c r="E38" s="32"/>
    </row>
    <row r="39" spans="1:5">
      <c r="A39" s="21" t="str">
        <f t="shared" si="0"/>
        <v>*</v>
      </c>
      <c r="D39" s="32"/>
      <c r="E39" s="32"/>
    </row>
    <row r="40" spans="1:5">
      <c r="A40" s="21" t="str">
        <f t="shared" si="0"/>
        <v>*</v>
      </c>
      <c r="D40" s="32"/>
      <c r="E40" s="32"/>
    </row>
    <row r="41" spans="1:5">
      <c r="A41" s="21" t="str">
        <f t="shared" si="0"/>
        <v>*</v>
      </c>
      <c r="D41" s="32"/>
      <c r="E41" s="32"/>
    </row>
    <row r="42" spans="1:5">
      <c r="A42" s="21" t="str">
        <f t="shared" si="0"/>
        <v>*</v>
      </c>
      <c r="D42" s="32"/>
      <c r="E42" s="32"/>
    </row>
    <row r="43" spans="1:5">
      <c r="A43" s="21" t="str">
        <f t="shared" si="0"/>
        <v>*</v>
      </c>
      <c r="D43" s="32"/>
      <c r="E43" s="32"/>
    </row>
    <row r="44" spans="1:5">
      <c r="A44" s="21" t="str">
        <f t="shared" si="0"/>
        <v>*</v>
      </c>
      <c r="D44" s="32"/>
      <c r="E44" s="32"/>
    </row>
    <row r="45" spans="1:5">
      <c r="A45" s="21" t="str">
        <f t="shared" si="0"/>
        <v>*</v>
      </c>
      <c r="D45" s="32"/>
      <c r="E45" s="32"/>
    </row>
    <row r="46" spans="1:5">
      <c r="A46" s="21" t="str">
        <f t="shared" si="0"/>
        <v>*</v>
      </c>
      <c r="D46" s="32"/>
      <c r="E46" s="32"/>
    </row>
    <row r="47" spans="1:5">
      <c r="A47" s="21" t="str">
        <f t="shared" si="0"/>
        <v>*</v>
      </c>
      <c r="D47" s="32"/>
      <c r="E47" s="32"/>
    </row>
    <row r="48" spans="1:5">
      <c r="A48" s="21" t="str">
        <f t="shared" si="0"/>
        <v>*</v>
      </c>
      <c r="D48" s="32"/>
      <c r="E48" s="32"/>
    </row>
    <row r="49" spans="1:5">
      <c r="A49" s="21" t="str">
        <f t="shared" si="0"/>
        <v>*</v>
      </c>
      <c r="D49" s="32"/>
      <c r="E49" s="32"/>
    </row>
    <row r="50" spans="1:5">
      <c r="A50" s="21" t="str">
        <f t="shared" ref="A50:A51" si="5">IF(B50=0,"*","")</f>
        <v>*</v>
      </c>
      <c r="D50" s="32"/>
      <c r="E50" s="32"/>
    </row>
    <row r="51" spans="1:5">
      <c r="A51" s="21" t="str">
        <f t="shared" si="5"/>
        <v>*</v>
      </c>
      <c r="D51" s="32"/>
      <c r="E51" s="32"/>
    </row>
  </sheetData>
  <conditionalFormatting sqref="B6:B51">
    <cfRule type="duplicateValues" dxfId="1" priority="5" stopIfTrue="1"/>
  </conditionalFormatting>
  <conditionalFormatting sqref="B52:B1048576 B1:B3">
    <cfRule type="duplicateValues" dxfId="0" priority="7" stopIfTrue="1"/>
  </conditionalFormatting>
  <pageMargins left="0.75" right="0.75" top="1" bottom="1" header="0.5" footer="0.5"/>
  <pageSetup paperSize="9" orientation="portrait" r:id="rId1"/>
  <headerFooter alignWithMargins="0"/>
  <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FC43-933C-474F-802B-FB6C684D6E95}">
  <sheetPr codeName="Sheet32">
    <tabColor theme="9" tint="-0.249977111117893"/>
  </sheetPr>
  <dimension ref="A1:H109"/>
  <sheetViews>
    <sheetView topLeftCell="A2" zoomScale="120" zoomScaleNormal="120" workbookViewId="0">
      <selection activeCell="E34" sqref="E34"/>
    </sheetView>
  </sheetViews>
  <sheetFormatPr defaultColWidth="11.42578125" defaultRowHeight="11.25"/>
  <cols>
    <col min="1" max="1" width="12.140625" style="582" customWidth="1"/>
    <col min="2" max="2" width="12" style="582" customWidth="1"/>
    <col min="3" max="3" width="11.42578125" style="582" customWidth="1"/>
    <col min="4" max="4" width="7.42578125" style="582" customWidth="1"/>
    <col min="5" max="16384" width="11.42578125" style="582"/>
  </cols>
  <sheetData>
    <row r="1" spans="1:5">
      <c r="A1" s="588" t="e">
        <v>#REF!</v>
      </c>
      <c r="B1" s="582" t="s">
        <v>1045</v>
      </c>
    </row>
    <row r="2" spans="1:5">
      <c r="A2" s="582" t="s">
        <v>110</v>
      </c>
    </row>
    <row r="3" spans="1:5" ht="15" customHeight="1">
      <c r="A3" s="582" t="s">
        <v>110</v>
      </c>
    </row>
    <row r="4" spans="1:5">
      <c r="A4" s="582" t="s">
        <v>110</v>
      </c>
    </row>
    <row r="5" spans="1:5">
      <c r="A5" s="582" t="s">
        <v>110</v>
      </c>
    </row>
    <row r="6" spans="1:5">
      <c r="C6" s="582" t="s">
        <v>80</v>
      </c>
    </row>
    <row r="7" spans="1:5" ht="22.5" customHeight="1">
      <c r="B7" s="588" t="s">
        <v>1049</v>
      </c>
      <c r="C7" s="588" t="s">
        <v>940</v>
      </c>
      <c r="D7" s="587" t="s">
        <v>1048</v>
      </c>
      <c r="E7" s="582">
        <v>2017</v>
      </c>
    </row>
    <row r="8" spans="1:5">
      <c r="A8" s="582" t="str">
        <f t="shared" ref="A8:A37" si="0">IF(C8=0,"*","")</f>
        <v/>
      </c>
      <c r="B8" s="585" t="s">
        <v>1050</v>
      </c>
      <c r="C8" s="583" t="str">
        <f>RES!D39</f>
        <v>RLEL</v>
      </c>
      <c r="D8" s="584" t="s">
        <v>49</v>
      </c>
      <c r="E8" s="586">
        <f>SUMIF(Lighting!$E$25:$E$35,C8,Lighting!$P$25:$P$35)</f>
        <v>16.798015880277948</v>
      </c>
    </row>
    <row r="9" spans="1:5">
      <c r="A9" s="582" t="str">
        <f t="shared" si="0"/>
        <v/>
      </c>
      <c r="B9" s="585" t="s">
        <v>1050</v>
      </c>
      <c r="C9" s="583" t="s">
        <v>266</v>
      </c>
      <c r="D9" s="584" t="s">
        <v>49</v>
      </c>
      <c r="E9" s="586">
        <f>SUMIF(RES!$D$39:$D$300,C9,RES!$N$39:$N$300)</f>
        <v>3.6541482196776116E-2</v>
      </c>
    </row>
    <row r="10" spans="1:5">
      <c r="A10" s="582" t="str">
        <f t="shared" si="0"/>
        <v/>
      </c>
      <c r="B10" s="585" t="s">
        <v>1050</v>
      </c>
      <c r="C10" s="583" t="s">
        <v>250</v>
      </c>
      <c r="D10" s="584" t="s">
        <v>49</v>
      </c>
      <c r="E10" s="586">
        <f>SUMIF(RES!$D$39:$D$300,C10,RES!$N$39:$N$300)</f>
        <v>12.042560154485418</v>
      </c>
    </row>
    <row r="11" spans="1:5">
      <c r="A11" s="582" t="str">
        <f t="shared" si="0"/>
        <v/>
      </c>
      <c r="B11" s="585" t="s">
        <v>1050</v>
      </c>
      <c r="C11" s="583" t="s">
        <v>251</v>
      </c>
      <c r="D11" s="584" t="s">
        <v>49</v>
      </c>
      <c r="E11" s="586">
        <f>SUMIF(RES!$D$39:$D$300,C11,RES!$N$39:$N$300)</f>
        <v>9.3474142874010937</v>
      </c>
    </row>
    <row r="12" spans="1:5">
      <c r="A12" s="582" t="str">
        <f t="shared" si="0"/>
        <v/>
      </c>
      <c r="B12" s="585" t="s">
        <v>1050</v>
      </c>
      <c r="C12" s="583" t="s">
        <v>580</v>
      </c>
      <c r="D12" s="584" t="s">
        <v>49</v>
      </c>
      <c r="E12" s="586">
        <f>SUMIF(RES!$D$39:$D$300,C12,RES!$N$39:$N$300)</f>
        <v>0</v>
      </c>
    </row>
    <row r="13" spans="1:5">
      <c r="A13" s="582" t="str">
        <f t="shared" si="0"/>
        <v/>
      </c>
      <c r="B13" s="585" t="s">
        <v>1050</v>
      </c>
      <c r="C13" s="583" t="s">
        <v>252</v>
      </c>
      <c r="D13" s="584" t="s">
        <v>49</v>
      </c>
      <c r="E13" s="586">
        <f>SUMIF(RES!$D$39:$D$300,C13,RES!$N$39:$N$300)</f>
        <v>4.7596897762458097</v>
      </c>
    </row>
    <row r="14" spans="1:5">
      <c r="A14" s="582" t="str">
        <f t="shared" si="0"/>
        <v/>
      </c>
      <c r="B14" s="585" t="s">
        <v>1050</v>
      </c>
      <c r="C14" s="583" t="s">
        <v>253</v>
      </c>
      <c r="D14" s="584" t="s">
        <v>49</v>
      </c>
      <c r="E14" s="586">
        <f>SUMIF(RES!$D$39:$D$300,C14,RES!$N$39:$N$300)</f>
        <v>4.2989748368189522</v>
      </c>
    </row>
    <row r="15" spans="1:5">
      <c r="A15" s="582" t="str">
        <f t="shared" si="0"/>
        <v/>
      </c>
      <c r="B15" s="585" t="s">
        <v>1050</v>
      </c>
      <c r="C15" s="583" t="s">
        <v>254</v>
      </c>
      <c r="D15" s="584" t="s">
        <v>49</v>
      </c>
      <c r="E15" s="586">
        <f>SUMIF(RES!$D$39:$D$300,C15,RES!$N$39:$N$300)</f>
        <v>5.8462981862284051</v>
      </c>
    </row>
    <row r="16" spans="1:5">
      <c r="A16" s="582" t="str">
        <f t="shared" si="0"/>
        <v>*</v>
      </c>
      <c r="B16" s="585" t="s">
        <v>1050</v>
      </c>
      <c r="C16" s="583"/>
      <c r="D16" s="584" t="s">
        <v>49</v>
      </c>
      <c r="E16" s="586">
        <f>SUMIF(RES!$D$39:$D$300,C16,RES!$N$39:$N$300)</f>
        <v>0</v>
      </c>
    </row>
    <row r="17" spans="1:5">
      <c r="A17" s="582" t="str">
        <f t="shared" si="0"/>
        <v>*</v>
      </c>
      <c r="B17" s="585" t="s">
        <v>1050</v>
      </c>
      <c r="C17" s="583"/>
      <c r="D17" s="584" t="s">
        <v>49</v>
      </c>
      <c r="E17" s="586">
        <f>SUMIF(RES!$D$39:$D$300,C17,RES!$N$39:$N$300)</f>
        <v>0</v>
      </c>
    </row>
    <row r="18" spans="1:5">
      <c r="A18" s="582" t="str">
        <f t="shared" si="0"/>
        <v>*</v>
      </c>
      <c r="B18" s="585" t="s">
        <v>1050</v>
      </c>
      <c r="C18" s="583"/>
      <c r="D18" s="584" t="s">
        <v>49</v>
      </c>
      <c r="E18" s="586">
        <f>SUMIF(RES!$D$39:$D$300,C18,RES!$N$39:$N$300)</f>
        <v>0</v>
      </c>
    </row>
    <row r="19" spans="1:5">
      <c r="A19" s="582" t="str">
        <f t="shared" si="0"/>
        <v/>
      </c>
      <c r="B19" s="585" t="s">
        <v>1050</v>
      </c>
      <c r="C19" s="583" t="str">
        <f>ITEMS_Comm!B14</f>
        <v>RMEL</v>
      </c>
      <c r="D19" s="584" t="s">
        <v>49</v>
      </c>
      <c r="E19" s="586">
        <f>SUMIF(Lighting!$E$25:$E$35,C19,Lighting!$P$25:$P$35)</f>
        <v>17.575964158792644</v>
      </c>
    </row>
    <row r="20" spans="1:5">
      <c r="A20" s="582" t="str">
        <f t="shared" si="0"/>
        <v/>
      </c>
      <c r="B20" s="585" t="s">
        <v>1050</v>
      </c>
      <c r="C20" s="583" t="str">
        <f>ITEMS_Comm!B15</f>
        <v>RMNL</v>
      </c>
      <c r="D20" s="584" t="s">
        <v>49</v>
      </c>
      <c r="E20" s="586">
        <f>SUMIF(RES!$D$39:$D$300,C20,RES!$N$39:$N$300)</f>
        <v>7.1482186957706251E-2</v>
      </c>
    </row>
    <row r="21" spans="1:5">
      <c r="A21" s="582" t="str">
        <f t="shared" si="0"/>
        <v/>
      </c>
      <c r="B21" s="585" t="s">
        <v>1050</v>
      </c>
      <c r="C21" s="583" t="str">
        <f>ITEMS_Comm!B16</f>
        <v>RMEK</v>
      </c>
      <c r="D21" s="584" t="s">
        <v>49</v>
      </c>
      <c r="E21" s="586">
        <f>SUMIF(RES!$D$39:$D$300,C21,RES!$N$39:$N$300)</f>
        <v>10.675362840304325</v>
      </c>
    </row>
    <row r="22" spans="1:5">
      <c r="A22" s="582" t="str">
        <f t="shared" si="0"/>
        <v/>
      </c>
      <c r="B22" s="585" t="s">
        <v>1050</v>
      </c>
      <c r="C22" s="583" t="str">
        <f>ITEMS_Comm!B17</f>
        <v>RMEH</v>
      </c>
      <c r="D22" s="584" t="s">
        <v>49</v>
      </c>
      <c r="E22" s="586">
        <f>SUMIF(RES!$D$39:$D$300,C22,RES!$N$39:$N$300)</f>
        <v>10.863236563063188</v>
      </c>
    </row>
    <row r="23" spans="1:5">
      <c r="A23" s="582" t="str">
        <f t="shared" si="0"/>
        <v/>
      </c>
      <c r="B23" s="585" t="s">
        <v>1050</v>
      </c>
      <c r="C23" s="583" t="str">
        <f>ITEMS_Comm!B18</f>
        <v>RMEW</v>
      </c>
      <c r="D23" s="584" t="s">
        <v>49</v>
      </c>
      <c r="E23" s="586">
        <f>SUMIF(RES!$D$39:$D$300,C23,RES!$N$39:$N$300)</f>
        <v>5.5209569342783622</v>
      </c>
    </row>
    <row r="24" spans="1:5">
      <c r="A24" s="582" t="str">
        <f t="shared" si="0"/>
        <v/>
      </c>
      <c r="B24" s="585" t="s">
        <v>1050</v>
      </c>
      <c r="C24" s="583" t="str">
        <f>ITEMS_Comm!B19</f>
        <v>RMEWG</v>
      </c>
      <c r="D24" s="584" t="s">
        <v>49</v>
      </c>
      <c r="E24" s="586">
        <f>SUMIF(RES!$D$39:$D$300,C24,RES!$N$39:$N$300)</f>
        <v>9.1306263987937477</v>
      </c>
    </row>
    <row r="25" spans="1:5">
      <c r="A25" s="582" t="str">
        <f t="shared" si="0"/>
        <v/>
      </c>
      <c r="B25" s="585" t="s">
        <v>1050</v>
      </c>
      <c r="C25" s="583" t="str">
        <f>ITEMS_Comm!B20</f>
        <v>RMER</v>
      </c>
      <c r="D25" s="584" t="s">
        <v>49</v>
      </c>
      <c r="E25" s="586">
        <f>SUMIF(RES!$D$39:$D$300,C25,RES!$N$39:$N$300)</f>
        <v>7.1194662826309676</v>
      </c>
    </row>
    <row r="26" spans="1:5">
      <c r="A26" s="582" t="str">
        <f t="shared" si="0"/>
        <v/>
      </c>
      <c r="B26" s="585" t="s">
        <v>1050</v>
      </c>
      <c r="C26" s="583" t="str">
        <f>ITEMS_Comm!B21</f>
        <v>RMEO</v>
      </c>
      <c r="D26" s="584" t="s">
        <v>49</v>
      </c>
      <c r="E26" s="586">
        <f>SUMIF(RES!$D$39:$D$300,C26,RES!$N$39:$N$300)</f>
        <v>10.567931658168156</v>
      </c>
    </row>
    <row r="27" spans="1:5">
      <c r="A27" s="582" t="str">
        <f t="shared" si="0"/>
        <v>*</v>
      </c>
      <c r="B27" s="585" t="s">
        <v>1050</v>
      </c>
      <c r="C27" s="583"/>
      <c r="D27" s="584" t="s">
        <v>49</v>
      </c>
      <c r="E27" s="586">
        <f>SUMIF(RES!$D$39:$D$300,C27,RES!$N$39:$N$300)</f>
        <v>0</v>
      </c>
    </row>
    <row r="28" spans="1:5">
      <c r="A28" s="582" t="str">
        <f t="shared" si="0"/>
        <v>*</v>
      </c>
      <c r="B28" s="585" t="s">
        <v>1050</v>
      </c>
      <c r="C28" s="583"/>
      <c r="D28" s="584" t="s">
        <v>49</v>
      </c>
      <c r="E28" s="586">
        <f>SUMIF(RES!$D$39:$D$300,C28,RES!$N$39:$N$300)</f>
        <v>0</v>
      </c>
    </row>
    <row r="29" spans="1:5">
      <c r="A29" s="582" t="str">
        <f t="shared" si="0"/>
        <v>*</v>
      </c>
      <c r="B29" s="585" t="s">
        <v>1050</v>
      </c>
      <c r="C29" s="583"/>
      <c r="D29" s="584" t="s">
        <v>49</v>
      </c>
      <c r="E29" s="586">
        <f>SUMIF(RES!$D$39:$D$300,C29,RES!$N$39:$N$300)</f>
        <v>0</v>
      </c>
    </row>
    <row r="30" spans="1:5">
      <c r="A30" s="582" t="str">
        <f t="shared" si="0"/>
        <v/>
      </c>
      <c r="B30" s="585" t="s">
        <v>1050</v>
      </c>
      <c r="C30" s="583" t="str">
        <f>ITEMS_Comm!B22</f>
        <v>RHEL</v>
      </c>
      <c r="D30" s="584" t="s">
        <v>49</v>
      </c>
      <c r="E30" s="586">
        <f>SUMIF(Lighting!$E$25:$E$35,C30,Lighting!$P$25:$P$35)</f>
        <v>23.021248438399056</v>
      </c>
    </row>
    <row r="31" spans="1:5">
      <c r="A31" s="582" t="str">
        <f t="shared" si="0"/>
        <v/>
      </c>
      <c r="B31" s="585" t="s">
        <v>1050</v>
      </c>
      <c r="C31" s="583" t="str">
        <f>ITEMS_Comm!B23</f>
        <v>RHEK</v>
      </c>
      <c r="D31" s="584" t="s">
        <v>49</v>
      </c>
      <c r="E31" s="586">
        <f>SUMIF(RES!$D$39:$D$300,C31,RES!$N$39:$N$300)</f>
        <v>8.0513852091822855</v>
      </c>
    </row>
    <row r="32" spans="1:5">
      <c r="A32" s="582" t="str">
        <f t="shared" si="0"/>
        <v/>
      </c>
      <c r="B32" s="585" t="s">
        <v>1050</v>
      </c>
      <c r="C32" s="583" t="str">
        <f>ITEMS_Comm!B24</f>
        <v>RHEH</v>
      </c>
      <c r="D32" s="584" t="s">
        <v>49</v>
      </c>
      <c r="E32" s="586">
        <f>SUMIF(RES!$D$39:$D$300,C32,RES!$N$39:$N$300)</f>
        <v>5.2231317898063496</v>
      </c>
    </row>
    <row r="33" spans="1:8">
      <c r="A33" s="582" t="str">
        <f t="shared" si="0"/>
        <v/>
      </c>
      <c r="B33" s="585" t="s">
        <v>1050</v>
      </c>
      <c r="C33" s="583" t="str">
        <f>ITEMS_Comm!B25</f>
        <v>RHEW</v>
      </c>
      <c r="D33" s="584" t="s">
        <v>49</v>
      </c>
      <c r="E33" s="586">
        <f>SUMIF(RES!$D$39:$D$300,C33,RES!$N$39:$N$300)</f>
        <v>0</v>
      </c>
    </row>
    <row r="34" spans="1:8">
      <c r="A34" s="582" t="str">
        <f t="shared" si="0"/>
        <v/>
      </c>
      <c r="B34" s="585" t="s">
        <v>1050</v>
      </c>
      <c r="C34" s="583" t="str">
        <f>ITEMS_Comm!B26</f>
        <v>RHEWG</v>
      </c>
      <c r="D34" s="584" t="s">
        <v>49</v>
      </c>
      <c r="E34" s="586">
        <f>SUMIF(RES!$D$39:$D$300,C34,RES!$N$39:$N$300)</f>
        <v>30.01107619912144</v>
      </c>
    </row>
    <row r="35" spans="1:8">
      <c r="A35" s="582" t="str">
        <f t="shared" si="0"/>
        <v/>
      </c>
      <c r="B35" s="585" t="s">
        <v>1050</v>
      </c>
      <c r="C35" s="583" t="str">
        <f>ITEMS_Comm!B27</f>
        <v>RHER</v>
      </c>
      <c r="D35" s="584" t="s">
        <v>49</v>
      </c>
      <c r="E35" s="586">
        <f>SUMIF(RES!$D$39:$D$300,C35,RES!$N$39:$N$300)</f>
        <v>9.1228493232049725</v>
      </c>
    </row>
    <row r="36" spans="1:8">
      <c r="A36" s="582" t="str">
        <f t="shared" si="0"/>
        <v/>
      </c>
      <c r="B36" s="585" t="s">
        <v>1050</v>
      </c>
      <c r="C36" s="583" t="str">
        <f>ITEMS_Comm!B28</f>
        <v>RHEO</v>
      </c>
      <c r="D36" s="584" t="s">
        <v>49</v>
      </c>
      <c r="E36" s="586">
        <f>SUMIF(RES!$D$39:$D$300,C36,RES!$N$39:$N$300)</f>
        <v>14.770636079826772</v>
      </c>
    </row>
    <row r="37" spans="1:8">
      <c r="A37" s="582" t="str">
        <f t="shared" si="0"/>
        <v>*</v>
      </c>
      <c r="B37" s="585" t="s">
        <v>1050</v>
      </c>
      <c r="C37" s="583">
        <f>ITEMS_Comm!B29</f>
        <v>0</v>
      </c>
      <c r="D37" s="584" t="s">
        <v>49</v>
      </c>
      <c r="E37" s="586">
        <f>SUMIF(RES!$D$39:$D$300,C37,RES!$N$39:$N$300)</f>
        <v>0</v>
      </c>
    </row>
    <row r="38" spans="1:8">
      <c r="B38" s="585"/>
      <c r="C38" s="583"/>
      <c r="D38" s="584"/>
      <c r="E38" s="586"/>
      <c r="G38" s="586"/>
      <c r="H38" s="586"/>
    </row>
    <row r="39" spans="1:8">
      <c r="B39" s="585"/>
      <c r="C39" s="583"/>
      <c r="D39" s="584"/>
      <c r="E39" s="586"/>
    </row>
    <row r="40" spans="1:8">
      <c r="B40" s="585"/>
      <c r="C40" s="583"/>
      <c r="D40" s="584"/>
      <c r="E40" s="586"/>
    </row>
    <row r="41" spans="1:8">
      <c r="B41" s="585"/>
      <c r="C41" s="583"/>
      <c r="D41" s="584"/>
      <c r="E41" s="586"/>
    </row>
    <row r="42" spans="1:8">
      <c r="B42" s="585"/>
      <c r="C42" s="583"/>
      <c r="D42" s="584"/>
      <c r="E42" s="586"/>
    </row>
    <row r="43" spans="1:8">
      <c r="B43" s="585"/>
      <c r="C43" s="583"/>
      <c r="D43" s="584"/>
      <c r="E43" s="586"/>
    </row>
    <row r="44" spans="1:8">
      <c r="B44" s="585"/>
      <c r="C44" s="583"/>
      <c r="D44" s="584"/>
      <c r="E44" s="586"/>
    </row>
    <row r="45" spans="1:8">
      <c r="B45" s="585"/>
      <c r="C45" s="583"/>
      <c r="D45" s="584"/>
      <c r="E45" s="586"/>
    </row>
    <row r="46" spans="1:8">
      <c r="B46" s="585"/>
      <c r="C46" s="583"/>
      <c r="D46" s="584"/>
      <c r="E46" s="586"/>
    </row>
    <row r="47" spans="1:8">
      <c r="B47" s="585"/>
      <c r="C47" s="583"/>
      <c r="D47" s="584"/>
      <c r="E47" s="586"/>
    </row>
    <row r="48" spans="1:8">
      <c r="B48" s="585"/>
      <c r="C48" s="583"/>
      <c r="D48" s="584"/>
      <c r="E48" s="586"/>
    </row>
    <row r="49" spans="2:5">
      <c r="B49" s="585"/>
      <c r="C49" s="583"/>
      <c r="D49" s="584"/>
      <c r="E49" s="586"/>
    </row>
    <row r="50" spans="2:5">
      <c r="B50" s="585"/>
      <c r="C50" s="583"/>
      <c r="D50" s="584"/>
      <c r="E50" s="586"/>
    </row>
    <row r="51" spans="2:5">
      <c r="B51" s="585"/>
      <c r="C51" s="583"/>
      <c r="D51" s="584"/>
      <c r="E51" s="586"/>
    </row>
    <row r="52" spans="2:5">
      <c r="B52" s="585"/>
      <c r="C52" s="583"/>
      <c r="D52" s="584"/>
      <c r="E52" s="586"/>
    </row>
    <row r="53" spans="2:5">
      <c r="B53" s="585"/>
      <c r="C53" s="583"/>
      <c r="D53" s="584"/>
      <c r="E53" s="586"/>
    </row>
    <row r="54" spans="2:5">
      <c r="B54" s="585"/>
      <c r="C54" s="583"/>
      <c r="D54" s="584"/>
    </row>
    <row r="55" spans="2:5">
      <c r="B55" s="585"/>
      <c r="C55" s="583"/>
      <c r="D55" s="584"/>
    </row>
    <row r="56" spans="2:5">
      <c r="B56" s="585"/>
      <c r="C56" s="583"/>
      <c r="D56" s="584"/>
    </row>
    <row r="57" spans="2:5">
      <c r="B57" s="585"/>
      <c r="C57" s="583"/>
      <c r="D57" s="584"/>
    </row>
    <row r="58" spans="2:5">
      <c r="B58" s="585"/>
      <c r="C58" s="583"/>
      <c r="D58" s="584"/>
    </row>
    <row r="59" spans="2:5">
      <c r="B59" s="585"/>
      <c r="C59" s="583"/>
      <c r="D59" s="584"/>
    </row>
    <row r="60" spans="2:5">
      <c r="C60" s="583"/>
    </row>
    <row r="61" spans="2:5">
      <c r="C61" s="583"/>
    </row>
    <row r="62" spans="2:5">
      <c r="C62" s="583"/>
    </row>
    <row r="63" spans="2:5">
      <c r="C63" s="583"/>
    </row>
    <row r="64" spans="2:5">
      <c r="C64" s="583"/>
    </row>
    <row r="65" spans="3:3">
      <c r="C65" s="583"/>
    </row>
    <row r="66" spans="3:3">
      <c r="C66" s="583"/>
    </row>
    <row r="67" spans="3:3">
      <c r="C67" s="583"/>
    </row>
    <row r="68" spans="3:3">
      <c r="C68" s="583"/>
    </row>
    <row r="69" spans="3:3">
      <c r="C69" s="583"/>
    </row>
    <row r="70" spans="3:3">
      <c r="C70" s="583"/>
    </row>
    <row r="71" spans="3:3">
      <c r="C71" s="583"/>
    </row>
    <row r="72" spans="3:3">
      <c r="C72" s="583"/>
    </row>
    <row r="73" spans="3:3">
      <c r="C73" s="583"/>
    </row>
    <row r="74" spans="3:3">
      <c r="C74" s="583"/>
    </row>
    <row r="75" spans="3:3">
      <c r="C75" s="583"/>
    </row>
    <row r="76" spans="3:3">
      <c r="C76" s="583"/>
    </row>
    <row r="77" spans="3:3">
      <c r="C77" s="583"/>
    </row>
    <row r="78" spans="3:3">
      <c r="C78" s="583"/>
    </row>
    <row r="79" spans="3:3">
      <c r="C79" s="583"/>
    </row>
    <row r="80" spans="3:3">
      <c r="C80" s="583"/>
    </row>
    <row r="81" spans="3:3">
      <c r="C81" s="583"/>
    </row>
    <row r="82" spans="3:3">
      <c r="C82" s="583"/>
    </row>
    <row r="83" spans="3:3">
      <c r="C83" s="583"/>
    </row>
    <row r="84" spans="3:3">
      <c r="C84" s="583"/>
    </row>
    <row r="85" spans="3:3">
      <c r="C85" s="583"/>
    </row>
    <row r="86" spans="3:3">
      <c r="C86" s="583"/>
    </row>
    <row r="87" spans="3:3">
      <c r="C87" s="583"/>
    </row>
    <row r="88" spans="3:3">
      <c r="C88" s="583"/>
    </row>
    <row r="89" spans="3:3">
      <c r="C89" s="583"/>
    </row>
    <row r="90" spans="3:3">
      <c r="C90" s="583"/>
    </row>
    <row r="91" spans="3:3">
      <c r="C91" s="583"/>
    </row>
    <row r="92" spans="3:3">
      <c r="C92" s="583"/>
    </row>
    <row r="93" spans="3:3">
      <c r="C93" s="583"/>
    </row>
    <row r="94" spans="3:3">
      <c r="C94" s="583"/>
    </row>
    <row r="95" spans="3:3">
      <c r="C95" s="583"/>
    </row>
    <row r="96" spans="3:3">
      <c r="C96" s="583"/>
    </row>
    <row r="97" spans="3:3">
      <c r="C97" s="583"/>
    </row>
    <row r="98" spans="3:3">
      <c r="C98" s="583"/>
    </row>
    <row r="99" spans="3:3">
      <c r="C99" s="583"/>
    </row>
    <row r="100" spans="3:3">
      <c r="C100" s="583"/>
    </row>
    <row r="101" spans="3:3">
      <c r="C101" s="583"/>
    </row>
    <row r="102" spans="3:3">
      <c r="C102" s="583"/>
    </row>
    <row r="103" spans="3:3">
      <c r="C103" s="583"/>
    </row>
    <row r="104" spans="3:3">
      <c r="C104" s="583"/>
    </row>
    <row r="105" spans="3:3">
      <c r="C105" s="583"/>
    </row>
    <row r="106" spans="3:3">
      <c r="C106" s="583"/>
    </row>
    <row r="107" spans="3:3">
      <c r="C107" s="583"/>
    </row>
    <row r="108" spans="3:3">
      <c r="C108" s="583"/>
    </row>
    <row r="109" spans="3:3">
      <c r="C109" s="583"/>
    </row>
  </sheetData>
  <pageMargins left="0.75" right="0.75" top="1" bottom="1" header="0.5" footer="0.5"/>
  <pageSetup paperSize="9"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25"/>
  <dimension ref="A3:AJ43"/>
  <sheetViews>
    <sheetView workbookViewId="0">
      <selection activeCell="O13" sqref="O13"/>
    </sheetView>
  </sheetViews>
  <sheetFormatPr defaultColWidth="8.85546875" defaultRowHeight="12.75"/>
  <cols>
    <col min="1" max="1" width="23.7109375" customWidth="1"/>
  </cols>
  <sheetData>
    <row r="3" spans="1:36">
      <c r="B3" t="s">
        <v>261</v>
      </c>
      <c r="C3" t="s">
        <v>262</v>
      </c>
      <c r="D3" t="s">
        <v>246</v>
      </c>
      <c r="E3" t="s">
        <v>584</v>
      </c>
      <c r="F3" t="s">
        <v>264</v>
      </c>
      <c r="G3" t="s">
        <v>265</v>
      </c>
      <c r="H3" t="s">
        <v>255</v>
      </c>
      <c r="I3" t="s">
        <v>256</v>
      </c>
      <c r="J3" t="s">
        <v>257</v>
      </c>
      <c r="K3" t="s">
        <v>258</v>
      </c>
      <c r="L3" t="s">
        <v>581</v>
      </c>
      <c r="M3" t="s">
        <v>259</v>
      </c>
      <c r="N3" t="s">
        <v>260</v>
      </c>
      <c r="O3" t="s">
        <v>249</v>
      </c>
      <c r="P3" t="s">
        <v>250</v>
      </c>
      <c r="Q3" t="s">
        <v>251</v>
      </c>
      <c r="R3" t="s">
        <v>252</v>
      </c>
      <c r="S3" t="s">
        <v>580</v>
      </c>
      <c r="T3" t="s">
        <v>253</v>
      </c>
      <c r="U3" t="s">
        <v>254</v>
      </c>
      <c r="V3" s="1" t="s">
        <v>266</v>
      </c>
      <c r="W3" s="1" t="s">
        <v>267</v>
      </c>
      <c r="X3" s="1" t="s">
        <v>282</v>
      </c>
      <c r="Y3" s="1" t="s">
        <v>279</v>
      </c>
      <c r="Z3" s="1" t="s">
        <v>284</v>
      </c>
      <c r="AA3" s="1" t="s">
        <v>278</v>
      </c>
      <c r="AB3" s="1" t="s">
        <v>281</v>
      </c>
      <c r="AC3" s="1" t="s">
        <v>283</v>
      </c>
      <c r="AD3" s="1" t="s">
        <v>280</v>
      </c>
      <c r="AE3" s="1" t="s">
        <v>285</v>
      </c>
      <c r="AF3" s="1" t="s">
        <v>296</v>
      </c>
      <c r="AG3" s="1" t="s">
        <v>295</v>
      </c>
      <c r="AH3" s="1" t="s">
        <v>294</v>
      </c>
      <c r="AI3" s="1" t="s">
        <v>298</v>
      </c>
      <c r="AJ3" s="1" t="s">
        <v>297</v>
      </c>
    </row>
    <row r="4" spans="1:36">
      <c r="A4">
        <v>1</v>
      </c>
      <c r="B4" s="19">
        <f>IF(Index!$B$1,AFA!B8,AFA!B7)</f>
        <v>0.38019999999999998</v>
      </c>
      <c r="C4" s="19">
        <f>IF(Index!$B$1,AFA!C8,AFA!C7)</f>
        <v>0.55130000000000001</v>
      </c>
      <c r="D4" s="19">
        <f>IF(Index!$B$1,AFA!D8,AFA!D7)</f>
        <v>0.20419999999999999</v>
      </c>
      <c r="E4" s="19">
        <f>IF(Index!$B$1,AFA!E8,AFA!E7)</f>
        <v>0.53290000000000004</v>
      </c>
      <c r="F4" s="19">
        <f>IF(Index!$B$1,AFA!F8,AFA!F7)</f>
        <v>0.79210000000000003</v>
      </c>
      <c r="G4" s="19">
        <f>IF(Index!$B$1,AFA!G8,AFA!G7)</f>
        <v>0.54900000000000004</v>
      </c>
      <c r="H4" s="19">
        <f>IF(Index!$B$1,AFA!H8,AFA!H7)</f>
        <v>0.34810000000000002</v>
      </c>
      <c r="I4" s="19">
        <f>IF(Index!$B$1,AFA!I8,AFA!I7)</f>
        <v>0.60209999999999997</v>
      </c>
      <c r="J4" s="19">
        <f>IF(Index!$B$1,AFA!J8,AFA!J7)</f>
        <v>0.31740000000000002</v>
      </c>
      <c r="K4" s="19">
        <f>IF(Index!$B$1,AFA!K8,AFA!K7)</f>
        <v>0.58199999999999996</v>
      </c>
      <c r="L4" s="19">
        <f>IF(Index!$B$1,AFA!L8,AFA!L7)</f>
        <v>0.58199999999999996</v>
      </c>
      <c r="M4" s="19">
        <f>IF(Index!$B$1,AFA!M8,AFA!M7)</f>
        <v>0.79210000000000003</v>
      </c>
      <c r="N4" s="19">
        <f>IF(Index!$B$1,AFA!N8,AFA!N7)</f>
        <v>0.38840000000000002</v>
      </c>
      <c r="O4" s="19">
        <f>IF(Index!$B$1,AFA!O8,AFA!O7)</f>
        <v>0.34810000000000002</v>
      </c>
      <c r="P4" s="19">
        <f>IF(Index!$B$1,AFA!P8,AFA!P7)</f>
        <v>0.60209999999999997</v>
      </c>
      <c r="Q4" s="19">
        <f>IF(Index!$B$1,AFA!Q8,AFA!Q7)</f>
        <v>0.31740000000000002</v>
      </c>
      <c r="R4" s="19">
        <f>IF(Index!$B$1,AFA!R8,AFA!R7)</f>
        <v>0.58199999999999996</v>
      </c>
      <c r="S4" s="19">
        <f>IF(Index!$B$1,AFA!S8,AFA!S7)</f>
        <v>0.58199999999999996</v>
      </c>
      <c r="T4" s="19">
        <f>IF(Index!$B$1,AFA!T8,AFA!T7)</f>
        <v>0.58199999999999996</v>
      </c>
      <c r="U4" s="19">
        <f>IF(Index!$B$1,AFA!U8,AFA!U7)</f>
        <v>0.38840000000000002</v>
      </c>
      <c r="V4" s="19">
        <f>IF(Index!$B$1,AFA!V8,AFA!V7)</f>
        <v>0.79849999999999999</v>
      </c>
      <c r="W4" s="19">
        <f>IF(Index!$B$1,AFA!W8,AFA!W7)</f>
        <v>0.48230000000000001</v>
      </c>
      <c r="X4" s="19">
        <f>IF(Index!$B$1,AFA!X8,AFA!X7)</f>
        <v>0.68689999999999996</v>
      </c>
      <c r="Y4" s="19">
        <f>IF(Index!$B$1,AFA!Y8,AFA!Y7)</f>
        <v>0.55200000000000005</v>
      </c>
      <c r="Z4" s="19">
        <f>IF(Index!$B$1,AFA!Z8,AFA!Z7)</f>
        <v>0.68830000000000002</v>
      </c>
      <c r="AA4" s="19">
        <f>IF(Index!$B$1,AFA!AA8,AFA!AA7)</f>
        <v>0.89129999999999998</v>
      </c>
      <c r="AB4" s="19">
        <f>IF(Index!$B$1,AFA!AB8,AFA!AB7)</f>
        <v>0.5464</v>
      </c>
      <c r="AC4" s="19">
        <f>IF(Index!$B$1,AFA!AC8,AFA!AC7)</f>
        <v>0.89129999999999998</v>
      </c>
      <c r="AD4" s="19">
        <f>IF(Index!$B$1,AFA!AD8,AFA!AD7)</f>
        <v>0.64739999999999998</v>
      </c>
      <c r="AE4" s="19">
        <f>IF(Index!$B$1,AFA!AE8,AFA!AE7)</f>
        <v>0.90290000000000004</v>
      </c>
      <c r="AF4" s="19">
        <f>IF(Index!$B$1,AFA!AF8,AFA!AF7)</f>
        <v>0.90769999999999995</v>
      </c>
      <c r="AG4" s="19">
        <f>IF(Index!$B$1,AFA!AG8,AFA!AG7)</f>
        <v>0.77939999999999998</v>
      </c>
      <c r="AH4" s="19">
        <f>IF(Index!$B$1,AFA!AH8,AFA!AH7)</f>
        <v>0.80359999999999998</v>
      </c>
      <c r="AI4" s="19">
        <f>IF(Index!$B$1,AFA!AI8,AFA!AI7)</f>
        <v>0.73609999999999998</v>
      </c>
      <c r="AJ4" s="19">
        <f>IF(Index!$B$1,AFA!AJ8,AFA!AJ7)</f>
        <v>0.84470000000000001</v>
      </c>
    </row>
    <row r="5" spans="1:36">
      <c r="B5" s="17"/>
      <c r="C5" s="17"/>
      <c r="D5" s="17"/>
      <c r="E5" s="17"/>
      <c r="F5" s="17"/>
      <c r="G5" s="17"/>
      <c r="H5" s="17"/>
      <c r="I5" s="17"/>
      <c r="J5" s="17"/>
      <c r="K5" s="17"/>
      <c r="L5" s="17"/>
      <c r="M5" s="17"/>
      <c r="N5" s="17"/>
      <c r="O5" s="17"/>
      <c r="P5" s="17"/>
      <c r="Q5" s="17"/>
      <c r="R5" s="17"/>
      <c r="S5" s="17"/>
      <c r="T5" s="17"/>
      <c r="U5" s="17"/>
    </row>
    <row r="6" spans="1:36">
      <c r="B6" s="17"/>
      <c r="C6" s="17"/>
      <c r="D6" s="17"/>
      <c r="E6" s="17"/>
      <c r="F6" s="17"/>
      <c r="G6" s="17"/>
      <c r="H6" s="17"/>
      <c r="I6" s="17"/>
      <c r="J6" s="17"/>
      <c r="K6" s="17"/>
      <c r="L6" s="17"/>
      <c r="M6" s="17"/>
      <c r="N6" s="17"/>
      <c r="O6" s="17"/>
      <c r="P6" s="17"/>
      <c r="Q6" s="17"/>
      <c r="R6" s="17"/>
      <c r="S6" s="17"/>
      <c r="T6" s="17"/>
      <c r="U6" s="17"/>
    </row>
    <row r="7" spans="1:36">
      <c r="A7" s="1" t="s">
        <v>393</v>
      </c>
      <c r="B7" s="19">
        <v>0.37090000000000001</v>
      </c>
      <c r="C7" s="19">
        <v>0.52749999999999997</v>
      </c>
      <c r="D7" s="67">
        <v>0.38629999999999998</v>
      </c>
      <c r="E7" s="19">
        <v>0.55710000000000004</v>
      </c>
      <c r="F7" s="19">
        <v>0.77300000000000002</v>
      </c>
      <c r="G7" s="19">
        <v>0.56020000000000003</v>
      </c>
      <c r="H7" s="19">
        <v>0.3397</v>
      </c>
      <c r="I7" s="19">
        <v>0.59909999999999997</v>
      </c>
      <c r="J7" s="19">
        <v>0.30959999999999999</v>
      </c>
      <c r="K7" s="19">
        <v>0.59399999999999997</v>
      </c>
      <c r="L7" s="19">
        <v>0.59399999999999997</v>
      </c>
      <c r="M7" s="19">
        <v>0.77300000000000002</v>
      </c>
      <c r="N7" s="19">
        <v>0.379</v>
      </c>
      <c r="O7" s="19">
        <v>0.3397</v>
      </c>
      <c r="P7" s="19">
        <v>0.59909999999999997</v>
      </c>
      <c r="Q7" s="19">
        <v>0.30959999999999999</v>
      </c>
      <c r="R7" s="19">
        <v>0.59399999999999997</v>
      </c>
      <c r="S7" s="19">
        <v>0.59399999999999997</v>
      </c>
      <c r="T7" s="19">
        <v>0.77300000000000002</v>
      </c>
      <c r="U7" s="19">
        <v>0.379</v>
      </c>
      <c r="V7" s="17">
        <v>1</v>
      </c>
      <c r="W7" s="17">
        <v>1</v>
      </c>
      <c r="X7" s="17">
        <v>1</v>
      </c>
      <c r="Y7" s="17">
        <v>1</v>
      </c>
      <c r="Z7" s="17">
        <v>1</v>
      </c>
      <c r="AA7" s="17">
        <v>1</v>
      </c>
      <c r="AB7" s="17">
        <v>1</v>
      </c>
      <c r="AC7" s="17">
        <v>1</v>
      </c>
      <c r="AD7" s="17">
        <v>1</v>
      </c>
      <c r="AE7" s="17">
        <v>1</v>
      </c>
      <c r="AF7" s="17">
        <v>1</v>
      </c>
      <c r="AG7" s="17">
        <v>1</v>
      </c>
      <c r="AH7" s="17">
        <v>1</v>
      </c>
      <c r="AI7" s="17">
        <v>1</v>
      </c>
      <c r="AJ7" s="17">
        <v>1</v>
      </c>
    </row>
    <row r="8" spans="1:36">
      <c r="A8" s="1" t="s">
        <v>394</v>
      </c>
      <c r="B8" s="362">
        <v>0.38019999999999998</v>
      </c>
      <c r="C8" s="362">
        <v>0.55130000000000001</v>
      </c>
      <c r="D8" s="362">
        <v>0.20419999999999999</v>
      </c>
      <c r="E8" s="362">
        <v>0.53290000000000004</v>
      </c>
      <c r="F8" s="362">
        <v>0.79210000000000003</v>
      </c>
      <c r="G8" s="362">
        <v>0.54900000000000004</v>
      </c>
      <c r="H8" s="362">
        <v>0.34810000000000002</v>
      </c>
      <c r="I8" s="362">
        <v>0.60209999999999997</v>
      </c>
      <c r="J8" s="362">
        <v>0.31740000000000002</v>
      </c>
      <c r="K8" s="362">
        <v>0.58199999999999996</v>
      </c>
      <c r="L8" s="362">
        <v>0.58199999999999996</v>
      </c>
      <c r="M8" s="362">
        <v>0.79210000000000003</v>
      </c>
      <c r="N8" s="362">
        <v>0.38840000000000002</v>
      </c>
      <c r="O8" s="362">
        <v>0.34810000000000002</v>
      </c>
      <c r="P8" s="362">
        <v>0.60209999999999997</v>
      </c>
      <c r="Q8" s="362">
        <v>0.31740000000000002</v>
      </c>
      <c r="R8" s="362">
        <v>0.58199999999999996</v>
      </c>
      <c r="S8" s="362">
        <v>0.58199999999999996</v>
      </c>
      <c r="T8" s="362">
        <v>0.58199999999999996</v>
      </c>
      <c r="U8" s="362">
        <v>0.38840000000000002</v>
      </c>
      <c r="V8" s="362">
        <v>0.79849999999999999</v>
      </c>
      <c r="W8" s="362">
        <v>0.48230000000000001</v>
      </c>
      <c r="X8" s="362">
        <v>0.68689999999999996</v>
      </c>
      <c r="Y8" s="362">
        <v>0.55200000000000005</v>
      </c>
      <c r="Z8" s="362">
        <v>0.68830000000000002</v>
      </c>
      <c r="AA8" s="362">
        <v>0.89129999999999998</v>
      </c>
      <c r="AB8" s="362">
        <v>0.5464</v>
      </c>
      <c r="AC8" s="362">
        <v>0.89129999999999998</v>
      </c>
      <c r="AD8" s="362">
        <v>0.64739999999999998</v>
      </c>
      <c r="AE8" s="362">
        <v>0.90290000000000004</v>
      </c>
      <c r="AF8" s="362">
        <v>0.90769999999999995</v>
      </c>
      <c r="AG8" s="362">
        <v>0.77939999999999998</v>
      </c>
      <c r="AH8" s="362">
        <v>0.80359999999999998</v>
      </c>
      <c r="AI8" s="362">
        <v>0.73609999999999998</v>
      </c>
      <c r="AJ8" s="362">
        <v>0.84470000000000001</v>
      </c>
    </row>
    <row r="9" spans="1:36">
      <c r="B9" s="17"/>
      <c r="C9" s="17"/>
      <c r="D9" s="17"/>
      <c r="E9" s="17"/>
      <c r="F9" s="17"/>
      <c r="G9" s="17"/>
      <c r="H9" s="17"/>
      <c r="I9" s="17"/>
      <c r="J9" s="17"/>
      <c r="K9" s="17"/>
      <c r="L9" s="17"/>
      <c r="M9" s="17"/>
      <c r="N9" s="17"/>
      <c r="O9" s="17"/>
      <c r="P9" s="17"/>
      <c r="Q9" s="17"/>
      <c r="R9" s="17"/>
      <c r="S9" s="17"/>
      <c r="T9" s="17"/>
      <c r="U9" s="17"/>
    </row>
    <row r="10" spans="1:36">
      <c r="B10" s="17"/>
      <c r="C10" s="17"/>
      <c r="D10" s="17"/>
      <c r="E10" s="17"/>
      <c r="F10" s="17"/>
      <c r="G10" s="17"/>
      <c r="H10" s="17"/>
      <c r="I10" s="17"/>
      <c r="J10" s="17"/>
      <c r="K10" s="17"/>
      <c r="L10" s="17"/>
      <c r="M10" s="17"/>
      <c r="N10" s="17"/>
      <c r="O10" s="17"/>
      <c r="P10" s="17"/>
      <c r="Q10" s="17"/>
      <c r="R10" s="17"/>
      <c r="S10" s="17"/>
      <c r="T10" s="17"/>
      <c r="U10" s="17"/>
    </row>
    <row r="11" spans="1:36">
      <c r="B11" s="17"/>
      <c r="C11" s="17"/>
      <c r="D11" s="17"/>
      <c r="E11" s="17"/>
      <c r="F11" s="17"/>
      <c r="G11" s="17"/>
      <c r="H11" s="17"/>
      <c r="I11" s="17"/>
      <c r="J11" s="17"/>
      <c r="K11" s="17"/>
      <c r="L11" s="17"/>
      <c r="M11" s="17"/>
      <c r="N11" s="17"/>
      <c r="O11" s="17"/>
      <c r="P11" s="17"/>
      <c r="Q11" s="17"/>
      <c r="R11" s="17"/>
      <c r="S11" s="17"/>
      <c r="T11" s="17"/>
      <c r="U11" s="17"/>
    </row>
    <row r="12" spans="1:36">
      <c r="B12" s="17"/>
      <c r="C12" s="17"/>
      <c r="D12" s="17"/>
      <c r="E12" s="17"/>
      <c r="F12" s="17"/>
      <c r="G12" s="17"/>
      <c r="H12" s="17"/>
      <c r="I12" s="17"/>
      <c r="J12" s="17"/>
      <c r="K12" s="17"/>
      <c r="L12" s="17"/>
      <c r="M12" s="17"/>
      <c r="N12" s="17"/>
      <c r="O12" s="17"/>
      <c r="P12" s="17"/>
      <c r="Q12" s="17"/>
      <c r="R12" s="17"/>
      <c r="S12" s="17"/>
      <c r="T12" s="17"/>
      <c r="U12" s="17"/>
    </row>
    <row r="13" spans="1:36">
      <c r="B13" s="17"/>
      <c r="C13" s="17"/>
      <c r="D13" s="17"/>
      <c r="E13" s="17"/>
      <c r="F13" s="17"/>
      <c r="G13" s="17"/>
      <c r="H13" s="17"/>
      <c r="I13" s="17"/>
      <c r="J13" s="17"/>
      <c r="K13" s="17"/>
      <c r="L13" s="17"/>
      <c r="M13" s="17"/>
      <c r="N13" s="17"/>
      <c r="O13" s="17"/>
      <c r="P13" s="17"/>
      <c r="Q13" s="17"/>
      <c r="R13" s="17"/>
      <c r="S13" s="17"/>
      <c r="T13" s="17"/>
      <c r="U13" s="17"/>
    </row>
    <row r="14" spans="1:36">
      <c r="B14" s="17"/>
      <c r="C14" s="17"/>
      <c r="D14" s="17"/>
      <c r="E14" s="17"/>
      <c r="F14" s="17"/>
      <c r="G14" s="17"/>
      <c r="H14" s="17"/>
      <c r="I14" s="17"/>
      <c r="J14" s="17"/>
      <c r="K14" s="17"/>
      <c r="L14" s="17"/>
      <c r="M14" s="17"/>
      <c r="N14" s="17"/>
      <c r="O14" s="17"/>
      <c r="P14" s="17"/>
      <c r="Q14" s="17"/>
      <c r="R14" s="17"/>
      <c r="S14" s="17"/>
      <c r="T14" s="17"/>
      <c r="U14" s="17"/>
    </row>
    <row r="15" spans="1:36">
      <c r="B15" s="17"/>
      <c r="C15" s="17"/>
      <c r="D15" s="17"/>
      <c r="E15" s="17"/>
      <c r="F15" s="17"/>
      <c r="G15" s="17"/>
      <c r="H15" s="17"/>
      <c r="I15" s="17"/>
      <c r="J15" s="17"/>
      <c r="K15" s="17"/>
      <c r="L15" s="17"/>
      <c r="M15" s="17"/>
      <c r="N15" s="17"/>
      <c r="O15" s="17"/>
      <c r="P15" s="17"/>
      <c r="Q15" s="17"/>
      <c r="R15" s="17"/>
      <c r="S15" s="17"/>
      <c r="T15" s="17"/>
      <c r="U15" s="17"/>
    </row>
    <row r="16" spans="1:36">
      <c r="B16" s="17"/>
      <c r="C16" s="17"/>
      <c r="D16" s="17"/>
      <c r="E16" s="17"/>
      <c r="F16" s="17"/>
      <c r="G16" s="17"/>
      <c r="H16" s="17"/>
      <c r="I16" s="17"/>
      <c r="J16" s="17"/>
      <c r="K16" s="17"/>
      <c r="L16" s="17"/>
      <c r="M16" s="17"/>
      <c r="N16" s="17"/>
      <c r="O16" s="17"/>
      <c r="P16" s="17"/>
      <c r="Q16" s="17"/>
      <c r="R16" s="17"/>
      <c r="S16" s="17"/>
      <c r="T16" s="17"/>
      <c r="U16" s="17"/>
    </row>
    <row r="17" spans="2:21">
      <c r="B17" s="17"/>
      <c r="C17" s="17"/>
      <c r="D17" s="17"/>
      <c r="E17" s="17"/>
      <c r="F17" s="17"/>
      <c r="G17" s="17"/>
      <c r="H17" s="17"/>
      <c r="I17" s="17"/>
      <c r="J17" s="17"/>
      <c r="K17" s="17"/>
      <c r="L17" s="17"/>
      <c r="M17" s="17"/>
      <c r="N17" s="17"/>
      <c r="O17" s="17"/>
      <c r="P17" s="17"/>
      <c r="Q17" s="17"/>
      <c r="R17" s="17"/>
      <c r="S17" s="17"/>
      <c r="T17" s="17"/>
      <c r="U17" s="17"/>
    </row>
    <row r="18" spans="2:21">
      <c r="B18" s="17"/>
      <c r="C18" s="17"/>
      <c r="D18" s="17"/>
      <c r="E18" s="17"/>
      <c r="F18" s="17"/>
      <c r="G18" s="17"/>
      <c r="H18" s="17"/>
      <c r="I18" s="17"/>
      <c r="J18" s="17"/>
      <c r="K18" s="17"/>
      <c r="L18" s="17"/>
      <c r="M18" s="17"/>
      <c r="N18" s="17"/>
      <c r="O18" s="17"/>
      <c r="P18" s="17"/>
      <c r="Q18" s="17"/>
      <c r="R18" s="17"/>
      <c r="S18" s="17"/>
      <c r="T18" s="17"/>
      <c r="U18" s="17"/>
    </row>
    <row r="19" spans="2:21">
      <c r="B19" s="17"/>
      <c r="C19" s="17"/>
      <c r="D19" s="17"/>
      <c r="E19" s="17"/>
      <c r="F19" s="17"/>
      <c r="G19" s="17"/>
      <c r="H19" s="17"/>
      <c r="I19" s="17"/>
      <c r="J19" s="17"/>
      <c r="K19" s="17"/>
      <c r="L19" s="17"/>
      <c r="M19" s="17"/>
      <c r="N19" s="17"/>
      <c r="O19" s="17"/>
      <c r="P19" s="17"/>
      <c r="Q19" s="17"/>
      <c r="R19" s="17"/>
      <c r="S19" s="17"/>
      <c r="T19" s="17"/>
      <c r="U19" s="17"/>
    </row>
    <row r="20" spans="2:21">
      <c r="B20" s="17"/>
      <c r="C20" s="17"/>
      <c r="D20" s="17"/>
      <c r="E20" s="17"/>
      <c r="F20" s="17"/>
      <c r="G20" s="17"/>
      <c r="H20" s="17"/>
      <c r="I20" s="17"/>
      <c r="J20" s="17"/>
      <c r="K20" s="17"/>
      <c r="L20" s="17"/>
      <c r="M20" s="17"/>
      <c r="N20" s="17"/>
      <c r="O20" s="17"/>
      <c r="P20" s="17"/>
      <c r="Q20" s="17"/>
      <c r="R20" s="17"/>
      <c r="S20" s="17"/>
      <c r="T20" s="17"/>
      <c r="U20" s="17"/>
    </row>
    <row r="21" spans="2:21">
      <c r="B21" s="17"/>
      <c r="C21" s="17"/>
      <c r="D21" s="17"/>
      <c r="E21" s="17"/>
      <c r="F21" s="17"/>
      <c r="G21" s="17"/>
      <c r="H21" s="17"/>
      <c r="I21" s="17"/>
      <c r="J21" s="17"/>
      <c r="K21" s="17"/>
      <c r="L21" s="17"/>
      <c r="M21" s="17"/>
      <c r="N21" s="17"/>
      <c r="O21" s="17"/>
      <c r="P21" s="17"/>
      <c r="Q21" s="17"/>
      <c r="R21" s="17"/>
      <c r="S21" s="17"/>
      <c r="T21" s="17"/>
      <c r="U21" s="17"/>
    </row>
    <row r="22" spans="2:21">
      <c r="B22" s="17"/>
      <c r="C22" s="17"/>
      <c r="D22" s="17"/>
      <c r="E22" s="17"/>
      <c r="F22" s="17"/>
      <c r="G22" s="17"/>
      <c r="H22" s="17"/>
      <c r="I22" s="17"/>
      <c r="J22" s="17"/>
      <c r="K22" s="17"/>
      <c r="L22" s="17"/>
      <c r="M22" s="17"/>
      <c r="N22" s="17"/>
      <c r="O22" s="17"/>
      <c r="P22" s="17"/>
      <c r="Q22" s="17"/>
      <c r="R22" s="17"/>
      <c r="S22" s="17"/>
      <c r="T22" s="17"/>
      <c r="U22" s="17"/>
    </row>
    <row r="23" spans="2:21">
      <c r="B23" s="17"/>
      <c r="C23" s="17"/>
      <c r="D23" s="17"/>
      <c r="E23" s="17"/>
      <c r="F23" s="17"/>
      <c r="G23" s="17"/>
      <c r="H23" s="17"/>
      <c r="I23" s="17"/>
      <c r="J23" s="17"/>
      <c r="K23" s="17"/>
      <c r="L23" s="17"/>
      <c r="M23" s="17"/>
      <c r="N23" s="17"/>
      <c r="O23" s="17"/>
      <c r="P23" s="17"/>
      <c r="Q23" s="17"/>
      <c r="R23" s="17"/>
      <c r="S23" s="17"/>
      <c r="T23" s="17"/>
      <c r="U23" s="17"/>
    </row>
    <row r="24" spans="2:21">
      <c r="B24" s="17"/>
      <c r="C24" s="17"/>
      <c r="D24" s="17"/>
      <c r="E24" s="17"/>
      <c r="F24" s="17"/>
      <c r="G24" s="17"/>
      <c r="H24" s="17"/>
      <c r="I24" s="17"/>
      <c r="J24" s="17"/>
      <c r="K24" s="17"/>
      <c r="L24" s="17"/>
      <c r="M24" s="17"/>
      <c r="N24" s="17"/>
      <c r="O24" s="17"/>
      <c r="P24" s="17"/>
      <c r="Q24" s="17"/>
      <c r="R24" s="17"/>
      <c r="S24" s="17"/>
      <c r="T24" s="17"/>
      <c r="U24" s="17"/>
    </row>
    <row r="25" spans="2:21">
      <c r="B25" s="17"/>
      <c r="C25" s="17"/>
      <c r="D25" s="17"/>
      <c r="E25" s="17"/>
      <c r="F25" s="17"/>
      <c r="G25" s="17"/>
      <c r="H25" s="17"/>
      <c r="I25" s="17"/>
      <c r="J25" s="17"/>
      <c r="K25" s="17"/>
      <c r="L25" s="17"/>
      <c r="M25" s="17"/>
      <c r="N25" s="17"/>
      <c r="O25" s="17"/>
      <c r="P25" s="17"/>
      <c r="Q25" s="17"/>
      <c r="R25" s="17"/>
      <c r="S25" s="17"/>
      <c r="T25" s="17"/>
      <c r="U25" s="17"/>
    </row>
    <row r="26" spans="2:21">
      <c r="B26" s="17"/>
      <c r="C26" s="17"/>
      <c r="D26" s="17"/>
      <c r="E26" s="17"/>
      <c r="F26" s="17"/>
      <c r="G26" s="17"/>
      <c r="H26" s="17"/>
      <c r="I26" s="17"/>
      <c r="J26" s="17"/>
      <c r="K26" s="17"/>
      <c r="L26" s="17"/>
      <c r="M26" s="17"/>
      <c r="N26" s="17"/>
      <c r="O26" s="17"/>
      <c r="P26" s="17"/>
      <c r="Q26" s="17"/>
      <c r="R26" s="17"/>
      <c r="S26" s="17"/>
      <c r="T26" s="17"/>
      <c r="U26" s="17"/>
    </row>
    <row r="27" spans="2:21">
      <c r="B27" s="17"/>
      <c r="C27" s="17"/>
      <c r="D27" s="17"/>
      <c r="E27" s="17"/>
      <c r="F27" s="17"/>
      <c r="G27" s="17"/>
      <c r="H27" s="17"/>
      <c r="I27" s="17"/>
      <c r="J27" s="17"/>
      <c r="K27" s="17"/>
      <c r="L27" s="17"/>
      <c r="M27" s="17"/>
      <c r="N27" s="17"/>
      <c r="O27" s="17"/>
      <c r="P27" s="17"/>
      <c r="Q27" s="17"/>
      <c r="R27" s="17"/>
      <c r="S27" s="17"/>
      <c r="T27" s="17"/>
      <c r="U27" s="17"/>
    </row>
    <row r="28" spans="2:21">
      <c r="B28" s="17"/>
      <c r="C28" s="17"/>
      <c r="D28" s="17"/>
      <c r="E28" s="17"/>
      <c r="F28" s="17"/>
      <c r="G28" s="17"/>
      <c r="H28" s="17"/>
      <c r="I28" s="17"/>
      <c r="J28" s="17"/>
      <c r="K28" s="17"/>
      <c r="L28" s="17"/>
      <c r="M28" s="17"/>
      <c r="N28" s="17"/>
      <c r="O28" s="17"/>
      <c r="P28" s="17"/>
      <c r="Q28" s="17"/>
      <c r="R28" s="17"/>
      <c r="S28" s="17"/>
      <c r="T28" s="17"/>
      <c r="U28" s="17"/>
    </row>
    <row r="29" spans="2:21">
      <c r="B29" s="17"/>
      <c r="C29" s="17"/>
      <c r="D29" s="17"/>
      <c r="E29" s="17"/>
      <c r="F29" s="17"/>
      <c r="G29" s="17"/>
      <c r="H29" s="17"/>
      <c r="I29" s="17"/>
      <c r="J29" s="17"/>
      <c r="K29" s="17"/>
      <c r="L29" s="17"/>
      <c r="M29" s="17"/>
      <c r="N29" s="17"/>
      <c r="O29" s="17"/>
      <c r="P29" s="17"/>
      <c r="Q29" s="17"/>
      <c r="R29" s="17"/>
      <c r="S29" s="17"/>
      <c r="T29" s="17"/>
      <c r="U29" s="17"/>
    </row>
    <row r="30" spans="2:21">
      <c r="B30" s="17"/>
      <c r="C30" s="17"/>
      <c r="D30" s="17"/>
      <c r="E30" s="17"/>
      <c r="F30" s="17"/>
      <c r="G30" s="17"/>
      <c r="H30" s="17"/>
      <c r="I30" s="17"/>
      <c r="J30" s="17"/>
      <c r="K30" s="17"/>
      <c r="L30" s="17"/>
      <c r="M30" s="17"/>
      <c r="N30" s="17"/>
      <c r="O30" s="17"/>
      <c r="P30" s="17"/>
      <c r="Q30" s="17"/>
      <c r="R30" s="17"/>
      <c r="S30" s="17"/>
      <c r="T30" s="17"/>
      <c r="U30" s="17"/>
    </row>
    <row r="31" spans="2:21">
      <c r="B31" s="17"/>
      <c r="C31" s="17"/>
      <c r="D31" s="17"/>
      <c r="E31" s="17"/>
      <c r="F31" s="17"/>
      <c r="G31" s="17"/>
      <c r="H31" s="17"/>
      <c r="I31" s="17"/>
      <c r="J31" s="17"/>
      <c r="K31" s="17"/>
      <c r="L31" s="17"/>
      <c r="M31" s="17"/>
      <c r="N31" s="17"/>
      <c r="O31" s="17"/>
      <c r="P31" s="17"/>
      <c r="Q31" s="17"/>
      <c r="R31" s="17"/>
      <c r="S31" s="17"/>
      <c r="T31" s="17"/>
      <c r="U31" s="17"/>
    </row>
    <row r="32" spans="2:21">
      <c r="B32" s="17"/>
      <c r="C32" s="17"/>
      <c r="D32" s="17"/>
      <c r="E32" s="17"/>
      <c r="F32" s="17"/>
      <c r="G32" s="17"/>
      <c r="H32" s="17"/>
      <c r="I32" s="17"/>
      <c r="J32" s="17"/>
      <c r="K32" s="17"/>
      <c r="L32" s="17"/>
      <c r="M32" s="17"/>
      <c r="N32" s="17"/>
      <c r="O32" s="17"/>
      <c r="P32" s="17"/>
      <c r="Q32" s="17"/>
      <c r="R32" s="17"/>
      <c r="S32" s="17"/>
      <c r="T32" s="17"/>
      <c r="U32" s="17"/>
    </row>
    <row r="33" spans="2:21">
      <c r="B33" s="17"/>
      <c r="C33" s="17"/>
      <c r="D33" s="17"/>
      <c r="E33" s="17"/>
      <c r="F33" s="17"/>
      <c r="G33" s="17"/>
      <c r="H33" s="17"/>
      <c r="I33" s="17"/>
      <c r="J33" s="17"/>
      <c r="K33" s="17"/>
      <c r="L33" s="17"/>
      <c r="M33" s="17"/>
      <c r="N33" s="17"/>
      <c r="O33" s="17"/>
      <c r="P33" s="17"/>
      <c r="Q33" s="17"/>
      <c r="R33" s="17"/>
      <c r="S33" s="17"/>
      <c r="T33" s="17"/>
      <c r="U33" s="17"/>
    </row>
    <row r="34" spans="2:21">
      <c r="B34" s="17"/>
      <c r="C34" s="17"/>
      <c r="D34" s="17"/>
      <c r="E34" s="17"/>
      <c r="F34" s="17"/>
      <c r="G34" s="17"/>
      <c r="H34" s="17"/>
      <c r="I34" s="17"/>
      <c r="J34" s="17"/>
      <c r="K34" s="17"/>
      <c r="L34" s="17"/>
      <c r="M34" s="17"/>
      <c r="N34" s="17"/>
      <c r="O34" s="17"/>
      <c r="P34" s="17"/>
      <c r="Q34" s="17"/>
      <c r="R34" s="17"/>
      <c r="S34" s="17"/>
      <c r="T34" s="17"/>
      <c r="U34" s="17"/>
    </row>
    <row r="35" spans="2:21">
      <c r="B35" s="17"/>
      <c r="C35" s="17"/>
      <c r="D35" s="17"/>
      <c r="E35" s="17"/>
      <c r="F35" s="17"/>
      <c r="G35" s="17"/>
      <c r="H35" s="17"/>
      <c r="I35" s="17"/>
      <c r="J35" s="17"/>
      <c r="K35" s="17"/>
      <c r="L35" s="17"/>
      <c r="M35" s="17"/>
      <c r="N35" s="17"/>
      <c r="O35" s="17"/>
      <c r="P35" s="17"/>
      <c r="Q35" s="17"/>
      <c r="R35" s="17"/>
      <c r="S35" s="17"/>
      <c r="T35" s="17"/>
      <c r="U35" s="17"/>
    </row>
    <row r="36" spans="2:21">
      <c r="B36" s="17"/>
      <c r="C36" s="17"/>
      <c r="D36" s="17"/>
      <c r="E36" s="17"/>
      <c r="F36" s="17"/>
      <c r="G36" s="17"/>
      <c r="H36" s="17"/>
      <c r="I36" s="17"/>
      <c r="J36" s="17"/>
      <c r="K36" s="17"/>
      <c r="L36" s="17"/>
      <c r="M36" s="17"/>
      <c r="N36" s="17"/>
      <c r="O36" s="17"/>
      <c r="P36" s="17"/>
      <c r="Q36" s="17"/>
      <c r="R36" s="17"/>
      <c r="S36" s="17"/>
      <c r="T36" s="17"/>
      <c r="U36" s="17"/>
    </row>
    <row r="37" spans="2:21">
      <c r="B37" s="17"/>
      <c r="C37" s="17"/>
      <c r="D37" s="17"/>
      <c r="E37" s="17"/>
      <c r="F37" s="17"/>
      <c r="G37" s="17"/>
      <c r="H37" s="17"/>
      <c r="I37" s="17"/>
      <c r="J37" s="17"/>
      <c r="K37" s="17"/>
      <c r="L37" s="17"/>
      <c r="M37" s="17"/>
      <c r="N37" s="17"/>
      <c r="O37" s="17"/>
      <c r="P37" s="17"/>
      <c r="Q37" s="17"/>
      <c r="R37" s="17"/>
      <c r="S37" s="17"/>
      <c r="T37" s="17"/>
      <c r="U37" s="17"/>
    </row>
    <row r="38" spans="2:21">
      <c r="B38" s="17"/>
      <c r="C38" s="17"/>
      <c r="D38" s="17"/>
      <c r="E38" s="17"/>
      <c r="F38" s="17"/>
      <c r="G38" s="17"/>
      <c r="H38" s="17"/>
      <c r="I38" s="17"/>
      <c r="J38" s="17"/>
      <c r="K38" s="17"/>
      <c r="L38" s="17"/>
      <c r="M38" s="17"/>
      <c r="N38" s="17"/>
      <c r="O38" s="17"/>
      <c r="P38" s="17"/>
      <c r="Q38" s="17"/>
      <c r="R38" s="17"/>
      <c r="S38" s="17"/>
      <c r="T38" s="17"/>
      <c r="U38" s="17"/>
    </row>
    <row r="39" spans="2:21">
      <c r="B39" s="17"/>
      <c r="C39" s="17"/>
      <c r="D39" s="17"/>
      <c r="E39" s="17"/>
      <c r="F39" s="17"/>
      <c r="G39" s="17"/>
      <c r="H39" s="17"/>
      <c r="I39" s="17"/>
      <c r="J39" s="17"/>
      <c r="K39" s="17"/>
      <c r="L39" s="17"/>
      <c r="M39" s="17"/>
      <c r="N39" s="17"/>
      <c r="O39" s="17"/>
      <c r="P39" s="17"/>
      <c r="Q39" s="17"/>
      <c r="R39" s="17"/>
      <c r="S39" s="17"/>
      <c r="T39" s="17"/>
      <c r="U39" s="17"/>
    </row>
    <row r="40" spans="2:21">
      <c r="B40" s="17"/>
      <c r="C40" s="17"/>
      <c r="D40" s="17"/>
      <c r="E40" s="17"/>
      <c r="F40" s="17"/>
      <c r="G40" s="17"/>
      <c r="H40" s="17"/>
      <c r="I40" s="17"/>
      <c r="J40" s="17"/>
      <c r="K40" s="17"/>
      <c r="L40" s="17"/>
      <c r="M40" s="17"/>
      <c r="N40" s="17"/>
      <c r="O40" s="17"/>
      <c r="P40" s="17"/>
      <c r="Q40" s="17"/>
      <c r="R40" s="17"/>
      <c r="S40" s="17"/>
      <c r="T40" s="17"/>
      <c r="U40" s="17"/>
    </row>
    <row r="41" spans="2:21">
      <c r="B41" s="17"/>
      <c r="C41" s="17"/>
      <c r="D41" s="17"/>
      <c r="E41" s="17"/>
      <c r="F41" s="17"/>
      <c r="G41" s="17"/>
      <c r="H41" s="17"/>
      <c r="I41" s="17"/>
      <c r="J41" s="17"/>
      <c r="K41" s="17"/>
      <c r="L41" s="17"/>
      <c r="M41" s="17"/>
      <c r="N41" s="17"/>
      <c r="O41" s="17"/>
      <c r="P41" s="17"/>
      <c r="Q41" s="17"/>
      <c r="R41" s="17"/>
      <c r="S41" s="17"/>
      <c r="T41" s="17"/>
      <c r="U41" s="17"/>
    </row>
    <row r="42" spans="2:21">
      <c r="B42" s="17"/>
      <c r="C42" s="17"/>
      <c r="D42" s="17"/>
      <c r="E42" s="17"/>
      <c r="F42" s="17"/>
      <c r="G42" s="17"/>
      <c r="H42" s="17"/>
      <c r="I42" s="17"/>
      <c r="J42" s="17"/>
      <c r="K42" s="17"/>
      <c r="L42" s="17"/>
      <c r="M42" s="17"/>
      <c r="N42" s="17"/>
      <c r="O42" s="17"/>
      <c r="P42" s="17"/>
      <c r="Q42" s="17"/>
      <c r="R42" s="17"/>
      <c r="S42" s="17"/>
      <c r="T42" s="17"/>
      <c r="U42" s="17"/>
    </row>
    <row r="43" spans="2:21">
      <c r="B43" s="17"/>
      <c r="C43" s="17"/>
      <c r="D43" s="17"/>
      <c r="E43" s="17"/>
      <c r="F43" s="17"/>
      <c r="G43" s="17"/>
      <c r="H43" s="17"/>
      <c r="I43" s="17"/>
      <c r="J43" s="17"/>
      <c r="K43" s="17"/>
      <c r="L43" s="17"/>
      <c r="M43" s="17"/>
      <c r="N43" s="17"/>
      <c r="O43" s="17"/>
      <c r="P43" s="17"/>
      <c r="Q43" s="17"/>
      <c r="R43" s="17"/>
      <c r="S43" s="17"/>
      <c r="T43" s="17"/>
      <c r="U43" s="17"/>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4"/>
  <dimension ref="A2:P94"/>
  <sheetViews>
    <sheetView workbookViewId="0">
      <selection activeCell="O44" sqref="O44"/>
    </sheetView>
  </sheetViews>
  <sheetFormatPr defaultColWidth="11.42578125" defaultRowHeight="12.75"/>
  <cols>
    <col min="1" max="1" width="14.42578125" customWidth="1"/>
  </cols>
  <sheetData>
    <row r="2" spans="1:4" ht="15.75">
      <c r="A2" s="363" t="s">
        <v>736</v>
      </c>
    </row>
    <row r="4" spans="1:4">
      <c r="A4" t="s">
        <v>737</v>
      </c>
    </row>
    <row r="5" spans="1:4">
      <c r="A5" t="s">
        <v>738</v>
      </c>
    </row>
    <row r="6" spans="1:4">
      <c r="A6" t="s">
        <v>739</v>
      </c>
    </row>
    <row r="7" spans="1:4">
      <c r="A7" t="s">
        <v>740</v>
      </c>
    </row>
    <row r="8" spans="1:4">
      <c r="B8" t="s">
        <v>741</v>
      </c>
    </row>
    <row r="9" spans="1:4">
      <c r="B9" t="s">
        <v>742</v>
      </c>
    </row>
    <row r="10" spans="1:4">
      <c r="B10" t="s">
        <v>743</v>
      </c>
    </row>
    <row r="11" spans="1:4">
      <c r="B11" t="s">
        <v>744</v>
      </c>
    </row>
    <row r="13" spans="1:4">
      <c r="A13" t="s">
        <v>745</v>
      </c>
    </row>
    <row r="15" spans="1:4">
      <c r="B15" s="18">
        <v>2020</v>
      </c>
      <c r="C15" s="18">
        <v>2025</v>
      </c>
      <c r="D15" s="18">
        <v>2030</v>
      </c>
    </row>
    <row r="16" spans="1:4">
      <c r="A16" s="18" t="s">
        <v>746</v>
      </c>
      <c r="B16" s="18">
        <v>304</v>
      </c>
      <c r="C16" s="18">
        <v>351</v>
      </c>
      <c r="D16" s="18">
        <v>405</v>
      </c>
    </row>
    <row r="18" spans="1:9" ht="15.75">
      <c r="A18" s="363" t="s">
        <v>747</v>
      </c>
    </row>
    <row r="19" spans="1:9">
      <c r="B19" t="s">
        <v>31</v>
      </c>
      <c r="C19" t="s">
        <v>30</v>
      </c>
      <c r="D19" t="s">
        <v>29</v>
      </c>
      <c r="G19" t="s">
        <v>429</v>
      </c>
    </row>
    <row r="20" spans="1:9">
      <c r="A20" s="312" t="s">
        <v>65</v>
      </c>
      <c r="B20" s="312" t="s">
        <v>410</v>
      </c>
      <c r="C20" s="312" t="s">
        <v>410</v>
      </c>
      <c r="D20" s="312"/>
      <c r="E20" s="312" t="s">
        <v>430</v>
      </c>
      <c r="H20" t="s">
        <v>646</v>
      </c>
    </row>
    <row r="21" spans="1:9">
      <c r="A21" t="s">
        <v>11</v>
      </c>
      <c r="E21" t="s">
        <v>431</v>
      </c>
      <c r="H21" t="s">
        <v>645</v>
      </c>
    </row>
    <row r="22" spans="1:9">
      <c r="A22" t="s">
        <v>432</v>
      </c>
      <c r="E22" t="s">
        <v>433</v>
      </c>
      <c r="H22" t="s">
        <v>645</v>
      </c>
    </row>
    <row r="23" spans="1:9">
      <c r="A23" t="s">
        <v>13</v>
      </c>
      <c r="H23" t="s">
        <v>645</v>
      </c>
    </row>
    <row r="26" spans="1:9">
      <c r="A26" s="306" t="s">
        <v>434</v>
      </c>
      <c r="B26" s="246"/>
      <c r="C26" s="246"/>
      <c r="D26" s="246"/>
      <c r="E26" s="246"/>
      <c r="F26" s="246"/>
      <c r="G26" s="246"/>
      <c r="H26" s="246"/>
      <c r="I26" s="246"/>
    </row>
    <row r="27" spans="1:9">
      <c r="A27" s="246" t="s">
        <v>748</v>
      </c>
      <c r="B27" s="246"/>
      <c r="C27" s="246"/>
      <c r="D27" s="246"/>
      <c r="E27" s="246"/>
      <c r="F27" s="246"/>
      <c r="G27" s="246"/>
      <c r="H27" s="246"/>
      <c r="I27" s="246"/>
    </row>
    <row r="28" spans="1:9">
      <c r="A28" s="246" t="s">
        <v>749</v>
      </c>
      <c r="B28" s="246"/>
      <c r="C28" s="246"/>
      <c r="D28" s="246"/>
      <c r="E28" s="364"/>
      <c r="F28" s="246"/>
      <c r="G28" s="246"/>
      <c r="H28" s="246"/>
      <c r="I28" s="246"/>
    </row>
    <row r="30" spans="1:9">
      <c r="A30" s="365" t="s">
        <v>750</v>
      </c>
      <c r="B30" t="s">
        <v>751</v>
      </c>
    </row>
    <row r="31" spans="1:9">
      <c r="B31" t="s">
        <v>752</v>
      </c>
    </row>
    <row r="32" spans="1:9">
      <c r="B32" t="s">
        <v>753</v>
      </c>
    </row>
    <row r="36" spans="1:16">
      <c r="A36" t="s">
        <v>754</v>
      </c>
      <c r="M36" t="s">
        <v>755</v>
      </c>
    </row>
    <row r="38" spans="1:16">
      <c r="M38" s="18">
        <v>2020</v>
      </c>
      <c r="N38" s="18">
        <v>2025</v>
      </c>
      <c r="O38" s="18">
        <v>2030</v>
      </c>
    </row>
    <row r="39" spans="1:16">
      <c r="M39" s="18">
        <v>7.6</v>
      </c>
      <c r="N39" s="18">
        <v>24</v>
      </c>
      <c r="O39" s="18">
        <v>46.5</v>
      </c>
      <c r="P39" t="s">
        <v>49</v>
      </c>
    </row>
    <row r="40" spans="1:16">
      <c r="M40" s="366">
        <f>M39/B16</f>
        <v>2.4999999999999998E-2</v>
      </c>
      <c r="N40" s="366">
        <f>N39/C16</f>
        <v>6.8376068376068383E-2</v>
      </c>
      <c r="O40" s="366">
        <f>O39/D16</f>
        <v>0.11481481481481481</v>
      </c>
      <c r="P40" t="s">
        <v>52</v>
      </c>
    </row>
    <row r="44" spans="1:16">
      <c r="L44" s="14" t="s">
        <v>41</v>
      </c>
      <c r="M44">
        <f>AVERAGE(11,13,12,6)</f>
        <v>10.5</v>
      </c>
      <c r="N44">
        <f>AVERAGE(11,12,14,6)</f>
        <v>10.75</v>
      </c>
    </row>
    <row r="45" spans="1:16">
      <c r="L45" s="14" t="s">
        <v>41</v>
      </c>
    </row>
    <row r="46" spans="1:16">
      <c r="L46" s="14" t="s">
        <v>41</v>
      </c>
      <c r="N46" s="14" t="s">
        <v>756</v>
      </c>
    </row>
    <row r="47" spans="1:16">
      <c r="L47" s="14" t="s">
        <v>41</v>
      </c>
    </row>
    <row r="48" spans="1:16">
      <c r="L48" s="14" t="s">
        <v>41</v>
      </c>
    </row>
    <row r="49" spans="1:14">
      <c r="L49" s="14" t="s">
        <v>41</v>
      </c>
    </row>
    <row r="50" spans="1:14">
      <c r="L50" s="14" t="s">
        <v>784</v>
      </c>
    </row>
    <row r="51" spans="1:14">
      <c r="L51" s="14"/>
    </row>
    <row r="52" spans="1:14">
      <c r="L52" s="14"/>
    </row>
    <row r="53" spans="1:14">
      <c r="L53" s="14"/>
    </row>
    <row r="54" spans="1:14">
      <c r="L54" s="14"/>
    </row>
    <row r="55" spans="1:14">
      <c r="A55" s="313" t="s">
        <v>435</v>
      </c>
      <c r="B55" s="158"/>
      <c r="C55" s="158"/>
      <c r="D55" s="158"/>
      <c r="E55" s="158"/>
      <c r="F55" s="158"/>
      <c r="G55" s="158"/>
      <c r="H55" s="158"/>
      <c r="L55" s="14"/>
    </row>
    <row r="56" spans="1:14">
      <c r="A56" s="158" t="s">
        <v>757</v>
      </c>
      <c r="B56" s="158"/>
      <c r="C56" s="158"/>
      <c r="D56" s="158"/>
      <c r="E56" s="158"/>
      <c r="F56" s="158"/>
      <c r="G56" s="158"/>
      <c r="H56" s="158"/>
      <c r="L56" s="14"/>
    </row>
    <row r="57" spans="1:14">
      <c r="A57" s="158" t="s">
        <v>758</v>
      </c>
      <c r="B57" s="158"/>
      <c r="C57" s="158"/>
      <c r="D57" s="158"/>
      <c r="E57" s="158"/>
      <c r="F57" s="158"/>
      <c r="G57" s="158"/>
      <c r="H57" s="158"/>
      <c r="N57" s="14" t="s">
        <v>781</v>
      </c>
    </row>
    <row r="58" spans="1:14">
      <c r="A58" s="158" t="s">
        <v>759</v>
      </c>
      <c r="B58" s="158"/>
      <c r="C58" s="158"/>
      <c r="D58" s="158"/>
      <c r="E58" s="367"/>
      <c r="F58" s="158"/>
      <c r="G58" s="158"/>
      <c r="H58" s="158"/>
    </row>
    <row r="60" spans="1:14">
      <c r="A60" s="365" t="s">
        <v>750</v>
      </c>
      <c r="B60" t="s">
        <v>760</v>
      </c>
    </row>
    <row r="61" spans="1:14">
      <c r="B61" t="s">
        <v>761</v>
      </c>
    </row>
    <row r="62" spans="1:14">
      <c r="B62" t="s">
        <v>762</v>
      </c>
    </row>
    <row r="63" spans="1:14">
      <c r="B63" t="s">
        <v>763</v>
      </c>
    </row>
    <row r="64" spans="1:14">
      <c r="B64" t="s">
        <v>764</v>
      </c>
    </row>
    <row r="65" spans="1:14">
      <c r="B65" t="s">
        <v>765</v>
      </c>
    </row>
    <row r="66" spans="1:14">
      <c r="B66" t="s">
        <v>766</v>
      </c>
    </row>
    <row r="68" spans="1:14">
      <c r="N68" s="14" t="s">
        <v>782</v>
      </c>
    </row>
    <row r="69" spans="1:14">
      <c r="B69" t="s">
        <v>767</v>
      </c>
    </row>
    <row r="70" spans="1:14">
      <c r="B70" t="s">
        <v>768</v>
      </c>
    </row>
    <row r="71" spans="1:14">
      <c r="B71" t="s">
        <v>769</v>
      </c>
    </row>
    <row r="73" spans="1:14">
      <c r="B73" t="s">
        <v>770</v>
      </c>
    </row>
    <row r="74" spans="1:14">
      <c r="B74" t="s">
        <v>771</v>
      </c>
    </row>
    <row r="75" spans="1:14">
      <c r="N75" s="14" t="s">
        <v>783</v>
      </c>
    </row>
    <row r="77" spans="1:14">
      <c r="A77" s="368" t="s">
        <v>772</v>
      </c>
    </row>
    <row r="79" spans="1:14">
      <c r="B79" t="s">
        <v>773</v>
      </c>
    </row>
    <row r="80" spans="1:14">
      <c r="I80" s="370" t="s">
        <v>49</v>
      </c>
    </row>
    <row r="81" spans="1:9">
      <c r="B81" s="628" t="s">
        <v>774</v>
      </c>
      <c r="C81" s="628"/>
      <c r="D81" s="628"/>
      <c r="E81" s="628"/>
      <c r="F81" s="628"/>
      <c r="G81" s="628"/>
      <c r="H81" s="369">
        <v>0.115</v>
      </c>
      <c r="I81" s="111">
        <f>H81*$D$16</f>
        <v>46.575000000000003</v>
      </c>
    </row>
    <row r="82" spans="1:9">
      <c r="B82" s="628" t="s">
        <v>775</v>
      </c>
      <c r="C82" s="628"/>
      <c r="D82" s="628"/>
      <c r="E82" s="628"/>
      <c r="F82" s="628"/>
      <c r="G82" s="628"/>
      <c r="H82" s="369">
        <v>4.5999999999999999E-2</v>
      </c>
      <c r="I82" s="111">
        <f t="shared" ref="I82:I85" si="0">H82*$D$16</f>
        <v>18.63</v>
      </c>
    </row>
    <row r="83" spans="1:9">
      <c r="B83" s="628" t="s">
        <v>776</v>
      </c>
      <c r="C83" s="628"/>
      <c r="D83" s="628"/>
      <c r="E83" s="628"/>
      <c r="F83" s="628"/>
      <c r="G83" s="628"/>
      <c r="H83" s="369">
        <v>0.03</v>
      </c>
      <c r="I83" s="111">
        <f t="shared" si="0"/>
        <v>12.15</v>
      </c>
    </row>
    <row r="84" spans="1:9">
      <c r="B84" s="628" t="s">
        <v>777</v>
      </c>
      <c r="C84" s="628"/>
      <c r="D84" s="628"/>
      <c r="E84" s="628"/>
      <c r="F84" s="628"/>
      <c r="G84" s="628"/>
      <c r="H84" s="369">
        <v>0.1</v>
      </c>
      <c r="I84" s="111">
        <f t="shared" si="0"/>
        <v>40.5</v>
      </c>
    </row>
    <row r="85" spans="1:9">
      <c r="B85" s="628" t="s">
        <v>778</v>
      </c>
      <c r="C85" s="628"/>
      <c r="D85" s="628"/>
      <c r="E85" s="628"/>
      <c r="F85" s="628"/>
      <c r="G85" s="628"/>
      <c r="H85" s="369">
        <v>0.04</v>
      </c>
      <c r="I85" s="111">
        <f t="shared" si="0"/>
        <v>16.2</v>
      </c>
    </row>
    <row r="87" spans="1:9">
      <c r="B87" s="5" t="s">
        <v>779</v>
      </c>
      <c r="C87" s="5"/>
      <c r="D87" s="24">
        <f>SUM(H81:H85)*D16</f>
        <v>134.05500000000001</v>
      </c>
      <c r="E87" s="5" t="s">
        <v>49</v>
      </c>
    </row>
    <row r="89" spans="1:9">
      <c r="E89" s="14"/>
    </row>
    <row r="90" spans="1:9">
      <c r="A90" s="245" t="s">
        <v>436</v>
      </c>
      <c r="B90" s="189"/>
      <c r="C90" s="189"/>
      <c r="E90" s="14"/>
    </row>
    <row r="91" spans="1:9">
      <c r="A91" s="189" t="s">
        <v>437</v>
      </c>
      <c r="B91" s="189"/>
      <c r="C91" s="189"/>
    </row>
    <row r="94" spans="1:9">
      <c r="B94" t="s">
        <v>780</v>
      </c>
    </row>
  </sheetData>
  <mergeCells count="5">
    <mergeCell ref="B81:G81"/>
    <mergeCell ref="B82:G82"/>
    <mergeCell ref="B83:G83"/>
    <mergeCell ref="B84:G84"/>
    <mergeCell ref="B85:G85"/>
  </mergeCells>
  <pageMargins left="0.75" right="0.75" top="1" bottom="1" header="0.5" footer="0.5"/>
  <pageSetup paperSize="9" orientation="portrait" horizontalDpi="4294967292" verticalDpi="4294967292"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KutoolsforExcel</vt:lpstr>
      <vt:lpstr>Index</vt:lpstr>
      <vt:lpstr>References</vt:lpstr>
      <vt:lpstr>Log of Changes</vt:lpstr>
      <vt:lpstr>conversion factors</vt:lpstr>
      <vt:lpstr>access to services</vt:lpstr>
      <vt:lpstr>Fridges</vt:lpstr>
      <vt:lpstr>Lighting</vt:lpstr>
      <vt:lpstr>Electrical efficiency</vt:lpstr>
      <vt:lpstr>Census 2011_17</vt:lpstr>
      <vt:lpstr>2017 end use splits</vt:lpstr>
      <vt:lpstr>Energy_Balance</vt:lpstr>
      <vt:lpstr>RES</vt:lpstr>
      <vt:lpstr>ITEMS_Tech</vt:lpstr>
      <vt:lpstr>ITEMS_Comm</vt:lpstr>
      <vt:lpstr>TS BYDem</vt:lpstr>
      <vt:lpstr>AFA</vt:lpstr>
      <vt:lpstr>Scenarios</vt:lpstr>
    </vt:vector>
  </TitlesOfParts>
  <Company>University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Merven</dc:creator>
  <dc:description>2012EB</dc:description>
  <cp:lastModifiedBy>Bruno Merven</cp:lastModifiedBy>
  <dcterms:created xsi:type="dcterms:W3CDTF">2011-08-29T12:07:49Z</dcterms:created>
  <dcterms:modified xsi:type="dcterms:W3CDTF">2023-09-07T13:16:36Z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176263153553009</vt:r8>
  </property>
</Properties>
</file>