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52265641-5C82-42FC-BCAB-398E968526DF}" xr6:coauthVersionLast="47" xr6:coauthVersionMax="47" xr10:uidLastSave="{00000000-0000-0000-0000-000000000000}"/>
  <bookViews>
    <workbookView xWindow="3120" yWindow="3120" windowWidth="21600" windowHeight="11385" tabRatio="793" firstSheet="1" activeTab="2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Capacity &amp; Production" sheetId="2" r:id="rId6"/>
    <sheet name="INPUT Coke" sheetId="11" r:id="rId7"/>
    <sheet name="INPUT opex costs TNapp" sheetId="23" r:id="rId8"/>
    <sheet name="INPUT Capex costs TNapp" sheetId="37" r:id="rId9"/>
    <sheet name="Scrap" sheetId="15" r:id="rId10"/>
    <sheet name="TNapp - I&amp;S intensity" sheetId="4" r:id="rId11"/>
    <sheet name="AMSA reports" sheetId="9" r:id="rId12"/>
    <sheet name="AcelorMittal sus report data" sheetId="7" r:id="rId13"/>
    <sheet name="AMSA - Saldanha" sheetId="5" r:id="rId14"/>
    <sheet name="AMSA - Vndbjl park" sheetId="17" r:id="rId15"/>
    <sheet name="Blast furnace JPN info" sheetId="8" r:id="rId16"/>
    <sheet name="Vereeniging" sheetId="45" r:id="rId17"/>
    <sheet name="Evraz Highveld" sheetId="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8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2">'[5]Financial Indicators'!$Y$9</definedName>
    <definedName name="CPI.2011" localSheetId="8">'[6]Financial Indicators'!$Y$9</definedName>
    <definedName name="CPI.2011" localSheetId="7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2">'[5]Financial Indicators'!$C$25:$Z$28</definedName>
    <definedName name="Deflator" localSheetId="8">'[6]Financial Indicators'!$C$25:$Z$28</definedName>
    <definedName name="Deflator" localSheetId="7">'[7]Financial Indicators'!$C$25:$Z$28</definedName>
    <definedName name="Deflator">'[8]Financial Indicators'!$C$25:$Z$28</definedName>
    <definedName name="DISCRATE" localSheetId="8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2">'[5]Financial Indicators'!$C$12:$Y$15</definedName>
    <definedName name="EXCH" localSheetId="8">'[6]Financial Indicators'!$C$12:$Y$15</definedName>
    <definedName name="EXCH" localSheetId="7">'[7]Financial Indicators'!$C$12:$Y$15</definedName>
    <definedName name="EXCH">'[8]Financial Indicators'!$C$12:$Y$15</definedName>
    <definedName name="EXCH.year" localSheetId="12">'[5]Financial Indicators'!$D$3:$Y$3</definedName>
    <definedName name="EXCH.year" localSheetId="8">'[6]Financial Indicators'!$D$3:$Y$3</definedName>
    <definedName name="EXCH.year" localSheetId="7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8">'[3]TechRep-Doc'!#REF!</definedName>
    <definedName name="GROWTH">'[3]TechRep-Doc'!#REF!</definedName>
    <definedName name="GROWTH_TID" localSheetId="8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8">'[3]TechRep-Doc'!#REF!</definedName>
    <definedName name="INVCOST">'[3]TechRep-Doc'!#REF!</definedName>
    <definedName name="IS_EE_switch">[2]IND!#REF!</definedName>
    <definedName name="LIFE" localSheetId="8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8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2">#REF!</definedName>
    <definedName name="SASApp_GDPDATA_DISCREPANCY_TABLE" localSheetId="8">#REF!</definedName>
    <definedName name="SASApp_GDPDATA_DISCREPANCY_TABLE" localSheetId="7">#REF!</definedName>
    <definedName name="SASApp_GDPDATA_DISCREPANCY_TABLE" localSheetId="10">#REF!</definedName>
    <definedName name="SASApp_GDPDATA_DISCREPANCY_TABLE">#REF!</definedName>
    <definedName name="SASApp_GDPDATA_SUPPLY_TABLE_FIRST" localSheetId="12">#REF!</definedName>
    <definedName name="SASApp_GDPDATA_SUPPLY_TABLE_FIRST" localSheetId="8">#REF!</definedName>
    <definedName name="SASApp_GDPDATA_SUPPLY_TABLE_FIRST" localSheetId="7">#REF!</definedName>
    <definedName name="SASApp_GDPDATA_SUPPLY_TABLE_FIRST" localSheetId="10">#REF!</definedName>
    <definedName name="SASApp_GDPDATA_SUPPLY_TABLE_FIRST">#REF!</definedName>
    <definedName name="SASApp_GDPDATA_SUPPLY_TABLE_SECOND" localSheetId="12">#REF!</definedName>
    <definedName name="SASApp_GDPDATA_SUPPLY_TABLE_SECOND" localSheetId="8">#REF!</definedName>
    <definedName name="SASApp_GDPDATA_SUPPLY_TABLE_SECOND" localSheetId="7">#REF!</definedName>
    <definedName name="SASApp_GDPDATA_SUPPLY_TABLE_SECOND" localSheetId="10">#REF!</definedName>
    <definedName name="SASApp_GDPDATA_SUPPLY_TABLE_SECOND">#REF!</definedName>
    <definedName name="SASApp_GDPDATA_USE_TABLE_FIRST" localSheetId="12">#REF!</definedName>
    <definedName name="SASApp_GDPDATA_USE_TABLE_FIRST" localSheetId="8">#REF!</definedName>
    <definedName name="SASApp_GDPDATA_USE_TABLE_FIRST" localSheetId="7">#REF!</definedName>
    <definedName name="SASApp_GDPDATA_USE_TABLE_FIRST" localSheetId="10">#REF!</definedName>
    <definedName name="SASApp_GDPDATA_USE_TABLE_FIRST">#REF!</definedName>
    <definedName name="SASApp_GDPDATA_USE_TABLE_SECOND" localSheetId="12">#REF!</definedName>
    <definedName name="SASApp_GDPDATA_USE_TABLE_SECOND" localSheetId="8">#REF!</definedName>
    <definedName name="SASApp_GDPDATA_USE_TABLE_SECOND" localSheetId="7">#REF!</definedName>
    <definedName name="SASApp_GDPDATA_USE_TABLE_SECOND" localSheetId="10">#REF!</definedName>
    <definedName name="SASApp_GDPDATA_USE_TABLE_SECOND">#REF!</definedName>
    <definedName name="SETS" localSheetId="8">'[3]TechRep-Doc'!#REF!</definedName>
    <definedName name="SETS">'[3]TechRep-Doc'!#REF!</definedName>
    <definedName name="TRTGAB005" localSheetId="8">'[3]TechRep-Doc'!#REF!</definedName>
    <definedName name="TRTGAB005">'[3]TechRep-Doc'!#REF!</definedName>
    <definedName name="TRTGAC005" localSheetId="8">'[3]TechRep-Doc'!#REF!</definedName>
    <definedName name="TRTGAC005">'[3]TechRep-Doc'!#REF!</definedName>
    <definedName name="Trucks_15" localSheetId="8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2">'[5]Unit conversion'!$E$7</definedName>
    <definedName name="Unit.GJ" localSheetId="8">'[6]Unit conversion'!$E$7</definedName>
    <definedName name="Unit.GJ" localSheetId="7">'[7]Unit conversion'!$E$7</definedName>
    <definedName name="Unit.GJ">'[8]Unit conversion'!$E$7</definedName>
    <definedName name="Unit.GWh" localSheetId="12">'[5]Unit conversion'!$E$13</definedName>
    <definedName name="Unit.GWh" localSheetId="8">'[6]Unit conversion'!$E$13</definedName>
    <definedName name="Unit.GWh" localSheetId="7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2">'[5]Unit conversion'!$E$22</definedName>
    <definedName name="Unit.kgce" localSheetId="8">'[6]Unit conversion'!$E$22</definedName>
    <definedName name="Unit.kgce" localSheetId="7">'[7]Unit conversion'!$E$22</definedName>
    <definedName name="Unit.kgce">'[8]Unit conversion'!$E$22</definedName>
    <definedName name="Unit.minute">'[4]Unit conversion'!$F$45</definedName>
    <definedName name="Unit.TJ" localSheetId="12">'[5]Unit conversion'!$E$6</definedName>
    <definedName name="Unit.TJ" localSheetId="8">'[6]Unit conversion'!$E$6</definedName>
    <definedName name="Unit.TJ" localSheetId="7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6" i="35" l="1"/>
  <c r="E76" i="35"/>
  <c r="F170" i="35"/>
  <c r="D139" i="35"/>
  <c r="D127" i="35"/>
  <c r="M128" i="35"/>
  <c r="F116" i="35"/>
  <c r="E64" i="35"/>
  <c r="F64" i="35"/>
  <c r="G64" i="35"/>
  <c r="H64" i="35"/>
  <c r="I64" i="35"/>
  <c r="E65" i="35"/>
  <c r="F65" i="35"/>
  <c r="G65" i="35"/>
  <c r="H65" i="35"/>
  <c r="I65" i="35"/>
  <c r="D65" i="35"/>
  <c r="D64" i="35"/>
  <c r="H109" i="11"/>
  <c r="J51" i="11"/>
  <c r="L149" i="35"/>
  <c r="D103" i="37"/>
  <c r="D102" i="37"/>
  <c r="D101" i="37"/>
  <c r="D100" i="37"/>
  <c r="D99" i="37"/>
  <c r="B100" i="37"/>
  <c r="B101" i="37"/>
  <c r="B102" i="37"/>
  <c r="B103" i="37"/>
  <c r="B99" i="37"/>
  <c r="D98" i="37"/>
  <c r="D97" i="37"/>
  <c r="D96" i="37"/>
  <c r="D137" i="23"/>
  <c r="E135" i="10"/>
  <c r="E134" i="10"/>
  <c r="E133" i="10"/>
  <c r="E132" i="10"/>
  <c r="D138" i="23"/>
  <c r="D212" i="10" l="1"/>
  <c r="D211" i="10"/>
  <c r="C222" i="10" s="1"/>
  <c r="C223" i="10" s="1"/>
  <c r="C224" i="10" s="1"/>
  <c r="D213" i="10"/>
  <c r="C226" i="10" s="1"/>
  <c r="C227" i="10" s="1"/>
  <c r="L223" i="10"/>
  <c r="D209" i="10"/>
  <c r="C219" i="10" s="1"/>
  <c r="C220" i="10" s="1"/>
  <c r="Y312" i="2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V213" i="10"/>
  <c r="L228" i="10"/>
  <c r="L224" i="10" s="1"/>
  <c r="L225" i="10" s="1"/>
  <c r="C225" i="10"/>
  <c r="C218" i="10"/>
  <c r="C50" i="2"/>
  <c r="C51" i="2"/>
  <c r="C52" i="2"/>
  <c r="C49" i="2"/>
  <c r="C82" i="35"/>
  <c r="C152" i="35"/>
  <c r="C155" i="35" s="1"/>
  <c r="E121" i="35" s="1"/>
  <c r="C121" i="35"/>
  <c r="D121" i="35" s="1"/>
  <c r="H121" i="35"/>
  <c r="F121" i="35"/>
  <c r="B121" i="35"/>
  <c r="C115" i="35" s="1"/>
  <c r="C116" i="35" s="1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210" i="10" l="1"/>
  <c r="C221" i="10" s="1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AC40" i="17" l="1"/>
  <c r="AA43" i="17"/>
  <c r="O6" i="29"/>
  <c r="B8" i="29"/>
  <c r="H47" i="35"/>
  <c r="M51" i="11"/>
  <c r="M54" i="11"/>
  <c r="I109" i="11" l="1"/>
  <c r="J27" i="11"/>
  <c r="J26" i="11"/>
  <c r="J23" i="11"/>
  <c r="D109" i="11"/>
  <c r="I108" i="11"/>
  <c r="P305" i="2"/>
  <c r="H81" i="35"/>
  <c r="G81" i="35"/>
  <c r="F81" i="35"/>
  <c r="G63" i="35"/>
  <c r="F82" i="35" s="1"/>
  <c r="D82" i="35"/>
  <c r="H75" i="35" l="1"/>
  <c r="G75" i="35"/>
  <c r="F75" i="35"/>
  <c r="E75" i="35"/>
  <c r="D75" i="35"/>
  <c r="C75" i="35"/>
  <c r="L156" i="35"/>
  <c r="H156" i="35"/>
  <c r="H153" i="35"/>
  <c r="K156" i="35"/>
  <c r="K153" i="35"/>
  <c r="C46" i="35"/>
  <c r="C47" i="35"/>
  <c r="C48" i="35"/>
  <c r="C49" i="35"/>
  <c r="C50" i="35"/>
  <c r="C51" i="35"/>
  <c r="C52" i="35"/>
  <c r="C53" i="35"/>
  <c r="C54" i="35"/>
  <c r="C55" i="35"/>
  <c r="E197" i="35"/>
  <c r="E198" i="35"/>
  <c r="E199" i="35"/>
  <c r="E200" i="35"/>
  <c r="E201" i="35"/>
  <c r="D141" i="35" l="1"/>
  <c r="M66" i="2" l="1"/>
  <c r="M78" i="2" s="1"/>
  <c r="M64" i="2"/>
  <c r="M76" i="2" s="1"/>
  <c r="H11" i="2" l="1"/>
  <c r="AA245" i="35" l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6" i="35" l="1"/>
  <c r="J144" i="35"/>
  <c r="D129" i="35"/>
  <c r="J153" i="35" s="1"/>
  <c r="D131" i="35"/>
  <c r="F151" i="35" s="1"/>
  <c r="I69" i="35"/>
  <c r="H76" i="35" s="1"/>
  <c r="H69" i="35"/>
  <c r="G76" i="35" s="1"/>
  <c r="G69" i="35"/>
  <c r="F76" i="35" s="1"/>
  <c r="F69" i="35"/>
  <c r="E69" i="35"/>
  <c r="D69" i="35"/>
  <c r="I63" i="35"/>
  <c r="H82" i="35" s="1"/>
  <c r="H63" i="35"/>
  <c r="G82" i="35" s="1"/>
  <c r="F63" i="35"/>
  <c r="E63" i="35"/>
  <c r="D63" i="35"/>
  <c r="AA108" i="35"/>
  <c r="AA109" i="35" s="1"/>
  <c r="AM140" i="35"/>
  <c r="AC141" i="35"/>
  <c r="AP142" i="35"/>
  <c r="AO144" i="35"/>
  <c r="AG140" i="35" s="1"/>
  <c r="AG143" i="35" s="1"/>
  <c r="AE186" i="35"/>
  <c r="AF186" i="35"/>
  <c r="AD187" i="35"/>
  <c r="AE187" i="35" s="1"/>
  <c r="AD188" i="35"/>
  <c r="AE188" i="35" s="1"/>
  <c r="AD189" i="35"/>
  <c r="AE189" i="35" s="1"/>
  <c r="AD190" i="35"/>
  <c r="AE190" i="35" s="1"/>
  <c r="AG216" i="35"/>
  <c r="AG217" i="35"/>
  <c r="AE218" i="35"/>
  <c r="AG218" i="35"/>
  <c r="AG219" i="35"/>
  <c r="AE220" i="35"/>
  <c r="D133" i="35" s="1"/>
  <c r="G152" i="35" s="1"/>
  <c r="Z229" i="35"/>
  <c r="Z234" i="35"/>
  <c r="Z236" i="35" s="1"/>
  <c r="AH64" i="35"/>
  <c r="AG64" i="35"/>
  <c r="AF64" i="35"/>
  <c r="AH67" i="35"/>
  <c r="AG67" i="35"/>
  <c r="H66" i="35" s="1"/>
  <c r="D76" i="35" s="1"/>
  <c r="AF67" i="35"/>
  <c r="AH70" i="35"/>
  <c r="AG70" i="35"/>
  <c r="AF70" i="35"/>
  <c r="AE70" i="35"/>
  <c r="AD70" i="35"/>
  <c r="AC70" i="35"/>
  <c r="AE64" i="35"/>
  <c r="AD64" i="35"/>
  <c r="AC64" i="35"/>
  <c r="AE67" i="35"/>
  <c r="F66" i="35" s="1"/>
  <c r="AD67" i="35"/>
  <c r="E66" i="35" s="1"/>
  <c r="AC67" i="35"/>
  <c r="D66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G66" i="35" l="1"/>
  <c r="C76" i="35" s="1"/>
  <c r="P6" i="29"/>
  <c r="P9" i="29" s="1"/>
  <c r="D143" i="35"/>
  <c r="AJ217" i="35"/>
  <c r="AG141" i="35"/>
  <c r="P23" i="9"/>
  <c r="P22" i="9"/>
  <c r="O13" i="9"/>
  <c r="AN149" i="35" l="1"/>
  <c r="AN150" i="35" s="1"/>
  <c r="D144" i="35"/>
  <c r="F155" i="35" s="1"/>
  <c r="D128" i="35"/>
  <c r="D140" i="35" l="1"/>
  <c r="I156" i="35" s="1"/>
  <c r="I153" i="35"/>
  <c r="D132" i="35"/>
  <c r="E150" i="35" s="1"/>
  <c r="AA110" i="35" l="1"/>
  <c r="AA112" i="35" s="1"/>
  <c r="C106" i="35" s="1"/>
  <c r="D115" i="35" s="1"/>
  <c r="C108" i="35"/>
  <c r="I121" i="35" s="1"/>
  <c r="AB112" i="35" l="1"/>
  <c r="D106" i="35" s="1"/>
  <c r="C109" i="35" l="1"/>
  <c r="D116" i="35" s="1"/>
  <c r="E106" i="35"/>
  <c r="AF110" i="35"/>
  <c r="E109" i="35" l="1"/>
  <c r="F115" i="35"/>
  <c r="D109" i="35"/>
  <c r="E116" i="35" s="1"/>
  <c r="E115" i="35"/>
  <c r="L76" i="2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9" i="23" l="1"/>
  <c r="D135" i="23"/>
  <c r="Q26" i="10"/>
  <c r="J52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R314" i="2" l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N82" i="2"/>
  <c r="N295" i="2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8" i="2"/>
  <c r="N294" i="2"/>
  <c r="N291" i="2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O82" i="2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R315" i="2"/>
  <c r="R311" i="2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40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5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5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5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5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5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<sst xmlns="http://schemas.openxmlformats.org/spreadsheetml/2006/main" count="3412" uniqueCount="1286">
  <si>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</si>
  <si>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</si>
  <si>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</si>
  <si>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</si>
  <si>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</si>
  <si>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</si>
  <si>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</si>
  <si>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</si>
  <si>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</si>
  <si>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</si>
  <si>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</si>
  <si>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</si>
  <si>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</si>
  <si>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</si>
  <si>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</si>
  <si>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</si>
  <si>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</si>
  <si>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</si>
  <si>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</si>
  <si>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</si>
  <si>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</si>
  <si>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</si>
  <si>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</si>
  <si>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</si>
  <si>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</si>
  <si>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</si>
  <si>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</si>
  <si>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</si>
  <si>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</si>
  <si>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</si>
  <si>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</si>
  <si>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</si>
  <si>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</si>
  <si>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</si>
  <si>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</si>
  <si>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</si>
  <si>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</si>
  <si>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</si>
  <si>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</si>
  <si>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</si>
  <si>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</si>
  <si>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</si>
  <si>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</si>
  <si>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</si>
  <si>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</si>
  <si>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</si>
  <si>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</si>
  <si>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</si>
  <si>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</si>
  <si>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</si>
  <si>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</si>
  <si>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</si>
  <si>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</si>
  <si>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</si>
  <si>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</si>
  <si>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</si>
  <si>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</si>
  <si>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</si>
  <si>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</si>
  <si>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</si>
  <si>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</si>
  <si>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</si>
  <si>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</si>
  <si>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</si>
  <si>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</si>
  <si>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</si>
  <si>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</si>
  <si>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</si>
  <si>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</si>
  <si>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</si>
  <si>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</si>
  <si>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</si>
  <si>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</si>
  <si>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</si>
  <si>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</si>
  <si>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</si>
  <si>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</si>
  <si>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</si>
  <si>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</si>
  <si>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</si>
  <si>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</si>
  <si>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</si>
  <si>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</si>
  <si>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</si>
  <si>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</si>
  <si>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</si>
  <si>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</si>
  <si>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</si>
  <si>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</si>
  <si>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</si>
  <si>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</si>
  <si>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</si>
  <si>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</si>
  <si>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</si>
  <si>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</si>
  <si>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</si>
  <si>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</si>
  <si>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</si>
  <si>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</si>
  <si>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</si>
  <si>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</si>
  <si>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</si>
  <si>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</si>
  <si>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</si>
  <si>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</si>
  <si>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</si>
  <si>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</si>
  <si>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</si>
  <si>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</si>
  <si>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</si>
  <si>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</si>
  <si>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</si>
  <si>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</si>
  <si>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</si>
  <si>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</si>
  <si>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</si>
  <si>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</si>
  <si>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</si>
  <si>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</si>
  <si>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</si>
  <si>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</si>
  <si>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</si>
  <si>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</si>
  <si>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</si>
  <si>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</si>
  <si>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</si>
  <si>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</si>
  <si>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</si>
  <si>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</si>
  <si>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</si>
  <si>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</si>
  <si>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</si>
  <si>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</si>
  <si>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</si>
  <si>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</si>
  <si>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</si>
  <si>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</si>
  <si>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</si>
  <si>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</si>
  <si>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</si>
  <si>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</si>
  <si>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</si>
  <si>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</si>
  <si>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</si>
  <si>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</si>
  <si>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</si>
  <si>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</si>
  <si>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</si>
  <si>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</si>
  <si>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</si>
  <si>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</si>
  <si>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</si>
  <si>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</si>
  <si>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</si>
  <si>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</si>
  <si>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</si>
  <si>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</si>
  <si>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</si>
  <si>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</si>
  <si>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</si>
  <si>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</si>
  <si>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</si>
  <si>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</si>
  <si>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</si>
  <si>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</si>
  <si>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</si>
  <si>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</si>
  <si>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</si>
  <si>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</si>
  <si>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</si>
  <si>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</si>
  <si>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</si>
  <si>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</si>
  <si>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</si>
  <si>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</si>
  <si>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</si>
  <si>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</si>
  <si>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</si>
  <si>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</si>
  <si>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</si>
  <si>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</si>
  <si>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</si>
  <si>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</si>
  <si>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</si>
  <si>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</si>
  <si>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</si>
  <si>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</si>
  <si>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</si>
  <si>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</si>
  <si>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</si>
  <si>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</si>
  <si>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</si>
  <si>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</si>
  <si>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</si>
  <si>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</si>
  <si>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</si>
  <si>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</si>
  <si>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</si>
  <si>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</si>
  <si>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</si>
  <si>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</si>
  <si>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</si>
  <si>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</si>
  <si>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</si>
  <si>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</si>
  <si>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</si>
  <si>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</si>
  <si>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</si>
  <si>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</si>
  <si>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</si>
  <si>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</si>
  <si>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</si>
  <si>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</si>
  <si>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</si>
  <si>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</si>
  <si>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</si>
  <si>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</si>
  <si>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</si>
  <si>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</si>
  <si>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</si>
  <si>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</si>
  <si>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</si>
  <si>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</si>
  <si>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</si>
  <si>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</si>
  <si>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</si>
  <si>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</si>
  <si>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</si>
  <si>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</si>
  <si>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</si>
  <si>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</si>
  <si>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</si>
  <si>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</si>
  <si>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</si>
  <si>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</si>
  <si>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</si>
  <si>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</si>
  <si>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</si>
  <si>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</si>
  <si>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</si>
  <si>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</si>
  <si>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</si>
  <si>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</si>
  <si>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</si>
  <si>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</si>
  <si>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</si>
  <si>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</si>
  <si>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</si>
  <si>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</si>
  <si>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</si>
  <si>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</si>
  <si>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</si>
  <si>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</si>
  <si>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</si>
  <si>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</si>
  <si>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</si>
  <si>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</si>
  <si>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</si>
  <si>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</si>
  <si>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</si>
  <si>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</si>
  <si>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</si>
  <si>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</si>
  <si>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</si>
  <si>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</si>
  <si>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</si>
  <si>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</si>
  <si>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</si>
  <si>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</si>
  <si>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</si>
  <si>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</si>
  <si>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</si>
  <si>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</si>
  <si>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</si>
  <si>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</si>
  <si>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</si>
  <si>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</si>
  <si>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</si>
  <si>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</si>
  <si>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</si>
  <si>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</si>
  <si>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</si>
  <si>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</si>
  <si>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</si>
  <si>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</si>
  <si>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</si>
  <si>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</si>
  <si>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</si>
  <si>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</si>
  <si>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</si>
  <si>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</si>
  <si>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</si>
  <si>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</si>
  <si>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</si>
  <si>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</si>
  <si>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</si>
  <si>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</si>
  <si>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</si>
  <si>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</si>
  <si>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</si>
  <si>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</si>
  <si>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</si>
  <si>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</si>
  <si>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</si>
  <si>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</si>
  <si>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</si>
  <si>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</si>
  <si>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</si>
  <si>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</si>
  <si>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</si>
  <si>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</si>
  <si>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</si>
  <si>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</si>
  <si>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</si>
  <si>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</si>
  <si>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</si>
  <si>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</si>
  <si>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</si>
  <si>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</si>
  <si>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</si>
  <si>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</si>
  <si>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</si>
  <si>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</si>
  <si>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</si>
  <si>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</si>
  <si>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</si>
  <si>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</si>
  <si>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</si>
  <si>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</si>
  <si>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</si>
  <si>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</si>
  <si>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</si>
  <si>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</si>
  <si>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</si>
  <si>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</si>
  <si>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</si>
  <si>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</si>
  <si>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</si>
  <si>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</si>
  <si>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</si>
  <si>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</si>
  <si>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</si>
  <si>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</si>
  <si>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</si>
  <si>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</si>
  <si>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</si>
  <si>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</si>
  <si>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</si>
  <si>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</si>
  <si>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</si>
  <si>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</si>
  <si>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EMISSIONS</t>
  </si>
  <si>
    <t>CO2</t>
  </si>
  <si>
    <t>Basic oxygen furnace</t>
  </si>
  <si>
    <t>Electric arc furnace</t>
  </si>
  <si>
    <t>Pig iron production</t>
  </si>
  <si>
    <t>Sinter</t>
  </si>
  <si>
    <t>Notes:</t>
  </si>
  <si>
    <t>COREX is like an efficient blast furnace</t>
  </si>
  <si>
    <t>Midrex</t>
  </si>
  <si>
    <t>Corex+Midrex</t>
  </si>
  <si>
    <t>Conarc</t>
  </si>
  <si>
    <t>t CO2/tonne output</t>
  </si>
  <si>
    <t>Emissions</t>
  </si>
  <si>
    <t>Here</t>
  </si>
  <si>
    <t>assumption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</si>
  <si>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</si>
  <si>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</si>
  <si>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</si>
  <si>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</si>
  <si>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</si>
  <si>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</si>
  <si>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</si>
  <si>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</si>
  <si>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</si>
  <si>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</si>
  <si>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</si>
  <si>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</si>
  <si>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</si>
  <si>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</si>
  <si>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</si>
  <si>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</si>
  <si>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</si>
  <si>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</si>
  <si>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</si>
  <si>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</si>
  <si>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</si>
  <si>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</si>
  <si>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</si>
  <si>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</si>
  <si>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</si>
  <si>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</si>
  <si>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</si>
  <si>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</si>
  <si>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</si>
  <si>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</si>
  <si>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</si>
  <si>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</si>
  <si>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</si>
  <si>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</si>
  <si>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</si>
  <si>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</si>
  <si>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</si>
  <si>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</si>
  <si>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</si>
  <si>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</si>
  <si>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</si>
  <si>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</si>
  <si>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</si>
  <si>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</si>
  <si>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</si>
  <si>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</si>
  <si>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</si>
  <si>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</si>
  <si>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</si>
  <si>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</si>
  <si>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</si>
  <si>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</si>
  <si>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</si>
  <si>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</si>
  <si>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</si>
  <si>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</si>
  <si>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</si>
  <si>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</si>
  <si>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</si>
  <si>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</si>
  <si>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</si>
  <si>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</si>
  <si>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</si>
  <si>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</si>
  <si>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</si>
  <si>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</si>
  <si>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</si>
  <si>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</si>
  <si>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</si>
  <si>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</si>
  <si>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</si>
  <si>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</si>
  <si>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</si>
  <si>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</si>
  <si>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</si>
  <si>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</si>
  <si>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</si>
  <si>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</si>
  <si>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</si>
  <si>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</si>
  <si>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</si>
  <si>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</si>
  <si>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</si>
  <si>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</si>
  <si>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</si>
  <si>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</si>
  <si>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</si>
  <si>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</si>
  <si>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</si>
  <si>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</si>
  <si>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</si>
  <si>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</si>
  <si>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</si>
  <si>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</si>
  <si>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</si>
  <si>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</si>
  <si>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</si>
  <si>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</si>
  <si>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</si>
  <si>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</si>
  <si>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</si>
  <si>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</si>
  <si>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</si>
  <si>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</si>
  <si>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</si>
  <si>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</si>
  <si>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</si>
  <si>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</si>
  <si>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</si>
  <si>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</si>
  <si>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</si>
  <si>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</si>
  <si>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</si>
  <si>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</si>
  <si>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</si>
  <si>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</si>
  <si>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</si>
  <si>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</si>
  <si>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</si>
  <si>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</si>
  <si>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</si>
  <si>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</si>
  <si>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</si>
  <si>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</si>
  <si>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</si>
  <si>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</si>
  <si>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</si>
  <si>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</si>
  <si>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</si>
  <si>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</si>
  <si>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</si>
  <si>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</si>
  <si>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</si>
  <si>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</si>
  <si>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</si>
  <si>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</si>
  <si>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</si>
  <si>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</si>
  <si>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</si>
  <si>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</si>
  <si>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</si>
  <si>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</si>
  <si>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</si>
  <si>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</si>
  <si>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</si>
  <si>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</si>
  <si>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</si>
  <si>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</si>
  <si>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</si>
  <si>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</si>
  <si>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</si>
  <si>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</si>
  <si>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</si>
  <si>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</si>
  <si>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</si>
  <si>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</si>
  <si>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</si>
  <si>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</si>
  <si>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</si>
  <si>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</si>
  <si>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</si>
  <si>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</si>
  <si>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</si>
  <si>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</si>
  <si>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</si>
  <si>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</si>
  <si>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</si>
  <si>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</si>
  <si>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</si>
  <si>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</si>
  <si>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</si>
  <si>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</si>
  <si>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</si>
  <si>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</si>
  <si>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</si>
  <si>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</si>
  <si>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</si>
  <si>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</si>
  <si>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</si>
  <si>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</si>
  <si>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</si>
  <si>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</si>
  <si>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</si>
  <si>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</si>
  <si>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</si>
  <si>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</si>
  <si>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</si>
  <si>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</si>
  <si>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</si>
  <si>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</si>
  <si>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</si>
  <si>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</si>
  <si>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</si>
  <si>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</si>
  <si>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</si>
  <si>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</si>
  <si>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</si>
  <si>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</si>
  <si>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</si>
  <si>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</si>
  <si>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</si>
  <si>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</si>
  <si>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</si>
  <si>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</si>
  <si>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</si>
  <si>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</si>
  <si>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</si>
  <si>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</si>
  <si>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</si>
  <si>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</si>
  <si>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</si>
  <si>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</si>
  <si>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</si>
  <si>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</si>
  <si>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</si>
  <si>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</si>
  <si>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</si>
  <si>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</si>
  <si>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</si>
  <si>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</si>
  <si>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</si>
  <si>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</si>
  <si>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</si>
  <si>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</si>
  <si>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</si>
  <si>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</si>
  <si>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</si>
  <si>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</si>
  <si>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</si>
  <si>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</si>
  <si>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</si>
  <si>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</si>
  <si>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</si>
  <si>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</si>
  <si>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</si>
  <si>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</si>
  <si>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</si>
  <si>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</si>
  <si>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</si>
  <si>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</si>
  <si>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</si>
  <si>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</si>
  <si>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</si>
  <si>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</si>
  <si>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</si>
  <si>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</si>
  <si>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</si>
  <si>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</si>
  <si>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</si>
  <si>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</si>
  <si>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</si>
  <si>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</si>
  <si>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</si>
  <si>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</si>
  <si>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</si>
  <si>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</si>
  <si>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</si>
  <si>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</si>
  <si>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</si>
  <si>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</si>
  <si>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</si>
  <si>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</si>
  <si>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</si>
  <si>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</si>
  <si>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</si>
  <si>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</si>
  <si>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</si>
  <si>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</si>
  <si>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</si>
  <si>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</si>
  <si>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</si>
  <si>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</si>
  <si>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</si>
  <si>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</si>
  <si>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</si>
  <si>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</si>
  <si>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</si>
  <si>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</si>
  <si>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</si>
  <si>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</si>
  <si>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</si>
  <si>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</si>
  <si>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</si>
  <si>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</si>
  <si>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</si>
  <si>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</si>
  <si>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</si>
  <si>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</si>
  <si>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</si>
  <si>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</si>
  <si>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</si>
  <si>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</si>
  <si>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</si>
  <si>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</si>
  <si>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</si>
  <si>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</si>
  <si>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</si>
  <si>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</si>
  <si>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</si>
  <si>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</si>
  <si>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</si>
  <si>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</si>
  <si>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</si>
  <si>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</si>
  <si>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</si>
  <si>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</si>
  <si>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</si>
  <si>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</si>
  <si>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</si>
  <si>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</si>
  <si>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</si>
  <si>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</si>
  <si>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</si>
  <si>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</si>
  <si>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</si>
  <si>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</si>
  <si>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</si>
  <si>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</si>
  <si>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</si>
  <si>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</si>
  <si>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</si>
  <si>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</si>
  <si>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</si>
  <si>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</si>
  <si>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</si>
  <si>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</si>
  <si>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</si>
  <si>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</si>
  <si>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</si>
  <si>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</si>
  <si>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</si>
  <si>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</si>
  <si>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</si>
  <si>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</si>
  <si>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</si>
  <si>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</si>
  <si>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</si>
  <si>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</si>
  <si>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</si>
  <si>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</si>
  <si>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</si>
  <si>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</si>
  <si>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</si>
  <si>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</si>
  <si>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</si>
  <si>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</si>
  <si>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</si>
  <si>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</si>
  <si>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</si>
  <si>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</si>
  <si>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</si>
  <si>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</si>
  <si>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</si>
  <si>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</si>
  <si>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</si>
  <si>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</si>
  <si>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</si>
  <si>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</si>
  <si>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</si>
  <si>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</si>
  <si>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</si>
  <si>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</si>
  <si>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</si>
  <si>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</si>
  <si>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</si>
  <si>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</si>
  <si>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</si>
  <si>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</si>
  <si>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</si>
  <si>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</si>
  <si>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</si>
  <si>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</si>
  <si>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</si>
  <si>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</si>
  <si>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</si>
  <si>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</si>
  <si>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</si>
  <si>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</si>
  <si>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</si>
  <si>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</si>
  <si>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</si>
  <si>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</si>
  <si>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</si>
  <si>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</si>
  <si>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</si>
  <si>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</si>
  <si>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</si>
  <si>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</si>
  <si>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</si>
  <si>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</si>
  <si>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</si>
  <si>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</si>
  <si>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</si>
  <si>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</si>
  <si>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</si>
  <si>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</si>
  <si>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</si>
  <si>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</si>
  <si>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</si>
  <si>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</si>
  <si>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</si>
  <si>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</si>
  <si>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</si>
  <si>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</si>
  <si>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</si>
  <si>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</si>
  <si>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</si>
  <si>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</si>
  <si>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</si>
  <si>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</si>
  <si>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</si>
  <si>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</si>
  <si>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</si>
  <si>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</si>
  <si>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</si>
  <si>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</si>
  <si>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</si>
  <si>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</si>
  <si>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</si>
  <si>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</si>
  <si>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</si>
  <si>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</si>
  <si>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</si>
  <si>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</si>
  <si>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</si>
  <si>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</si>
  <si>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</si>
  <si>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</si>
  <si>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</si>
  <si>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</si>
  <si>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</si>
  <si>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</si>
  <si>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</si>
  <si>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</si>
  <si>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</si>
  <si>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</si>
  <si>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</si>
  <si>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</si>
  <si>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</si>
  <si>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</si>
  <si>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</si>
  <si>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</si>
  <si>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</si>
  <si>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</si>
  <si>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</si>
  <si>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</si>
  <si>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</si>
  <si>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</si>
  <si>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</si>
  <si>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</si>
  <si>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</si>
  <si>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</si>
  <si>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</si>
  <si>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</si>
  <si>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</si>
  <si>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</si>
  <si>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</si>
  <si>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</si>
  <si>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</si>
  <si>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</si>
  <si>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</si>
  <si>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</si>
  <si>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</si>
  <si>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</si>
  <si>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</si>
  <si>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</si>
  <si>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</si>
  <si>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</si>
  <si>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</si>
  <si>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</si>
  <si>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</si>
  <si>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</si>
  <si>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</si>
  <si>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</si>
  <si>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</si>
  <si>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</si>
  <si>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</si>
  <si>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</si>
  <si>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</si>
  <si>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</si>
  <si>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</si>
  <si>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</si>
  <si>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</si>
  <si>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</si>
  <si>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</si>
  <si>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</si>
  <si>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</si>
  <si>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</si>
  <si>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</si>
  <si>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</si>
  <si>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</si>
  <si>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</si>
  <si>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</si>
  <si>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</si>
  <si>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</si>
  <si>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</si>
  <si>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</si>
  <si>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</si>
  <si>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</si>
  <si>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</si>
  <si>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</si>
  <si>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</si>
  <si>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</si>
  <si>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</si>
  <si>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</si>
  <si>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</si>
  <si>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</si>
  <si>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</si>
  <si>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</si>
  <si>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</si>
  <si>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</si>
  <si>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</si>
  <si>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</si>
  <si>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</si>
  <si>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</si>
  <si>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</si>
  <si>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</si>
  <si>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</si>
  <si>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</si>
  <si>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</si>
  <si>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</si>
  <si>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</si>
  <si>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</si>
  <si>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</si>
  <si>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</si>
  <si>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</si>
  <si>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</si>
  <si>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</si>
  <si>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</si>
  <si>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</si>
  <si>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</si>
  <si>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</si>
  <si>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</si>
  <si>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</si>
  <si>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</si>
  <si>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</si>
  <si>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</si>
  <si>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</si>
  <si>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</si>
  <si>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</si>
  <si>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</si>
  <si>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</si>
  <si>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</si>
  <si>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</si>
  <si>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</si>
  <si>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</si>
  <si>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</si>
  <si>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</si>
  <si>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</si>
  <si>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</si>
  <si>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</si>
  <si>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</si>
  <si>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</si>
  <si>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</si>
  <si>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</si>
  <si>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</si>
  <si>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</si>
  <si>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</si>
  <si>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</si>
  <si>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</si>
  <si>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</si>
  <si>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</si>
  <si>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</si>
  <si>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</si>
  <si>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</si>
  <si>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</si>
  <si>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</si>
  <si>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</si>
  <si>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</si>
  <si>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</si>
  <si>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</si>
  <si>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</si>
  <si>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</si>
  <si>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</si>
  <si>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</si>
  <si>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</si>
  <si>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</si>
  <si>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</si>
  <si>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</si>
  <si>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</si>
  <si>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</si>
  <si>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</si>
  <si>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</si>
  <si>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</si>
  <si>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</si>
  <si>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</si>
  <si>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</si>
  <si>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</si>
  <si>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</si>
  <si>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</si>
  <si>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</si>
  <si>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</si>
  <si>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</si>
  <si>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</si>
  <si>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</si>
  <si>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</si>
  <si>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</si>
  <si>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</si>
  <si>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</si>
  <si>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</si>
  <si>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</si>
  <si>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</si>
  <si>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</si>
  <si>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</si>
  <si>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</si>
  <si>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</si>
  <si>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</si>
  <si>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</si>
  <si>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</si>
  <si>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</si>
  <si>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</si>
  <si>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</si>
  <si>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</si>
  <si>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</si>
  <si>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</si>
  <si>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</si>
  <si>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</si>
  <si>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</si>
  <si>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</si>
  <si>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</si>
  <si>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</si>
  <si>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</si>
  <si>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</si>
  <si>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</si>
  <si>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</si>
  <si>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</si>
  <si>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</si>
  <si>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</si>
  <si>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</si>
  <si>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</si>
  <si>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</si>
  <si>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</si>
  <si>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</si>
  <si>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</si>
  <si>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</si>
  <si>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</si>
  <si>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</si>
  <si>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</si>
  <si>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</si>
  <si>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</si>
  <si>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</si>
  <si>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</si>
  <si>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</si>
  <si>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</si>
  <si>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</si>
  <si>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</si>
  <si>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</si>
  <si>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</si>
  <si>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</si>
  <si>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</si>
  <si>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</si>
  <si>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</si>
  <si>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</si>
  <si>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</si>
  <si>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</si>
  <si>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</si>
  <si>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</si>
  <si>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</si>
  <si>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</si>
  <si>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</si>
  <si>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</si>
  <si>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</si>
  <si>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</si>
  <si>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</si>
  <si>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</si>
  <si>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</si>
  <si>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</si>
  <si>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</si>
  <si>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</si>
  <si>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</si>
  <si>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</si>
  <si>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</si>
  <si>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</si>
  <si>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</si>
  <si>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</si>
  <si>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</si>
  <si>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</si>
  <si>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</si>
  <si>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</si>
  <si>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</si>
  <si>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</si>
  <si>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</si>
  <si>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</si>
  <si>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</si>
  <si>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</si>
  <si>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</si>
  <si>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</si>
  <si>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</si>
  <si>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</si>
  <si>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</si>
  <si>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</si>
  <si>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</si>
  <si>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</si>
  <si>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</si>
  <si>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</si>
  <si>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</si>
  <si>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</si>
  <si>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</si>
  <si>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</si>
  <si>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</si>
  <si>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</si>
  <si>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</si>
  <si>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</si>
  <si>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</si>
  <si>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</si>
  <si>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</si>
  <si>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</si>
  <si>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</si>
  <si>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</si>
  <si>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</si>
  <si>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</si>
  <si>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</si>
  <si>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</si>
  <si>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</si>
  <si>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</si>
  <si>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</si>
  <si>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</si>
  <si>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</si>
  <si>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</si>
  <si>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</si>
  <si>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</si>
  <si>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</si>
  <si>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</si>
  <si>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</si>
  <si>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</si>
  <si>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</si>
  <si>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</si>
  <si>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</si>
  <si>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</si>
  <si>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</si>
  <si>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</si>
  <si>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</si>
  <si>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</si>
  <si>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</si>
  <si>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</si>
  <si>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</si>
  <si>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</si>
  <si>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</si>
  <si>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</si>
  <si>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</si>
  <si>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</si>
  <si>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</si>
  <si>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</si>
  <si>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</si>
  <si>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</si>
  <si>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</si>
  <si>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</si>
  <si>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</si>
  <si>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</si>
  <si>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</si>
  <si>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</si>
  <si>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</si>
  <si>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</si>
  <si>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</si>
  <si>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</si>
  <si>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</si>
  <si>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</si>
  <si>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</si>
  <si>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</si>
  <si>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</si>
  <si>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</si>
  <si>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</si>
  <si>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</si>
  <si>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</si>
  <si>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</si>
  <si>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</si>
  <si>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</si>
  <si>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</si>
  <si>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</si>
  <si>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</si>
  <si>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</si>
  <si>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</si>
  <si>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</si>
  <si>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</si>
  <si>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</si>
  <si>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</si>
  <si>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</si>
  <si>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</si>
  <si>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</si>
  <si>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</si>
  <si>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</si>
  <si>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</si>
  <si>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</si>
  <si>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</si>
  <si>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</si>
  <si>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</si>
  <si>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</si>
  <si>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</si>
  <si>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</si>
  <si>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</si>
  <si>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</si>
  <si>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</si>
  <si>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</si>
  <si>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</si>
  <si>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</si>
  <si>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</si>
  <si>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</si>
  <si>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</si>
  <si>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</si>
  <si>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</si>
  <si>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</si>
  <si>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</si>
  <si>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</si>
  <si>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</si>
  <si>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</si>
  <si>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</si>
  <si>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</si>
  <si>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</si>
  <si>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</si>
  <si>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</si>
  <si>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</si>
  <si>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</si>
  <si>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</si>
  <si>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</si>
  <si>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</si>
  <si>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</si>
  <si>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</si>
  <si>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</si>
  <si>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</si>
  <si>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</si>
  <si>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</si>
  <si>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</si>
  <si>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</si>
  <si>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</si>
  <si>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</si>
  <si>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</si>
  <si>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</si>
  <si>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</si>
  <si>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</si>
  <si>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</si>
  <si>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</si>
  <si>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</si>
  <si>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</si>
  <si>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</si>
  <si>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</si>
  <si>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</si>
  <si>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</si>
  <si>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</si>
  <si>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</si>
  <si>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</si>
  <si>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</si>
  <si>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</si>
  <si>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</si>
  <si>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</si>
  <si>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</si>
  <si>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</si>
  <si>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</si>
  <si>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</si>
  <si>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</si>
  <si>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</si>
  <si>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</si>
  <si>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</si>
  <si>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</si>
  <si>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</si>
  <si>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</si>
  <si>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</si>
  <si>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</si>
  <si>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</si>
  <si>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</si>
  <si>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</si>
  <si>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</si>
  <si>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</si>
  <si>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</si>
  <si>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</si>
  <si>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</si>
  <si>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</si>
  <si>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</si>
  <si>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</si>
  <si>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</si>
  <si>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</si>
  <si>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</si>
  <si>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</si>
  <si>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</si>
  <si>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</si>
  <si>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</si>
  <si>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</si>
  <si>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</si>
  <si>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</si>
  <si>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</si>
  <si>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</si>
  <si>
    <t>Mass of CO2 per tonne produced - Basic oxygen furnace</t>
  </si>
  <si>
    <t>Mass of CO2 per tonne produced - Electric arc furnace</t>
  </si>
  <si>
    <t>Mass of CO2 per tonne produced - Open hearth furnace</t>
  </si>
  <si>
    <t>Mass of CO2 per tonne produced - Pig iron production</t>
  </si>
  <si>
    <t>Mass of CO2 per tonne produced - Direct reduced iron</t>
  </si>
  <si>
    <t>Mass of CO2 per tonne produced - Sinter</t>
  </si>
  <si>
    <t>Mass of CO2 per tonne produced - Pellet</t>
  </si>
  <si>
    <t>Mass of CO2 per tonne produced - Total other</t>
  </si>
  <si>
    <t xml:space="preserve">Emissions factor from latest GHG inventory. </t>
  </si>
  <si>
    <t>From IPCC guidelines</t>
  </si>
  <si>
    <t>Calculate Saldanha emissions factor</t>
  </si>
  <si>
    <t>own calculation</t>
  </si>
  <si>
    <t>not sure I trust this to be so low ~800kg</t>
  </si>
  <si>
    <t>IISCRS</t>
  </si>
  <si>
    <t>Crude Steel</t>
  </si>
  <si>
    <t>BlastFurnace slag</t>
  </si>
  <si>
    <t xml:space="preserve">have removed saldanha from current production mix as it's not likely to restart with coke and coal inputs (they are converting to hydrogen). </t>
  </si>
  <si>
    <t>assume</t>
  </si>
  <si>
    <t>FOM costs</t>
  </si>
  <si>
    <t>NCAP_TLIFE</t>
  </si>
  <si>
    <t>CO2SPIIS</t>
  </si>
  <si>
    <t>Convert from</t>
  </si>
  <si>
    <t>Convert to</t>
  </si>
  <si>
    <t xml:space="preserve">1 2019 ZAR = </t>
  </si>
  <si>
    <t>2022 ZAR</t>
  </si>
  <si>
    <t xml:space="preserve">1 2019 USD = </t>
  </si>
  <si>
    <t>2022 USD</t>
  </si>
  <si>
    <t>step 1</t>
  </si>
  <si>
    <t>step 2</t>
  </si>
  <si>
    <t>Method 1</t>
  </si>
  <si>
    <t xml:space="preserve">2019 ZAR = </t>
  </si>
  <si>
    <t>Method 2</t>
  </si>
  <si>
    <t xml:space="preserve">2022 USD = </t>
  </si>
  <si>
    <t>EXCHANGE rates</t>
  </si>
  <si>
    <t>2019USD to 2022ZAR</t>
  </si>
  <si>
    <t xml:space="preserve">1 2018 USD = </t>
  </si>
  <si>
    <t>Currency conversion:</t>
  </si>
  <si>
    <t>Eur/USD in 2018</t>
  </si>
  <si>
    <t>2018USD to 2022ZAR</t>
  </si>
  <si>
    <t>DEFINE 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</si>
</sst>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9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0" borderId="67" applyNumberFormat="0" applyAlignment="0" applyProtection="0"/>
    <xf numFmtId="0" fontId="60" fillId="29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33" fillId="31" borderId="0" applyNumberFormat="0" applyBorder="0" applyAlignment="0" applyProtection="0"/>
    <xf numFmtId="43" fontId="1" fillId="0" borderId="0" applyFont="0" applyFill="0" applyBorder="0" applyAlignment="0" applyProtection="0"/>
    <xf numFmtId="0" fontId="68" fillId="28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30" borderId="68" applyNumberFormat="0" applyAlignment="0" applyProtection="0"/>
  </cellStyleXfs>
  <cellXfs count="626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0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1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2" borderId="0" xfId="0" applyFill="1"/>
    <xf numFmtId="0" fontId="35" fillId="0" borderId="8" xfId="0" applyFont="1" applyBorder="1"/>
    <xf numFmtId="0" fontId="2" fillId="0" borderId="8" xfId="0" applyFont="1" applyBorder="1"/>
    <xf numFmtId="0" fontId="0" fillId="22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1" borderId="0" xfId="0" applyFill="1"/>
    <xf numFmtId="0" fontId="0" fillId="0" borderId="0" xfId="0" quotePrefix="1"/>
    <xf numFmtId="0" fontId="0" fillId="22" borderId="4" xfId="0" applyFill="1" applyBorder="1"/>
    <xf numFmtId="9" fontId="0" fillId="21" borderId="0" xfId="0" applyNumberFormat="1" applyFill="1"/>
    <xf numFmtId="9" fontId="0" fillId="22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1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3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3" borderId="0" xfId="0" applyNumberFormat="1" applyFill="1"/>
    <xf numFmtId="0" fontId="0" fillId="24" borderId="0" xfId="0" applyFill="1"/>
    <xf numFmtId="2" fontId="0" fillId="24" borderId="0" xfId="0" applyNumberFormat="1" applyFill="1"/>
    <xf numFmtId="9" fontId="0" fillId="24" borderId="0" xfId="0" applyNumberFormat="1" applyFill="1"/>
    <xf numFmtId="172" fontId="0" fillId="24" borderId="0" xfId="20" applyNumberFormat="1" applyFont="1" applyFill="1"/>
    <xf numFmtId="172" fontId="0" fillId="24" borderId="0" xfId="0" applyNumberFormat="1" applyFill="1"/>
    <xf numFmtId="43" fontId="0" fillId="24" borderId="0" xfId="0" applyNumberFormat="1" applyFill="1"/>
    <xf numFmtId="0" fontId="6" fillId="0" borderId="63" xfId="0" applyFont="1" applyBorder="1"/>
    <xf numFmtId="0" fontId="0" fillId="25" borderId="0" xfId="0" applyFill="1"/>
    <xf numFmtId="165" fontId="0" fillId="25" borderId="0" xfId="0" applyNumberFormat="1" applyFill="1"/>
    <xf numFmtId="0" fontId="4" fillId="0" borderId="0" xfId="22"/>
    <xf numFmtId="164" fontId="0" fillId="25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1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6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7" borderId="45" xfId="30" applyFill="1" applyBorder="1" applyAlignment="1">
      <alignment horizontal="left" wrapText="1"/>
    </xf>
    <xf numFmtId="0" fontId="4" fillId="27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3" borderId="0" xfId="0" applyFill="1"/>
    <xf numFmtId="0" fontId="2" fillId="33" borderId="0" xfId="0" applyFont="1" applyFill="1"/>
    <xf numFmtId="0" fontId="53" fillId="33" borderId="7" xfId="29" applyFont="1" applyFill="1" applyBorder="1"/>
    <xf numFmtId="0" fontId="51" fillId="33" borderId="0" xfId="0" applyFont="1" applyFill="1"/>
    <xf numFmtId="175" fontId="50" fillId="33" borderId="0" xfId="28" applyNumberFormat="1" applyFill="1" applyBorder="1" applyAlignment="1">
      <alignment horizontal="left"/>
    </xf>
    <xf numFmtId="0" fontId="51" fillId="33" borderId="0" xfId="29" applyFont="1" applyFill="1"/>
    <xf numFmtId="0" fontId="52" fillId="33" borderId="0" xfId="29" applyFont="1" applyFill="1"/>
    <xf numFmtId="0" fontId="39" fillId="0" borderId="0" xfId="0" applyFont="1"/>
    <xf numFmtId="175" fontId="50" fillId="33" borderId="0" xfId="28" applyNumberFormat="1" applyFill="1"/>
    <xf numFmtId="0" fontId="50" fillId="33" borderId="0" xfId="28" applyFill="1"/>
    <xf numFmtId="175" fontId="50" fillId="33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3" borderId="0" xfId="28" applyFont="1" applyFill="1"/>
    <xf numFmtId="0" fontId="51" fillId="33" borderId="7" xfId="0" applyFont="1" applyFill="1" applyBorder="1"/>
    <xf numFmtId="0" fontId="51" fillId="33" borderId="7" xfId="29" applyFont="1" applyFill="1" applyBorder="1"/>
    <xf numFmtId="0" fontId="51" fillId="33" borderId="0" xfId="29" applyFont="1" applyFill="1" applyAlignment="1">
      <alignment horizontal="center" wrapText="1"/>
    </xf>
    <xf numFmtId="0" fontId="53" fillId="33" borderId="0" xfId="29" applyFont="1" applyFill="1"/>
    <xf numFmtId="0" fontId="4" fillId="33" borderId="0" xfId="29" applyFill="1"/>
    <xf numFmtId="0" fontId="54" fillId="33" borderId="2" xfId="29" applyFont="1" applyFill="1" applyBorder="1"/>
    <xf numFmtId="0" fontId="54" fillId="33" borderId="9" xfId="29" applyFont="1" applyFill="1" applyBorder="1"/>
    <xf numFmtId="0" fontId="54" fillId="33" borderId="2" xfId="29" applyFont="1" applyFill="1" applyBorder="1" applyAlignment="1">
      <alignment horizontal="left"/>
    </xf>
    <xf numFmtId="164" fontId="2" fillId="33" borderId="0" xfId="0" applyNumberFormat="1" applyFont="1" applyFill="1"/>
    <xf numFmtId="164" fontId="0" fillId="33" borderId="0" xfId="0" applyNumberFormat="1" applyFill="1"/>
    <xf numFmtId="0" fontId="10" fillId="33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3" borderId="2" xfId="0" applyFont="1" applyFill="1" applyBorder="1" applyAlignment="1">
      <alignment vertical="center" wrapText="1"/>
    </xf>
    <xf numFmtId="0" fontId="71" fillId="33" borderId="0" xfId="0" applyFont="1" applyFill="1" applyAlignment="1">
      <alignment vertical="center" wrapText="1"/>
    </xf>
    <xf numFmtId="0" fontId="48" fillId="33" borderId="0" xfId="23" applyFill="1"/>
    <xf numFmtId="0" fontId="3" fillId="33" borderId="0" xfId="23" applyFont="1" applyFill="1"/>
    <xf numFmtId="9" fontId="10" fillId="0" borderId="0" xfId="7" applyNumberFormat="1"/>
    <xf numFmtId="0" fontId="5" fillId="0" borderId="0" xfId="7" applyFont="1"/>
    <xf numFmtId="167" fontId="58" fillId="30" borderId="68" xfId="94" applyNumberFormat="1" applyFont="1"/>
    <xf numFmtId="0" fontId="36" fillId="0" borderId="0" xfId="0" applyFont="1" applyAlignment="1">
      <alignment horizontal="left"/>
    </xf>
    <xf numFmtId="167" fontId="36" fillId="0" borderId="0" xfId="0" applyNumberFormat="1" applyFont="1"/>
    <xf numFmtId="0" fontId="36" fillId="0" borderId="0" xfId="0" applyFont="1" applyAlignment="1">
      <alignment horizontal="right"/>
    </xf>
    <xf numFmtId="1" fontId="0" fillId="0" borderId="6" xfId="0" applyNumberFormat="1" applyBorder="1"/>
    <xf numFmtId="1" fontId="0" fillId="0" borderId="7" xfId="0" applyNumberFormat="1" applyBorder="1"/>
    <xf numFmtId="1" fontId="0" fillId="0" borderId="8" xfId="0" applyNumberFormat="1" applyBorder="1"/>
    <xf numFmtId="1" fontId="0" fillId="0" borderId="7" xfId="20" applyNumberFormat="1" applyFont="1" applyBorder="1"/>
    <xf numFmtId="1" fontId="0" fillId="0" borderId="8" xfId="20" applyNumberFormat="1" applyFont="1" applyBorder="1"/>
    <xf numFmtId="175" fontId="69" fillId="33" borderId="0" xfId="28" applyNumberFormat="1" applyFont="1" applyFill="1" applyBorder="1" applyAlignment="1">
      <alignment horizontal="left"/>
    </xf>
    <xf numFmtId="0" fontId="69" fillId="33" borderId="0" xfId="28" applyFont="1" applyFill="1" applyAlignment="1">
      <alignment wrapText="1"/>
    </xf>
    <xf numFmtId="0" fontId="69" fillId="33" borderId="0" xfId="0" applyFon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5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Output" xfId="94" builtinId="21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microsoft.com/office/2017/10/relationships/person" Target="persons/perso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GreenSteel'!$AO$140:$AP$140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GreenSteel'!$AO$141:$AP$141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GreenSteel'!$AB$186:$AB$190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GreenSteel'!$AC$186:$AC$190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GreenSteel'!$AC$214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GreenSteel'!$AB$215:$AB$221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GreenSteel'!$AC$215:$AC$221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55</xdr:row>
      <xdr:rowOff>122465</xdr:rowOff>
    </xdr:from>
    <xdr:to>
      <xdr:col>27</xdr:col>
      <xdr:colOff>258536</xdr:colOff>
      <xdr:row>57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84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19</xdr:row>
      <xdr:rowOff>57150</xdr:rowOff>
    </xdr:from>
    <xdr:to>
      <xdr:col>37</xdr:col>
      <xdr:colOff>78554</xdr:colOff>
      <xdr:row>55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20520213" y="3934385"/>
          <a:ext cx="7248076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150</xdr:row>
      <xdr:rowOff>10748</xdr:rowOff>
    </xdr:from>
    <xdr:to>
      <xdr:col>47</xdr:col>
      <xdr:colOff>263467</xdr:colOff>
      <xdr:row>164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155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158</xdr:row>
      <xdr:rowOff>31375</xdr:rowOff>
    </xdr:from>
    <xdr:to>
      <xdr:col>36</xdr:col>
      <xdr:colOff>347381</xdr:colOff>
      <xdr:row>181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192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193</xdr:row>
      <xdr:rowOff>22413</xdr:rowOff>
    </xdr:from>
    <xdr:to>
      <xdr:col>36</xdr:col>
      <xdr:colOff>331304</xdr:colOff>
      <xdr:row>210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181</xdr:row>
      <xdr:rowOff>89647</xdr:rowOff>
    </xdr:from>
    <xdr:to>
      <xdr:col>28</xdr:col>
      <xdr:colOff>313764</xdr:colOff>
      <xdr:row>183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15</xdr:row>
      <xdr:rowOff>171450</xdr:rowOff>
    </xdr:from>
    <xdr:to>
      <xdr:col>13</xdr:col>
      <xdr:colOff>209550</xdr:colOff>
      <xdr:row>37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3129803"/>
          <a:ext cx="11136727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107</xdr:row>
      <xdr:rowOff>54428</xdr:rowOff>
    </xdr:from>
    <xdr:to>
      <xdr:col>24</xdr:col>
      <xdr:colOff>408213</xdr:colOff>
      <xdr:row>110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127</xdr:row>
      <xdr:rowOff>81642</xdr:rowOff>
    </xdr:from>
    <xdr:to>
      <xdr:col>56</xdr:col>
      <xdr:colOff>485775</xdr:colOff>
      <xdr:row>158</xdr:row>
      <xdr:rowOff>86027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131</xdr:row>
      <xdr:rowOff>108857</xdr:rowOff>
    </xdr:from>
    <xdr:to>
      <xdr:col>24</xdr:col>
      <xdr:colOff>326569</xdr:colOff>
      <xdr:row>134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steelonthenet.com/files/pig-iron.html" TargetMode="Externa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comments" Target="../comments1.x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03" t="s">
        <v>1086</v>
      </c>
      <c r="D1" s="18" t="s">
        <v>1087</v>
      </c>
      <c r="E1" s="18" t="s">
        <v>1088</v>
      </c>
    </row>
    <row r="2" spans="3:5" ht="30" x14ac:dyDescent="0.25">
      <c r="C2" s="304" t="s">
        <v>1089</v>
      </c>
      <c r="D2" t="s">
        <v>1090</v>
      </c>
      <c r="E2" s="504">
        <v>44452</v>
      </c>
    </row>
    <row r="3" spans="3:5" x14ac:dyDescent="0.25">
      <c r="C3" s="304" t="s">
        <v>1091</v>
      </c>
      <c r="D3" t="s">
        <v>1090</v>
      </c>
      <c r="E3" s="505">
        <v>44460</v>
      </c>
    </row>
    <row r="4" spans="3:5" x14ac:dyDescent="0.25">
      <c r="C4" s="304" t="s">
        <v>1092</v>
      </c>
    </row>
    <row r="5" spans="3:5" ht="30" x14ac:dyDescent="0.25">
      <c r="C5" s="304" t="s">
        <v>1093</v>
      </c>
    </row>
    <row r="7" spans="3:5" x14ac:dyDescent="0.25">
      <c r="C7" s="304" t="s">
        <v>1095</v>
      </c>
      <c r="D7" t="s">
        <v>1096</v>
      </c>
      <c r="E7" t="s">
        <v>1097</v>
      </c>
    </row>
    <row r="9" spans="3:5" x14ac:dyDescent="0.25">
      <c r="C9" s="304" t="s">
        <v>1103</v>
      </c>
      <c r="D9" t="s">
        <v>1096</v>
      </c>
      <c r="E9" s="504">
        <v>44732</v>
      </c>
    </row>
    <row r="10" spans="3:5" x14ac:dyDescent="0.25">
      <c r="C10" s="304" t="s">
        <v>1107</v>
      </c>
      <c r="E10" s="504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67"/>
    <col min="2" max="2" width="13.5703125" style="467" customWidth="1"/>
    <col min="3" max="7" width="9.140625" style="467"/>
    <col min="8" max="9" width="10.42578125" style="467" bestFit="1" customWidth="1"/>
    <col min="10" max="10" width="10.85546875" style="467" bestFit="1" customWidth="1"/>
    <col min="11" max="16384" width="9.140625" style="467"/>
  </cols>
  <sheetData>
    <row r="2" spans="2:21" x14ac:dyDescent="0.2">
      <c r="B2" s="479" t="s">
        <v>936</v>
      </c>
    </row>
    <row r="3" spans="2:21" x14ac:dyDescent="0.2">
      <c r="B3" s="482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0"/>
    </row>
    <row r="4" spans="2:21" x14ac:dyDescent="0.2">
      <c r="B4" s="475" t="s">
        <v>934</v>
      </c>
      <c r="G4" s="479" t="s">
        <v>935</v>
      </c>
      <c r="N4" s="479" t="s">
        <v>934</v>
      </c>
      <c r="U4" s="471"/>
    </row>
    <row r="5" spans="2:21" x14ac:dyDescent="0.2">
      <c r="B5" s="482"/>
      <c r="C5" s="481"/>
      <c r="D5" s="481"/>
      <c r="E5" s="480"/>
      <c r="G5" s="483" t="s">
        <v>933</v>
      </c>
      <c r="H5" s="481"/>
      <c r="I5" s="481"/>
      <c r="J5" s="481"/>
      <c r="K5" s="481"/>
      <c r="L5" s="480"/>
      <c r="N5" s="482"/>
      <c r="O5" s="481">
        <v>2020</v>
      </c>
      <c r="P5" s="481">
        <v>2030</v>
      </c>
      <c r="Q5" s="481">
        <v>2040</v>
      </c>
      <c r="R5" s="480"/>
      <c r="U5" s="471"/>
    </row>
    <row r="6" spans="2:21" x14ac:dyDescent="0.2">
      <c r="B6" s="472"/>
      <c r="E6" s="471"/>
      <c r="G6" s="472"/>
      <c r="H6" s="479">
        <v>2020</v>
      </c>
      <c r="I6" s="479">
        <v>2030</v>
      </c>
      <c r="J6" s="479">
        <v>2040</v>
      </c>
      <c r="L6" s="471"/>
      <c r="N6" s="473" t="s">
        <v>932</v>
      </c>
      <c r="O6" s="474">
        <f>SUMIFS(H7:H9,$G$7:$G$9,$B$11)*$N$28</f>
        <v>11152.439999999999</v>
      </c>
      <c r="P6" s="474">
        <f>SUMIFS(I7:I9,$G$7:$G$9,$B$11)*$N$28</f>
        <v>7446.8749999999991</v>
      </c>
      <c r="Q6" s="474">
        <f>SUMIFS(J7:J9,$G$7:$G$9,$B$11)*$N$28</f>
        <v>5361.75</v>
      </c>
      <c r="R6" s="471"/>
      <c r="U6" s="471"/>
    </row>
    <row r="7" spans="2:21" x14ac:dyDescent="0.2">
      <c r="B7" s="475" t="s">
        <v>931</v>
      </c>
      <c r="E7" s="471"/>
      <c r="G7" s="473" t="s">
        <v>484</v>
      </c>
      <c r="H7" s="467">
        <v>500</v>
      </c>
      <c r="I7" s="467">
        <v>400</v>
      </c>
      <c r="J7" s="467">
        <v>200</v>
      </c>
      <c r="L7" s="471"/>
      <c r="N7" s="473" t="s">
        <v>725</v>
      </c>
      <c r="O7" s="478">
        <f>1/SUMIFS(H14:H16,$G$14:$G$16,$B$14)</f>
        <v>1.5037593984962405</v>
      </c>
      <c r="P7" s="478">
        <f>1/SUMIFS(I14:I16,$G$14:$G$16,$B$14)</f>
        <v>1.4705882352941178</v>
      </c>
      <c r="Q7" s="478">
        <f>1/SUMIFS(J14:J16,$G$14:$G$16,$B$14)</f>
        <v>1.3333333333333333</v>
      </c>
      <c r="R7" s="471"/>
      <c r="U7" s="471"/>
    </row>
    <row r="8" spans="2:21" x14ac:dyDescent="0.2">
      <c r="B8" s="476">
        <f>B29</f>
        <v>2028</v>
      </c>
      <c r="E8" s="471"/>
      <c r="G8" s="473" t="s">
        <v>485</v>
      </c>
      <c r="H8" s="467">
        <v>1372</v>
      </c>
      <c r="I8" s="467">
        <v>850</v>
      </c>
      <c r="J8" s="467">
        <v>700</v>
      </c>
      <c r="L8" s="471"/>
      <c r="N8" s="473" t="s">
        <v>683</v>
      </c>
      <c r="O8" s="478">
        <f>ROUNDUP(SUMIFS(H20:H22,$G$20:$G$22,$B$17)/(8760*$T$8),0)</f>
        <v>10</v>
      </c>
      <c r="P8" s="478">
        <f>ROUNDUP(SUMIFS(I20:I22,$G$20:$G$22,$B$17)/(8760*$T$8),0)</f>
        <v>13</v>
      </c>
      <c r="Q8" s="478">
        <f>ROUNDUP(SUMIFS(J20:J22,$G$20:$G$22,$B$17)/(8760*$T$8),0)</f>
        <v>16</v>
      </c>
      <c r="R8" s="471"/>
      <c r="T8" s="477">
        <v>0.9</v>
      </c>
      <c r="U8" s="471"/>
    </row>
    <row r="9" spans="2:21" x14ac:dyDescent="0.2">
      <c r="B9" s="472"/>
      <c r="E9" s="471"/>
      <c r="G9" s="473" t="s">
        <v>923</v>
      </c>
      <c r="H9" s="467">
        <f>AVERAGE(H7:H8)</f>
        <v>936</v>
      </c>
      <c r="I9" s="467">
        <f>AVERAGE(I7:I8)</f>
        <v>625</v>
      </c>
      <c r="J9" s="467">
        <f>AVERAGE(J7:J8)</f>
        <v>450</v>
      </c>
      <c r="L9" s="471"/>
      <c r="N9" s="473" t="s">
        <v>930</v>
      </c>
      <c r="O9" s="467">
        <f>O6*$T$9</f>
        <v>557.62199999999996</v>
      </c>
      <c r="P9" s="467">
        <f>P6*$T$9</f>
        <v>372.34375</v>
      </c>
      <c r="Q9" s="467">
        <f>Q6*$T$9</f>
        <v>268.08750000000003</v>
      </c>
      <c r="R9" s="471"/>
      <c r="T9" s="477">
        <v>0.05</v>
      </c>
      <c r="U9" s="471"/>
    </row>
    <row r="10" spans="2:21" x14ac:dyDescent="0.2">
      <c r="B10" s="475" t="s">
        <v>929</v>
      </c>
      <c r="E10" s="471"/>
      <c r="G10" s="472"/>
      <c r="L10" s="471"/>
      <c r="N10" s="472"/>
      <c r="R10" s="471"/>
      <c r="U10" s="471"/>
    </row>
    <row r="11" spans="2:21" x14ac:dyDescent="0.2">
      <c r="B11" s="476" t="s">
        <v>923</v>
      </c>
      <c r="E11" s="471"/>
      <c r="G11" s="472"/>
      <c r="L11" s="471"/>
      <c r="N11" s="472"/>
      <c r="R11" s="471"/>
      <c r="U11" s="471"/>
    </row>
    <row r="12" spans="2:21" x14ac:dyDescent="0.2">
      <c r="B12" s="472"/>
      <c r="E12" s="471"/>
      <c r="G12" s="475" t="s">
        <v>928</v>
      </c>
      <c r="L12" s="471"/>
      <c r="N12" s="472"/>
      <c r="R12" s="471"/>
      <c r="U12" s="471"/>
    </row>
    <row r="13" spans="2:21" x14ac:dyDescent="0.2">
      <c r="B13" s="475" t="s">
        <v>927</v>
      </c>
      <c r="E13" s="471"/>
      <c r="G13" s="472"/>
      <c r="L13" s="471"/>
      <c r="N13" s="472"/>
      <c r="R13" s="471"/>
      <c r="U13" s="471"/>
    </row>
    <row r="14" spans="2:21" x14ac:dyDescent="0.2">
      <c r="B14" s="476" t="s">
        <v>923</v>
      </c>
      <c r="E14" s="471"/>
      <c r="G14" s="473" t="s">
        <v>484</v>
      </c>
      <c r="H14" s="477">
        <v>0.63</v>
      </c>
      <c r="I14" s="477">
        <v>0.65</v>
      </c>
      <c r="J14" s="477">
        <v>0.7</v>
      </c>
      <c r="L14" s="471"/>
      <c r="N14" s="472"/>
      <c r="R14" s="471"/>
      <c r="U14" s="471"/>
    </row>
    <row r="15" spans="2:21" x14ac:dyDescent="0.2">
      <c r="B15" s="472"/>
      <c r="E15" s="471"/>
      <c r="G15" s="473" t="s">
        <v>485</v>
      </c>
      <c r="H15" s="477">
        <v>0.7</v>
      </c>
      <c r="I15" s="477">
        <v>0.71</v>
      </c>
      <c r="J15" s="477">
        <v>0.8</v>
      </c>
      <c r="L15" s="471"/>
      <c r="N15" s="472"/>
      <c r="R15" s="471"/>
      <c r="U15" s="471"/>
    </row>
    <row r="16" spans="2:21" x14ac:dyDescent="0.2">
      <c r="B16" s="475" t="s">
        <v>926</v>
      </c>
      <c r="E16" s="471"/>
      <c r="G16" s="473" t="s">
        <v>923</v>
      </c>
      <c r="H16" s="467">
        <f>AVERAGE(H14:H15)</f>
        <v>0.66500000000000004</v>
      </c>
      <c r="I16" s="467">
        <f>AVERAGE(I14:I15)</f>
        <v>0.67999999999999994</v>
      </c>
      <c r="J16" s="467">
        <f>AVERAGE(J14:J15)</f>
        <v>0.75</v>
      </c>
      <c r="L16" s="471"/>
      <c r="N16" s="472"/>
      <c r="R16" s="471"/>
      <c r="U16" s="471"/>
    </row>
    <row r="17" spans="2:21" x14ac:dyDescent="0.2">
      <c r="B17" s="476" t="s">
        <v>923</v>
      </c>
      <c r="E17" s="471"/>
      <c r="G17" s="472"/>
      <c r="L17" s="471"/>
      <c r="N17" s="472"/>
      <c r="R17" s="471"/>
      <c r="U17" s="471"/>
    </row>
    <row r="18" spans="2:21" x14ac:dyDescent="0.2">
      <c r="B18" s="472"/>
      <c r="E18" s="471"/>
      <c r="G18" s="475" t="s">
        <v>925</v>
      </c>
      <c r="L18" s="471"/>
      <c r="N18" s="472"/>
      <c r="R18" s="471"/>
      <c r="U18" s="471"/>
    </row>
    <row r="19" spans="2:21" x14ac:dyDescent="0.2">
      <c r="B19" s="470"/>
      <c r="C19" s="469"/>
      <c r="D19" s="469"/>
      <c r="E19" s="468"/>
      <c r="G19" s="473" t="s">
        <v>924</v>
      </c>
      <c r="L19" s="471"/>
      <c r="N19" s="472"/>
      <c r="R19" s="471"/>
      <c r="U19" s="471"/>
    </row>
    <row r="20" spans="2:21" x14ac:dyDescent="0.2">
      <c r="B20" s="482"/>
      <c r="G20" s="473" t="s">
        <v>484</v>
      </c>
      <c r="H20" s="474">
        <v>60000</v>
      </c>
      <c r="I20" s="474">
        <v>90000</v>
      </c>
      <c r="J20" s="474">
        <v>100000</v>
      </c>
      <c r="L20" s="471"/>
      <c r="N20" s="472"/>
      <c r="R20" s="471"/>
      <c r="U20" s="471"/>
    </row>
    <row r="21" spans="2:21" x14ac:dyDescent="0.2">
      <c r="B21" s="472"/>
      <c r="G21" s="473" t="s">
        <v>485</v>
      </c>
      <c r="H21" s="474">
        <v>90000</v>
      </c>
      <c r="I21" s="474">
        <v>100000</v>
      </c>
      <c r="J21" s="474">
        <v>150000</v>
      </c>
      <c r="L21" s="471"/>
      <c r="N21" s="472"/>
      <c r="R21" s="471"/>
      <c r="U21" s="471"/>
    </row>
    <row r="22" spans="2:21" x14ac:dyDescent="0.2">
      <c r="B22" s="472"/>
      <c r="G22" s="473" t="s">
        <v>923</v>
      </c>
      <c r="H22" s="467">
        <f>AVERAGE(H20:H21)</f>
        <v>75000</v>
      </c>
      <c r="I22" s="467">
        <f>AVERAGE(I20:I21)</f>
        <v>95000</v>
      </c>
      <c r="J22" s="467">
        <f>AVERAGE(J20:J21)</f>
        <v>125000</v>
      </c>
      <c r="L22" s="471"/>
      <c r="N22" s="472"/>
      <c r="R22" s="471"/>
      <c r="U22" s="471"/>
    </row>
    <row r="23" spans="2:21" x14ac:dyDescent="0.2">
      <c r="B23" s="472"/>
      <c r="G23" s="472"/>
      <c r="L23" s="471"/>
      <c r="N23" s="472"/>
      <c r="R23" s="471"/>
      <c r="U23" s="471"/>
    </row>
    <row r="24" spans="2:21" x14ac:dyDescent="0.2">
      <c r="B24" s="472"/>
      <c r="G24" s="470"/>
      <c r="H24" s="469"/>
      <c r="I24" s="469"/>
      <c r="J24" s="469"/>
      <c r="K24" s="469"/>
      <c r="L24" s="468"/>
      <c r="N24" s="470"/>
      <c r="O24" s="469"/>
      <c r="P24" s="469"/>
      <c r="Q24" s="469"/>
      <c r="R24" s="468"/>
      <c r="U24" s="471"/>
    </row>
    <row r="25" spans="2:21" x14ac:dyDescent="0.2">
      <c r="B25" s="472"/>
      <c r="U25" s="471"/>
    </row>
    <row r="26" spans="2:21" x14ac:dyDescent="0.2">
      <c r="B26" s="475" t="s">
        <v>1100</v>
      </c>
      <c r="U26" s="471"/>
    </row>
    <row r="27" spans="2:21" x14ac:dyDescent="0.2">
      <c r="B27" s="475"/>
      <c r="U27" s="471"/>
    </row>
    <row r="28" spans="2:21" x14ac:dyDescent="0.2">
      <c r="B28" s="473" t="s">
        <v>1101</v>
      </c>
      <c r="N28" s="467">
        <v>11.914999999999999</v>
      </c>
      <c r="O28" s="484" t="s">
        <v>937</v>
      </c>
      <c r="U28" s="471"/>
    </row>
    <row r="29" spans="2:21" x14ac:dyDescent="0.2">
      <c r="B29" s="472">
        <v>2028</v>
      </c>
      <c r="C29" s="484" t="s">
        <v>1102</v>
      </c>
      <c r="U29" s="471"/>
    </row>
    <row r="30" spans="2:21" x14ac:dyDescent="0.2">
      <c r="B30" s="472">
        <v>2032</v>
      </c>
      <c r="C30" s="484" t="s">
        <v>1106</v>
      </c>
      <c r="U30" s="471"/>
    </row>
    <row r="31" spans="2:21" x14ac:dyDescent="0.2">
      <c r="B31" s="470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3:AS311"/>
  <sheetViews>
    <sheetView tabSelected="1" zoomScale="85" zoomScaleNormal="85" workbookViewId="0">
      <selection activeCell="F82" sqref="F82"/>
    </sheetView>
  </sheetViews>
  <sheetFormatPr defaultRowHeight="15" x14ac:dyDescent="0.25"/>
  <cols>
    <col min="2" max="2" width="17.85546875" customWidth="1"/>
    <col min="3" max="3" width="29" customWidth="1"/>
    <col min="4" max="4" width="13.7109375" bestFit="1" customWidth="1"/>
    <col min="5" max="5" width="14" customWidth="1"/>
    <col min="6" max="6" width="10.7109375" bestFit="1" customWidth="1"/>
    <col min="7" max="7" width="13.28515625" customWidth="1"/>
    <col min="8" max="8" width="13.7109375" bestFit="1" customWidth="1"/>
    <col min="9" max="9" width="14.140625" customWidth="1"/>
    <col min="10" max="10" width="11" customWidth="1"/>
    <col min="12" max="12" width="20.5703125" customWidth="1"/>
    <col min="18" max="18" width="21.28515625" customWidth="1"/>
    <col min="27" max="27" width="9.140625" customWidth="1"/>
  </cols>
  <sheetData>
    <row r="3" spans="1:45" x14ac:dyDescent="0.25">
      <c r="H3" s="4"/>
      <c r="J3" t="s">
        <v>1273</v>
      </c>
      <c r="L3" t="s">
        <v>1274</v>
      </c>
      <c r="M3" s="15"/>
      <c r="N3" s="3"/>
      <c r="Q3" s="464"/>
      <c r="S3" s="118"/>
    </row>
    <row r="4" spans="1:45" x14ac:dyDescent="0.25">
      <c r="H4" s="4" t="s">
        <v>1275</v>
      </c>
      <c r="I4" t="s">
        <v>1271</v>
      </c>
      <c r="J4">
        <v>14.43571</v>
      </c>
      <c r="K4" t="s">
        <v>1276</v>
      </c>
      <c r="L4">
        <v>18.831</v>
      </c>
      <c r="M4" s="5" t="s">
        <v>1270</v>
      </c>
      <c r="N4" s="5"/>
    </row>
    <row r="5" spans="1:45" x14ac:dyDescent="0.25">
      <c r="H5" s="4" t="s">
        <v>1277</v>
      </c>
      <c r="I5" t="s">
        <v>1271</v>
      </c>
      <c r="J5">
        <v>1.1447099999999999</v>
      </c>
      <c r="K5" t="s">
        <v>1278</v>
      </c>
      <c r="L5">
        <v>17.734000000000002</v>
      </c>
      <c r="M5" s="5" t="s">
        <v>1270</v>
      </c>
      <c r="N5" s="5"/>
    </row>
    <row r="6" spans="1:45" x14ac:dyDescent="0.25">
      <c r="H6" t="s">
        <v>923</v>
      </c>
      <c r="I6" s="583" t="s">
        <v>1271</v>
      </c>
      <c r="J6" s="340"/>
      <c r="K6" s="340"/>
      <c r="L6" s="582">
        <v>17.734266525466214</v>
      </c>
      <c r="M6" s="340" t="s">
        <v>1270</v>
      </c>
      <c r="N6" s="5"/>
    </row>
    <row r="8" spans="1:45" x14ac:dyDescent="0.25">
      <c r="H8" t="s">
        <v>923</v>
      </c>
      <c r="I8" s="585" t="s">
        <v>1281</v>
      </c>
      <c r="J8" s="340"/>
      <c r="K8" s="340"/>
      <c r="L8" s="582">
        <v>17.563348184458242</v>
      </c>
      <c r="M8" s="340" t="s">
        <v>1270</v>
      </c>
    </row>
    <row r="11" spans="1:45" x14ac:dyDescent="0.25">
      <c r="H11" t="s">
        <v>740</v>
      </c>
      <c r="I11">
        <v>120</v>
      </c>
      <c r="J11" t="s">
        <v>391</v>
      </c>
    </row>
    <row r="13" spans="1:45" ht="23.25" x14ac:dyDescent="0.35">
      <c r="A13" s="369" t="s">
        <v>973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Y13" s="369" t="s">
        <v>967</v>
      </c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</row>
    <row r="14" spans="1:45" x14ac:dyDescent="0.25">
      <c r="X14" s="487"/>
    </row>
    <row r="15" spans="1:45" x14ac:dyDescent="0.25">
      <c r="B15" s="488"/>
      <c r="C15" s="488"/>
      <c r="D15" s="488" t="s">
        <v>976</v>
      </c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X15" s="487"/>
    </row>
    <row r="16" spans="1:45" x14ac:dyDescent="0.25"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X16" s="487"/>
    </row>
    <row r="17" spans="2:40" ht="21" x14ac:dyDescent="0.35">
      <c r="B17" s="488"/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X17" s="487"/>
      <c r="Z17" s="424" t="s">
        <v>957</v>
      </c>
    </row>
    <row r="18" spans="2:40" ht="21" x14ac:dyDescent="0.35">
      <c r="B18" s="488"/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X18" s="487"/>
      <c r="Z18" s="424"/>
    </row>
    <row r="19" spans="2:40" x14ac:dyDescent="0.25">
      <c r="B19" s="488"/>
      <c r="C19" s="488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Q19" s="18" t="s">
        <v>1279</v>
      </c>
      <c r="X19" s="487"/>
      <c r="Z19" t="s">
        <v>715</v>
      </c>
      <c r="AM19" t="s">
        <v>716</v>
      </c>
    </row>
    <row r="20" spans="2:40" x14ac:dyDescent="0.25">
      <c r="B20" s="488"/>
      <c r="C20" s="488"/>
      <c r="D20" s="488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Q20" s="14"/>
      <c r="R20" s="15"/>
      <c r="S20" s="15"/>
      <c r="T20" s="15" t="s">
        <v>617</v>
      </c>
      <c r="U20" s="15" t="s">
        <v>627</v>
      </c>
      <c r="V20" s="3"/>
      <c r="X20" s="487"/>
      <c r="AM20" t="s">
        <v>717</v>
      </c>
    </row>
    <row r="21" spans="2:40" x14ac:dyDescent="0.25"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Q21" s="4"/>
      <c r="R21" t="s">
        <v>1267</v>
      </c>
      <c r="S21">
        <v>2019</v>
      </c>
      <c r="V21" s="5"/>
      <c r="X21" s="487"/>
      <c r="AM21" t="s">
        <v>718</v>
      </c>
    </row>
    <row r="22" spans="2:40" x14ac:dyDescent="0.25"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Q22" s="4"/>
      <c r="R22" t="s">
        <v>1268</v>
      </c>
      <c r="S22">
        <v>2022</v>
      </c>
      <c r="V22" s="5"/>
      <c r="X22" s="487"/>
      <c r="AM22" t="s">
        <v>719</v>
      </c>
      <c r="AN22" t="s">
        <v>720</v>
      </c>
    </row>
    <row r="23" spans="2:40" x14ac:dyDescent="0.25"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Q23" s="4"/>
      <c r="V23" s="5"/>
      <c r="X23" s="487"/>
      <c r="AM23">
        <v>300</v>
      </c>
      <c r="AN23" t="s">
        <v>721</v>
      </c>
    </row>
    <row r="24" spans="2:40" x14ac:dyDescent="0.25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Q24" s="4"/>
      <c r="R24" t="s">
        <v>1269</v>
      </c>
      <c r="S24">
        <v>1.1519999999999999</v>
      </c>
      <c r="T24" t="s">
        <v>1270</v>
      </c>
      <c r="V24" s="5"/>
      <c r="X24" s="487"/>
      <c r="AM24" t="s">
        <v>722</v>
      </c>
    </row>
    <row r="25" spans="2:40" x14ac:dyDescent="0.25"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Q25" s="4"/>
      <c r="R25" t="s">
        <v>1271</v>
      </c>
      <c r="S25">
        <v>1.145</v>
      </c>
      <c r="T25" t="s">
        <v>1272</v>
      </c>
      <c r="V25" s="5"/>
      <c r="X25" s="487"/>
    </row>
    <row r="26" spans="2:40" x14ac:dyDescent="0.25">
      <c r="B26" s="488"/>
      <c r="C26" s="488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Q26" s="4"/>
      <c r="S26" t="s">
        <v>1273</v>
      </c>
      <c r="U26" t="s">
        <v>1274</v>
      </c>
      <c r="V26" s="5"/>
      <c r="X26" s="487"/>
    </row>
    <row r="27" spans="2:40" x14ac:dyDescent="0.25">
      <c r="B27" s="488"/>
      <c r="C27" s="488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Q27" s="4" t="s">
        <v>1275</v>
      </c>
      <c r="R27" t="s">
        <v>1271</v>
      </c>
      <c r="S27">
        <v>14.43571</v>
      </c>
      <c r="T27" t="s">
        <v>1276</v>
      </c>
      <c r="U27">
        <v>16.637</v>
      </c>
      <c r="V27" s="5" t="s">
        <v>1270</v>
      </c>
      <c r="X27" s="487"/>
    </row>
    <row r="28" spans="2:40" x14ac:dyDescent="0.25">
      <c r="B28" s="488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Q28" s="4" t="s">
        <v>1277</v>
      </c>
      <c r="R28" t="s">
        <v>1271</v>
      </c>
      <c r="S28">
        <v>1.1447099999999999</v>
      </c>
      <c r="T28" t="s">
        <v>1278</v>
      </c>
      <c r="U28">
        <v>18.831</v>
      </c>
      <c r="V28" s="5" t="s">
        <v>1270</v>
      </c>
      <c r="X28" s="487"/>
    </row>
    <row r="29" spans="2:40" x14ac:dyDescent="0.25">
      <c r="B29" s="488"/>
      <c r="C29" s="488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Q29" s="4" t="s">
        <v>923</v>
      </c>
      <c r="R29" t="s">
        <v>1271</v>
      </c>
      <c r="U29">
        <v>17.734000000000002</v>
      </c>
      <c r="V29" s="5" t="s">
        <v>1270</v>
      </c>
      <c r="X29" s="487"/>
    </row>
    <row r="30" spans="2:40" x14ac:dyDescent="0.25"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Q30" s="7"/>
      <c r="R30" s="8"/>
      <c r="S30" s="8"/>
      <c r="T30" s="8"/>
      <c r="U30" s="8"/>
      <c r="V30" s="9"/>
      <c r="X30" s="487"/>
    </row>
    <row r="31" spans="2:40" x14ac:dyDescent="0.25"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X31" s="487"/>
    </row>
    <row r="32" spans="2:40" x14ac:dyDescent="0.25">
      <c r="B32" s="488"/>
      <c r="C32" s="488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X32" s="487"/>
    </row>
    <row r="33" spans="1:24" x14ac:dyDescent="0.25">
      <c r="B33" s="488"/>
      <c r="C33" s="488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X33" s="487"/>
    </row>
    <row r="34" spans="1:24" x14ac:dyDescent="0.25"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X34" s="487"/>
    </row>
    <row r="35" spans="1:24" x14ac:dyDescent="0.25"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X35" s="487"/>
    </row>
    <row r="36" spans="1:24" x14ac:dyDescent="0.25">
      <c r="B36" s="488"/>
      <c r="C36" s="488"/>
      <c r="D36" s="488"/>
      <c r="E36" s="488"/>
      <c r="F36" s="488"/>
      <c r="G36" s="488"/>
      <c r="H36" s="488"/>
      <c r="I36" s="488"/>
      <c r="J36" s="488"/>
      <c r="K36" s="488"/>
      <c r="L36" s="488"/>
      <c r="M36" s="488"/>
      <c r="N36" s="488"/>
      <c r="X36" s="487"/>
    </row>
    <row r="37" spans="1:24" x14ac:dyDescent="0.25">
      <c r="B37" s="488"/>
      <c r="C37" s="488"/>
      <c r="D37" s="488"/>
      <c r="E37" s="488"/>
      <c r="F37" s="488"/>
      <c r="G37" s="488"/>
      <c r="H37" s="488"/>
      <c r="I37" s="488"/>
      <c r="J37" s="488"/>
      <c r="K37" s="488"/>
      <c r="L37" s="488"/>
      <c r="M37" s="488"/>
      <c r="N37" s="488"/>
      <c r="X37" s="487"/>
    </row>
    <row r="38" spans="1:24" x14ac:dyDescent="0.25">
      <c r="B38" s="488"/>
      <c r="C38" s="488"/>
      <c r="D38" s="488"/>
      <c r="E38" s="488"/>
      <c r="F38" s="488"/>
      <c r="G38" s="488"/>
      <c r="H38" s="488"/>
      <c r="I38" s="488"/>
      <c r="J38" s="488"/>
      <c r="K38" s="488"/>
      <c r="L38" s="488"/>
      <c r="M38" s="488"/>
      <c r="N38" s="488"/>
      <c r="X38" s="487"/>
    </row>
    <row r="39" spans="1:24" x14ac:dyDescent="0.25">
      <c r="X39" s="487"/>
    </row>
    <row r="40" spans="1:24" x14ac:dyDescent="0.25">
      <c r="X40" s="487"/>
    </row>
    <row r="41" spans="1:24" x14ac:dyDescent="0.25">
      <c r="X41" s="487"/>
    </row>
    <row r="42" spans="1:24" ht="21" x14ac:dyDescent="0.35">
      <c r="A42" s="424" t="s">
        <v>1179</v>
      </c>
      <c r="X42" s="487"/>
    </row>
    <row r="43" spans="1:24" x14ac:dyDescent="0.25">
      <c r="X43" s="487"/>
    </row>
    <row r="44" spans="1:24" x14ac:dyDescent="0.25">
      <c r="B44" s="555" t="s">
        <v>1108</v>
      </c>
      <c r="C44" s="556"/>
      <c r="D44" s="547"/>
      <c r="E44" s="547"/>
      <c r="F44" s="547"/>
      <c r="G44" s="547"/>
      <c r="H44" s="556"/>
      <c r="I44" s="578"/>
      <c r="X44" s="487"/>
    </row>
    <row r="45" spans="1:24" x14ac:dyDescent="0.25">
      <c r="B45" s="557" t="s">
        <v>1109</v>
      </c>
      <c r="C45" s="557" t="s">
        <v>1110</v>
      </c>
      <c r="D45" s="557" t="s">
        <v>1111</v>
      </c>
      <c r="E45" s="557" t="s">
        <v>1112</v>
      </c>
      <c r="F45" s="557" t="s">
        <v>1113</v>
      </c>
      <c r="G45" s="557" t="s">
        <v>1114</v>
      </c>
      <c r="H45" s="557" t="s">
        <v>1190</v>
      </c>
      <c r="I45" s="579" t="s">
        <v>1115</v>
      </c>
      <c r="X45" s="487"/>
    </row>
    <row r="46" spans="1:24" x14ac:dyDescent="0.25">
      <c r="B46" s="485" t="s">
        <v>946</v>
      </c>
      <c r="C46" s="485" t="str">
        <f t="shared" ref="C46:C55" si="0">"Industry - I&amp;S - "&amp;J46</f>
        <v>Industry - I&amp;S - ToLocalSteelMarket</v>
      </c>
      <c r="D46" t="s">
        <v>139</v>
      </c>
      <c r="E46" t="s">
        <v>1120</v>
      </c>
      <c r="F46" t="s">
        <v>954</v>
      </c>
      <c r="G46" t="s">
        <v>1121</v>
      </c>
      <c r="H46" s="467"/>
      <c r="I46" s="467"/>
      <c r="J46" t="s">
        <v>1166</v>
      </c>
      <c r="X46" s="487"/>
    </row>
    <row r="47" spans="1:24" x14ac:dyDescent="0.25">
      <c r="B47" s="485" t="s">
        <v>945</v>
      </c>
      <c r="C47" s="485" t="str">
        <f t="shared" si="0"/>
        <v>Industry - I&amp;S - Alkaline Electrolysers</v>
      </c>
      <c r="D47" s="485" t="s">
        <v>139</v>
      </c>
      <c r="E47" t="s">
        <v>1183</v>
      </c>
      <c r="F47" s="484" t="s">
        <v>953</v>
      </c>
      <c r="G47" t="s">
        <v>1121</v>
      </c>
      <c r="H47" s="467" t="str">
        <f>C82</f>
        <v>IISELC</v>
      </c>
      <c r="I47" s="484" t="s">
        <v>1235</v>
      </c>
      <c r="J47" t="s">
        <v>1174</v>
      </c>
      <c r="N47" t="s">
        <v>1191</v>
      </c>
      <c r="X47" s="487"/>
    </row>
    <row r="48" spans="1:24" x14ac:dyDescent="0.25">
      <c r="B48" s="485" t="s">
        <v>944</v>
      </c>
      <c r="C48" s="485" t="str">
        <f t="shared" si="0"/>
        <v>Industry - I&amp;S - Battery</v>
      </c>
      <c r="D48" s="485" t="s">
        <v>139</v>
      </c>
      <c r="E48" t="s">
        <v>1183</v>
      </c>
      <c r="F48" s="484" t="s">
        <v>954</v>
      </c>
      <c r="G48" t="s">
        <v>1121</v>
      </c>
      <c r="H48" s="467"/>
      <c r="I48" s="467"/>
      <c r="J48" t="s">
        <v>1167</v>
      </c>
      <c r="X48" s="487"/>
    </row>
    <row r="49" spans="2:36" x14ac:dyDescent="0.25">
      <c r="B49" s="485" t="s">
        <v>943</v>
      </c>
      <c r="C49" s="485" t="str">
        <f t="shared" si="0"/>
        <v>Industry - I&amp;S - Electric Arc</v>
      </c>
      <c r="D49" t="s">
        <v>139</v>
      </c>
      <c r="E49" t="s">
        <v>1120</v>
      </c>
      <c r="F49" s="484" t="s">
        <v>953</v>
      </c>
      <c r="G49" t="s">
        <v>1121</v>
      </c>
      <c r="H49" s="467"/>
      <c r="I49" s="467"/>
      <c r="J49" t="s">
        <v>1173</v>
      </c>
      <c r="X49" s="487"/>
    </row>
    <row r="50" spans="2:36" x14ac:dyDescent="0.25">
      <c r="B50" s="485" t="s">
        <v>942</v>
      </c>
      <c r="C50" s="485" t="str">
        <f t="shared" si="0"/>
        <v>Industry - I&amp;S - HBI Storage</v>
      </c>
      <c r="D50" t="s">
        <v>139</v>
      </c>
      <c r="E50" t="s">
        <v>1120</v>
      </c>
      <c r="F50" s="484" t="s">
        <v>954</v>
      </c>
      <c r="G50" t="s">
        <v>1239</v>
      </c>
      <c r="H50" s="467"/>
      <c r="I50" s="467"/>
      <c r="J50" t="s">
        <v>1172</v>
      </c>
      <c r="X50" s="487"/>
    </row>
    <row r="51" spans="2:36" x14ac:dyDescent="0.25">
      <c r="B51" s="485" t="s">
        <v>941</v>
      </c>
      <c r="C51" s="485" t="str">
        <f t="shared" si="0"/>
        <v>Industry - I&amp;S - H2 DRI</v>
      </c>
      <c r="D51" t="s">
        <v>139</v>
      </c>
      <c r="E51" t="s">
        <v>1120</v>
      </c>
      <c r="F51" s="484" t="s">
        <v>954</v>
      </c>
      <c r="G51" t="s">
        <v>1121</v>
      </c>
      <c r="H51" s="467"/>
      <c r="I51" s="467"/>
      <c r="J51" t="s">
        <v>1170</v>
      </c>
      <c r="X51" s="487"/>
    </row>
    <row r="52" spans="2:36" x14ac:dyDescent="0.25">
      <c r="B52" s="485" t="s">
        <v>940</v>
      </c>
      <c r="C52" s="485" t="str">
        <f t="shared" si="0"/>
        <v>Industry - I&amp;S - H2 Storage</v>
      </c>
      <c r="D52" t="s">
        <v>139</v>
      </c>
      <c r="E52" t="s">
        <v>1120</v>
      </c>
      <c r="F52" s="484" t="s">
        <v>953</v>
      </c>
      <c r="G52" t="s">
        <v>1239</v>
      </c>
      <c r="H52" s="467"/>
      <c r="I52" s="467"/>
      <c r="J52" t="s">
        <v>1171</v>
      </c>
      <c r="X52" s="487"/>
    </row>
    <row r="53" spans="2:36" x14ac:dyDescent="0.25">
      <c r="B53" s="485" t="s">
        <v>938</v>
      </c>
      <c r="C53" s="485" t="str">
        <f t="shared" si="0"/>
        <v>Industry - I&amp;S - Iron Ore Mining</v>
      </c>
      <c r="D53" t="s">
        <v>139</v>
      </c>
      <c r="E53" t="s">
        <v>1120</v>
      </c>
      <c r="F53" s="484" t="s">
        <v>954</v>
      </c>
      <c r="G53" t="s">
        <v>1121</v>
      </c>
      <c r="H53" s="467"/>
      <c r="I53" s="467"/>
      <c r="J53" t="s">
        <v>1168</v>
      </c>
      <c r="X53" s="487"/>
    </row>
    <row r="54" spans="2:36" x14ac:dyDescent="0.25">
      <c r="B54" s="485" t="s">
        <v>1236</v>
      </c>
      <c r="C54" s="485" t="str">
        <f t="shared" si="0"/>
        <v>Industry - I&amp;S - Electricity To - GreenSteel</v>
      </c>
      <c r="D54" t="s">
        <v>139</v>
      </c>
      <c r="E54" t="s">
        <v>1120</v>
      </c>
      <c r="F54" s="484" t="s">
        <v>953</v>
      </c>
      <c r="G54" t="s">
        <v>1121</v>
      </c>
      <c r="H54" s="467"/>
      <c r="I54" s="467"/>
      <c r="J54" t="s">
        <v>1175</v>
      </c>
      <c r="X54" s="487"/>
    </row>
    <row r="55" spans="2:36" x14ac:dyDescent="0.25">
      <c r="B55" t="s">
        <v>1084</v>
      </c>
      <c r="C55" s="485" t="str">
        <f t="shared" si="0"/>
        <v>Industry - I&amp;S - Export Green Iron</v>
      </c>
      <c r="D55" t="s">
        <v>139</v>
      </c>
      <c r="E55" t="s">
        <v>1120</v>
      </c>
      <c r="F55" s="484" t="s">
        <v>954</v>
      </c>
      <c r="G55" t="s">
        <v>1121</v>
      </c>
      <c r="H55" s="467"/>
      <c r="I55" s="467"/>
      <c r="J55" t="s">
        <v>1169</v>
      </c>
      <c r="X55" s="487"/>
    </row>
    <row r="56" spans="2:36" x14ac:dyDescent="0.25">
      <c r="X56" s="487"/>
    </row>
    <row r="57" spans="2:36" x14ac:dyDescent="0.25">
      <c r="X57" s="487"/>
    </row>
    <row r="58" spans="2:36" ht="15.75" x14ac:dyDescent="0.25">
      <c r="B58" s="489" t="s">
        <v>972</v>
      </c>
      <c r="X58" s="487"/>
    </row>
    <row r="59" spans="2:36" x14ac:dyDescent="0.25">
      <c r="C59" s="5"/>
      <c r="D59" s="598" t="s">
        <v>723</v>
      </c>
      <c r="E59" s="599"/>
      <c r="F59" s="600"/>
      <c r="G59" s="598" t="s">
        <v>729</v>
      </c>
      <c r="H59" s="599"/>
      <c r="I59" s="600"/>
      <c r="X59" s="487"/>
    </row>
    <row r="60" spans="2:36" x14ac:dyDescent="0.25">
      <c r="B60" s="8"/>
      <c r="C60" s="9" t="s">
        <v>960</v>
      </c>
      <c r="D60" s="11" t="s">
        <v>724</v>
      </c>
      <c r="E60" s="11">
        <v>2030</v>
      </c>
      <c r="F60" s="431" t="s">
        <v>958</v>
      </c>
      <c r="G60" s="11" t="s">
        <v>724</v>
      </c>
      <c r="H60" s="11">
        <v>2030</v>
      </c>
      <c r="I60" s="431" t="s">
        <v>958</v>
      </c>
      <c r="X60" s="487"/>
      <c r="AB60" s="5"/>
      <c r="AC60" t="s">
        <v>723</v>
      </c>
      <c r="AE60" s="5"/>
      <c r="AF60" t="s">
        <v>729</v>
      </c>
      <c r="AH60" s="5"/>
    </row>
    <row r="61" spans="2:36" x14ac:dyDescent="0.25">
      <c r="B61" s="595" t="s">
        <v>962</v>
      </c>
      <c r="C61" s="5" t="s">
        <v>726</v>
      </c>
      <c r="D61" s="494">
        <v>0.56000000000000005</v>
      </c>
      <c r="E61" s="270">
        <v>0.63</v>
      </c>
      <c r="F61" s="265">
        <v>0.67</v>
      </c>
      <c r="G61" s="264">
        <v>0.63</v>
      </c>
      <c r="H61" s="264">
        <v>0.65</v>
      </c>
      <c r="I61" s="265">
        <v>0.7</v>
      </c>
      <c r="X61" s="487"/>
      <c r="AA61" s="8"/>
      <c r="AB61" s="9" t="s">
        <v>960</v>
      </c>
      <c r="AC61" s="8" t="s">
        <v>724</v>
      </c>
      <c r="AD61" s="8">
        <v>2030</v>
      </c>
      <c r="AE61" s="9" t="s">
        <v>958</v>
      </c>
      <c r="AF61" s="8" t="s">
        <v>724</v>
      </c>
      <c r="AG61" s="8">
        <v>2030</v>
      </c>
      <c r="AH61" s="9" t="s">
        <v>958</v>
      </c>
      <c r="AI61" s="383"/>
      <c r="AJ61" s="383"/>
    </row>
    <row r="62" spans="2:36" x14ac:dyDescent="0.25">
      <c r="B62" s="596"/>
      <c r="C62" s="5" t="s">
        <v>728</v>
      </c>
      <c r="D62" s="494">
        <v>0.6</v>
      </c>
      <c r="E62" s="264">
        <v>0.68</v>
      </c>
      <c r="F62" s="265">
        <v>0.74</v>
      </c>
      <c r="G62" s="264">
        <v>0.7</v>
      </c>
      <c r="H62" s="264">
        <v>0.71</v>
      </c>
      <c r="I62" s="265">
        <v>0.8</v>
      </c>
      <c r="X62" s="487"/>
      <c r="AA62" t="s">
        <v>962</v>
      </c>
      <c r="AB62" s="5" t="s">
        <v>726</v>
      </c>
      <c r="AC62" s="285">
        <v>0.56000000000000005</v>
      </c>
      <c r="AD62" s="122">
        <v>0.63</v>
      </c>
      <c r="AE62" s="293">
        <v>0.67</v>
      </c>
      <c r="AF62" s="285">
        <v>0.63</v>
      </c>
      <c r="AG62" s="285">
        <v>0.65</v>
      </c>
      <c r="AH62" s="293">
        <v>0.7</v>
      </c>
    </row>
    <row r="63" spans="2:36" x14ac:dyDescent="0.25">
      <c r="B63" s="597"/>
      <c r="C63" s="9" t="s">
        <v>923</v>
      </c>
      <c r="D63" s="494">
        <f t="shared" ref="D63:I63" si="1">AVERAGE(D61:D62)</f>
        <v>0.58000000000000007</v>
      </c>
      <c r="E63" s="264">
        <f t="shared" si="1"/>
        <v>0.65500000000000003</v>
      </c>
      <c r="F63" s="265">
        <f t="shared" si="1"/>
        <v>0.70500000000000007</v>
      </c>
      <c r="G63" s="264">
        <f>AVERAGE(G61:G62)</f>
        <v>0.66500000000000004</v>
      </c>
      <c r="H63" s="264">
        <f t="shared" si="1"/>
        <v>0.67999999999999994</v>
      </c>
      <c r="I63" s="265">
        <f t="shared" si="1"/>
        <v>0.75</v>
      </c>
      <c r="X63" s="487"/>
      <c r="AB63" s="5" t="s">
        <v>728</v>
      </c>
      <c r="AC63" s="285">
        <v>0.6</v>
      </c>
      <c r="AD63" s="285">
        <v>0.68</v>
      </c>
      <c r="AE63" s="293">
        <v>0.74</v>
      </c>
      <c r="AF63" s="285">
        <v>0.7</v>
      </c>
      <c r="AG63" s="285">
        <v>0.71</v>
      </c>
      <c r="AH63" s="293">
        <v>0.8</v>
      </c>
    </row>
    <row r="64" spans="2:36" x14ac:dyDescent="0.25">
      <c r="B64" s="595" t="s">
        <v>974</v>
      </c>
      <c r="C64" s="5" t="s">
        <v>726</v>
      </c>
      <c r="D64" s="586">
        <f>AC65*$L$6</f>
        <v>19507.693178012836</v>
      </c>
      <c r="E64" s="587">
        <f t="shared" ref="E64:I66" si="2">AD65*$L$6</f>
        <v>11527.273241553039</v>
      </c>
      <c r="F64" s="588">
        <f t="shared" si="2"/>
        <v>3546.8533050932429</v>
      </c>
      <c r="G64" s="587">
        <f t="shared" si="2"/>
        <v>8867.1332627331067</v>
      </c>
      <c r="H64" s="589">
        <f t="shared" si="2"/>
        <v>7093.7066101864857</v>
      </c>
      <c r="I64" s="590">
        <f t="shared" si="2"/>
        <v>3546.8533050932429</v>
      </c>
      <c r="L64" t="s">
        <v>975</v>
      </c>
      <c r="X64" s="487"/>
      <c r="AA64" s="8"/>
      <c r="AB64" s="9" t="s">
        <v>923</v>
      </c>
      <c r="AC64" s="264">
        <f t="shared" ref="AC64:AH64" si="3">AVERAGE(AC62:AC63)</f>
        <v>0.58000000000000007</v>
      </c>
      <c r="AD64" s="264">
        <f t="shared" si="3"/>
        <v>0.65500000000000003</v>
      </c>
      <c r="AE64" s="265">
        <f t="shared" si="3"/>
        <v>0.70500000000000007</v>
      </c>
      <c r="AF64" s="264">
        <f t="shared" si="3"/>
        <v>0.66500000000000004</v>
      </c>
      <c r="AG64" s="264">
        <f t="shared" si="3"/>
        <v>0.67999999999999994</v>
      </c>
      <c r="AH64" s="265">
        <f t="shared" si="3"/>
        <v>0.75</v>
      </c>
    </row>
    <row r="65" spans="2:37" x14ac:dyDescent="0.25">
      <c r="B65" s="596"/>
      <c r="C65" s="5" t="s">
        <v>728</v>
      </c>
      <c r="D65" s="586">
        <f t="shared" ref="D65:D66" si="4">AC66*$L$6</f>
        <v>31921.679745839185</v>
      </c>
      <c r="E65" s="587">
        <f t="shared" si="2"/>
        <v>26601.39978819932</v>
      </c>
      <c r="F65" s="588">
        <f t="shared" si="2"/>
        <v>15960.839872919592</v>
      </c>
      <c r="G65" s="587">
        <f t="shared" si="2"/>
        <v>24827.973135652701</v>
      </c>
      <c r="H65" s="589">
        <f t="shared" si="2"/>
        <v>15074.126546646283</v>
      </c>
      <c r="I65" s="590">
        <f t="shared" si="2"/>
        <v>12413.98656782635</v>
      </c>
      <c r="X65" s="487"/>
      <c r="AA65" t="s">
        <v>961</v>
      </c>
      <c r="AB65" s="5" t="s">
        <v>726</v>
      </c>
      <c r="AC65">
        <v>1100</v>
      </c>
      <c r="AD65">
        <v>650</v>
      </c>
      <c r="AE65" s="5">
        <v>200</v>
      </c>
      <c r="AF65">
        <v>500</v>
      </c>
      <c r="AG65">
        <v>400</v>
      </c>
      <c r="AH65" s="5">
        <v>200</v>
      </c>
    </row>
    <row r="66" spans="2:37" x14ac:dyDescent="0.25">
      <c r="B66" s="597"/>
      <c r="C66" s="9" t="s">
        <v>923</v>
      </c>
      <c r="D66" s="587">
        <f t="shared" si="4"/>
        <v>25714.686461926012</v>
      </c>
      <c r="E66" s="587">
        <f t="shared" si="2"/>
        <v>19064.33651487618</v>
      </c>
      <c r="F66" s="588">
        <f t="shared" si="2"/>
        <v>9753.8465890064181</v>
      </c>
      <c r="G66" s="587">
        <f t="shared" si="2"/>
        <v>16847.553199192902</v>
      </c>
      <c r="H66" s="587">
        <f>AG67*$L$6</f>
        <v>11083.916578416383</v>
      </c>
      <c r="I66" s="588">
        <f>AH67*$L$6</f>
        <v>7980.4199364597962</v>
      </c>
      <c r="X66" s="487"/>
      <c r="AB66" s="5" t="s">
        <v>728</v>
      </c>
      <c r="AC66">
        <v>1800</v>
      </c>
      <c r="AD66">
        <v>1500</v>
      </c>
      <c r="AE66" s="5">
        <v>900</v>
      </c>
      <c r="AF66">
        <v>1400</v>
      </c>
      <c r="AG66">
        <v>850</v>
      </c>
      <c r="AH66" s="5">
        <v>700</v>
      </c>
    </row>
    <row r="67" spans="2:37" x14ac:dyDescent="0.25">
      <c r="B67" s="595" t="s">
        <v>963</v>
      </c>
      <c r="C67" s="5" t="s">
        <v>726</v>
      </c>
      <c r="D67" s="7">
        <v>30000</v>
      </c>
      <c r="E67" s="8">
        <v>60000</v>
      </c>
      <c r="F67" s="9">
        <v>10000</v>
      </c>
      <c r="G67" s="8">
        <v>60000</v>
      </c>
      <c r="H67" s="495">
        <v>90000</v>
      </c>
      <c r="I67" s="496">
        <v>100000</v>
      </c>
      <c r="X67" s="487"/>
      <c r="AA67" s="8"/>
      <c r="AB67" s="9" t="s">
        <v>923</v>
      </c>
      <c r="AC67" s="8">
        <f t="shared" ref="AC67:AH67" si="5">AVERAGE(AC65:AC66)</f>
        <v>1450</v>
      </c>
      <c r="AD67" s="8">
        <f t="shared" si="5"/>
        <v>1075</v>
      </c>
      <c r="AE67" s="9">
        <f t="shared" si="5"/>
        <v>550</v>
      </c>
      <c r="AF67" s="8">
        <f t="shared" si="5"/>
        <v>950</v>
      </c>
      <c r="AG67" s="8">
        <f t="shared" si="5"/>
        <v>625</v>
      </c>
      <c r="AH67" s="9">
        <f t="shared" si="5"/>
        <v>450</v>
      </c>
    </row>
    <row r="68" spans="2:37" x14ac:dyDescent="0.25">
      <c r="B68" s="596"/>
      <c r="C68" s="5" t="s">
        <v>728</v>
      </c>
      <c r="D68" s="7">
        <v>90000</v>
      </c>
      <c r="E68" s="8">
        <v>90000</v>
      </c>
      <c r="F68" s="9">
        <v>15000</v>
      </c>
      <c r="G68" s="8">
        <v>90000</v>
      </c>
      <c r="H68" s="495">
        <v>100000</v>
      </c>
      <c r="I68" s="496">
        <v>150000</v>
      </c>
      <c r="X68" s="487"/>
      <c r="AA68" t="s">
        <v>963</v>
      </c>
      <c r="AB68" s="5" t="s">
        <v>726</v>
      </c>
      <c r="AC68">
        <v>30000</v>
      </c>
      <c r="AD68">
        <v>60000</v>
      </c>
      <c r="AE68" s="5">
        <v>10000</v>
      </c>
      <c r="AF68">
        <v>60000</v>
      </c>
      <c r="AG68" s="423">
        <v>90000</v>
      </c>
      <c r="AH68" s="486">
        <v>100000</v>
      </c>
    </row>
    <row r="69" spans="2:37" x14ac:dyDescent="0.25">
      <c r="B69" s="597"/>
      <c r="C69" s="9" t="s">
        <v>923</v>
      </c>
      <c r="D69" s="8">
        <f t="shared" ref="D69:I69" si="6">AVERAGE(D67:D68)</f>
        <v>60000</v>
      </c>
      <c r="E69" s="8">
        <f t="shared" si="6"/>
        <v>75000</v>
      </c>
      <c r="F69" s="9">
        <f t="shared" si="6"/>
        <v>12500</v>
      </c>
      <c r="G69" s="8">
        <f t="shared" si="6"/>
        <v>75000</v>
      </c>
      <c r="H69" s="8">
        <f t="shared" si="6"/>
        <v>95000</v>
      </c>
      <c r="I69" s="9">
        <f t="shared" si="6"/>
        <v>125000</v>
      </c>
      <c r="X69" s="487"/>
      <c r="AB69" s="5" t="s">
        <v>728</v>
      </c>
      <c r="AC69">
        <v>90000</v>
      </c>
      <c r="AD69">
        <v>90000</v>
      </c>
      <c r="AE69" s="5">
        <v>15000</v>
      </c>
      <c r="AF69">
        <v>90000</v>
      </c>
      <c r="AG69" s="423">
        <v>100000</v>
      </c>
      <c r="AH69" s="486">
        <v>150000</v>
      </c>
    </row>
    <row r="70" spans="2:37" x14ac:dyDescent="0.25">
      <c r="X70" s="487"/>
      <c r="AA70" s="8"/>
      <c r="AB70" s="9" t="s">
        <v>923</v>
      </c>
      <c r="AC70" s="8">
        <f t="shared" ref="AC70:AH70" si="7">AVERAGE(AC68:AC69)</f>
        <v>60000</v>
      </c>
      <c r="AD70" s="8">
        <f t="shared" si="7"/>
        <v>75000</v>
      </c>
      <c r="AE70" s="9">
        <f t="shared" si="7"/>
        <v>12500</v>
      </c>
      <c r="AF70" s="8">
        <f t="shared" si="7"/>
        <v>75000</v>
      </c>
      <c r="AG70" s="8">
        <f t="shared" si="7"/>
        <v>95000</v>
      </c>
      <c r="AH70" s="9">
        <f t="shared" si="7"/>
        <v>125000</v>
      </c>
    </row>
    <row r="71" spans="2:37" x14ac:dyDescent="0.25">
      <c r="X71" s="487"/>
      <c r="AJ71" s="285"/>
      <c r="AK71" s="285"/>
    </row>
    <row r="72" spans="2:37" x14ac:dyDescent="0.25">
      <c r="X72" s="487"/>
      <c r="AJ72" s="285"/>
      <c r="AK72" s="285"/>
    </row>
    <row r="73" spans="2:37" x14ac:dyDescent="0.25">
      <c r="B73" s="547"/>
      <c r="C73" s="548" t="s">
        <v>682</v>
      </c>
      <c r="D73" s="547"/>
      <c r="E73" s="547"/>
      <c r="F73" s="547"/>
      <c r="G73" s="547"/>
      <c r="H73" s="547"/>
      <c r="K73" s="507"/>
      <c r="X73" s="487"/>
    </row>
    <row r="74" spans="2:37" x14ac:dyDescent="0.25">
      <c r="B74" s="549" t="s">
        <v>1129</v>
      </c>
      <c r="C74" s="547">
        <v>2020</v>
      </c>
      <c r="D74" s="550">
        <v>2030</v>
      </c>
      <c r="E74" s="550">
        <v>2050</v>
      </c>
      <c r="F74" s="547">
        <v>2020</v>
      </c>
      <c r="G74" s="550">
        <v>2030</v>
      </c>
      <c r="H74" s="550">
        <v>2050</v>
      </c>
      <c r="X74" s="487"/>
    </row>
    <row r="75" spans="2:37" ht="21" x14ac:dyDescent="0.35">
      <c r="B75" s="591" t="s">
        <v>1109</v>
      </c>
      <c r="C75" s="553" t="str">
        <f>"NCAP_COST~"&amp;C74</f>
        <v>NCAP_COST~2020</v>
      </c>
      <c r="D75" s="553" t="str">
        <f>"NCAP_COST~"&amp;D74</f>
        <v>NCAP_COST~2030</v>
      </c>
      <c r="E75" s="553" t="str">
        <f>"NCAP_COST~"&amp;E74</f>
        <v>NCAP_COST~2050</v>
      </c>
      <c r="F75" s="553" t="str">
        <f>"LIFE~"&amp;F74</f>
        <v>LIFE~2020</v>
      </c>
      <c r="G75" s="553" t="str">
        <f>"LIFE~"&amp;G74</f>
        <v>LIFE~2030</v>
      </c>
      <c r="H75" s="553" t="str">
        <f>"LIFE~"&amp;H74</f>
        <v>LIFE~2050</v>
      </c>
      <c r="X75" s="487"/>
      <c r="Z75" s="424" t="s">
        <v>964</v>
      </c>
    </row>
    <row r="76" spans="2:37" x14ac:dyDescent="0.25">
      <c r="B76" s="485" t="s">
        <v>945</v>
      </c>
      <c r="C76" s="512">
        <f>G66</f>
        <v>16847.553199192902</v>
      </c>
      <c r="D76" s="512">
        <f>H66</f>
        <v>11083.916578416383</v>
      </c>
      <c r="E76" s="512">
        <f>I66</f>
        <v>7980.4199364597962</v>
      </c>
      <c r="F76" s="513">
        <f>G69/8760</f>
        <v>8.5616438356164384</v>
      </c>
      <c r="G76" s="513">
        <f>H69/8760</f>
        <v>10.844748858447488</v>
      </c>
      <c r="H76" s="513">
        <f>I69/8760</f>
        <v>14.269406392694064</v>
      </c>
      <c r="X76" s="487"/>
      <c r="AA76" s="425"/>
    </row>
    <row r="77" spans="2:37" x14ac:dyDescent="0.25">
      <c r="B77" s="510"/>
      <c r="C77" s="511"/>
      <c r="D77" s="513"/>
      <c r="F77" s="511"/>
      <c r="G77" s="507"/>
      <c r="H77" s="507"/>
      <c r="X77" s="487"/>
      <c r="AA77" s="11" t="s">
        <v>731</v>
      </c>
      <c r="AB77" s="8"/>
      <c r="AC77" s="8"/>
    </row>
    <row r="78" spans="2:37" x14ac:dyDescent="0.25">
      <c r="X78" s="487"/>
      <c r="AA78" t="s">
        <v>732</v>
      </c>
    </row>
    <row r="79" spans="2:37" x14ac:dyDescent="0.25">
      <c r="C79" s="18" t="s">
        <v>1234</v>
      </c>
      <c r="X79" s="487"/>
      <c r="AA79" s="118" t="s">
        <v>733</v>
      </c>
    </row>
    <row r="80" spans="2:37" x14ac:dyDescent="0.25">
      <c r="B80" s="547"/>
      <c r="C80" s="547"/>
      <c r="D80" s="549" t="s">
        <v>1129</v>
      </c>
      <c r="E80" s="547"/>
      <c r="F80" s="547">
        <v>2020</v>
      </c>
      <c r="G80" s="547">
        <v>2030</v>
      </c>
      <c r="H80" s="547">
        <v>2050</v>
      </c>
      <c r="X80" s="487"/>
    </row>
    <row r="81" spans="2:28" x14ac:dyDescent="0.25">
      <c r="B81" s="591" t="s">
        <v>1109</v>
      </c>
      <c r="C81" s="553" t="s">
        <v>1130</v>
      </c>
      <c r="D81" s="553" t="s">
        <v>1131</v>
      </c>
      <c r="E81" s="592" t="s">
        <v>955</v>
      </c>
      <c r="F81" s="593" t="str">
        <f>"ACT_EFF~"&amp;F80</f>
        <v>ACT_EFF~2020</v>
      </c>
      <c r="G81" s="593" t="str">
        <f t="shared" ref="G81:H81" si="8">"ACT_EFF~"&amp;G80</f>
        <v>ACT_EFF~2030</v>
      </c>
      <c r="H81" s="593" t="str">
        <f t="shared" si="8"/>
        <v>ACT_EFF~2050</v>
      </c>
      <c r="X81" s="487"/>
      <c r="AA81" t="s">
        <v>734</v>
      </c>
    </row>
    <row r="82" spans="2:28" x14ac:dyDescent="0.25">
      <c r="B82" s="485" t="s">
        <v>945</v>
      </c>
      <c r="C82" t="str">
        <f>D200</f>
        <v>IISELC</v>
      </c>
      <c r="D82" t="str">
        <f>D201</f>
        <v>IISHHGN</v>
      </c>
      <c r="E82" s="508">
        <v>31.536000000000001</v>
      </c>
      <c r="F82" s="268">
        <f>1/G63</f>
        <v>1.5037593984962405</v>
      </c>
      <c r="G82" s="268">
        <f>1/H63</f>
        <v>1.4705882352941178</v>
      </c>
      <c r="H82" s="268">
        <f>1/I63</f>
        <v>1.3333333333333333</v>
      </c>
      <c r="X82" s="487"/>
      <c r="AA82">
        <v>500</v>
      </c>
      <c r="AB82" t="s">
        <v>735</v>
      </c>
    </row>
    <row r="83" spans="2:28" x14ac:dyDescent="0.25">
      <c r="X83" s="487"/>
      <c r="AA83" t="s">
        <v>736</v>
      </c>
      <c r="AB83" t="s">
        <v>737</v>
      </c>
    </row>
    <row r="84" spans="2:28" x14ac:dyDescent="0.25">
      <c r="X84" s="487"/>
      <c r="AA84">
        <v>516</v>
      </c>
      <c r="AB84" t="s">
        <v>738</v>
      </c>
    </row>
    <row r="85" spans="2:28" x14ac:dyDescent="0.25">
      <c r="X85" s="487"/>
    </row>
    <row r="86" spans="2:28" x14ac:dyDescent="0.25">
      <c r="X86" s="487"/>
    </row>
    <row r="87" spans="2:28" x14ac:dyDescent="0.25">
      <c r="X87" s="487"/>
    </row>
    <row r="88" spans="2:28" x14ac:dyDescent="0.25">
      <c r="X88" s="487"/>
    </row>
    <row r="89" spans="2:28" x14ac:dyDescent="0.25">
      <c r="X89" s="487"/>
      <c r="AA89" s="285"/>
    </row>
    <row r="90" spans="2:28" x14ac:dyDescent="0.25">
      <c r="X90" s="487"/>
    </row>
    <row r="91" spans="2:28" x14ac:dyDescent="0.25">
      <c r="X91" s="487"/>
      <c r="AA91" s="426"/>
    </row>
    <row r="92" spans="2:28" x14ac:dyDescent="0.25">
      <c r="X92" s="487"/>
    </row>
    <row r="93" spans="2:28" x14ac:dyDescent="0.25">
      <c r="X93" s="487"/>
    </row>
    <row r="94" spans="2:28" x14ac:dyDescent="0.25">
      <c r="X94" s="487"/>
    </row>
    <row r="95" spans="2:28" x14ac:dyDescent="0.25">
      <c r="B95" s="574"/>
      <c r="C95" s="574"/>
      <c r="D95" s="574"/>
      <c r="E95" s="574"/>
      <c r="F95" s="574"/>
      <c r="G95" s="574"/>
      <c r="H95" s="574"/>
      <c r="I95" s="574"/>
      <c r="J95" s="574"/>
      <c r="K95" s="574"/>
      <c r="L95" s="574"/>
      <c r="N95" s="574"/>
      <c r="O95" s="574"/>
      <c r="P95" s="574"/>
      <c r="Q95" s="574"/>
      <c r="R95" s="574"/>
      <c r="S95" s="574"/>
      <c r="T95" s="574"/>
      <c r="U95" s="574"/>
      <c r="X95" s="487"/>
    </row>
    <row r="96" spans="2:28" x14ac:dyDescent="0.25">
      <c r="X96" s="487"/>
    </row>
    <row r="97" spans="2:33" x14ac:dyDescent="0.25">
      <c r="X97" s="487"/>
    </row>
    <row r="98" spans="2:33" x14ac:dyDescent="0.25">
      <c r="X98" s="487"/>
    </row>
    <row r="99" spans="2:33" x14ac:dyDescent="0.25">
      <c r="X99" s="487"/>
    </row>
    <row r="100" spans="2:33" x14ac:dyDescent="0.25">
      <c r="X100" s="487"/>
    </row>
    <row r="101" spans="2:33" x14ac:dyDescent="0.25">
      <c r="X101" s="487"/>
    </row>
    <row r="102" spans="2:33" x14ac:dyDescent="0.25">
      <c r="X102" s="487"/>
    </row>
    <row r="103" spans="2:33" ht="21" x14ac:dyDescent="0.35">
      <c r="B103" s="424" t="s">
        <v>971</v>
      </c>
      <c r="X103" s="487"/>
    </row>
    <row r="104" spans="2:33" x14ac:dyDescent="0.25">
      <c r="X104" s="487"/>
    </row>
    <row r="105" spans="2:33" x14ac:dyDescent="0.25">
      <c r="B105" s="117"/>
      <c r="C105" s="135">
        <v>2020</v>
      </c>
      <c r="D105" s="135">
        <v>2030</v>
      </c>
      <c r="E105" s="135">
        <v>2050</v>
      </c>
      <c r="F105" s="135" t="s">
        <v>619</v>
      </c>
      <c r="G105" s="135" t="s">
        <v>383</v>
      </c>
      <c r="X105" s="487"/>
    </row>
    <row r="106" spans="2:33" x14ac:dyDescent="0.25">
      <c r="B106" s="117" t="s">
        <v>970</v>
      </c>
      <c r="C106" s="491">
        <f>AA112</f>
        <v>76257.346059504736</v>
      </c>
      <c r="D106" s="491">
        <f>AB112</f>
        <v>51092.421859868169</v>
      </c>
      <c r="E106" s="491">
        <f>D106*(1-I106)</f>
        <v>45983.17967388135</v>
      </c>
      <c r="F106" s="117" t="s">
        <v>991</v>
      </c>
      <c r="G106" s="497" t="s">
        <v>968</v>
      </c>
      <c r="I106" s="453">
        <v>0.1</v>
      </c>
      <c r="X106" s="487"/>
    </row>
    <row r="107" spans="2:33" x14ac:dyDescent="0.25">
      <c r="B107" s="117" t="s">
        <v>683</v>
      </c>
      <c r="C107" s="117">
        <v>20</v>
      </c>
      <c r="D107" s="117"/>
      <c r="E107" s="117"/>
      <c r="F107" s="117" t="s">
        <v>697</v>
      </c>
      <c r="G107" s="117" t="s">
        <v>863</v>
      </c>
      <c r="H107" s="285"/>
      <c r="X107" s="487"/>
      <c r="AA107" t="s">
        <v>739</v>
      </c>
    </row>
    <row r="108" spans="2:33" x14ac:dyDescent="0.25">
      <c r="B108" s="117" t="s">
        <v>969</v>
      </c>
      <c r="C108" s="117">
        <f>AA121*3.6/I11</f>
        <v>3.0000000000000002E-2</v>
      </c>
      <c r="D108" s="117"/>
      <c r="E108" s="117"/>
      <c r="F108" s="117" t="s">
        <v>992</v>
      </c>
      <c r="G108" s="117"/>
      <c r="X108" s="487"/>
      <c r="AA108" s="340">
        <f>L6</f>
        <v>17.734266525466214</v>
      </c>
      <c r="AB108" s="340" t="s">
        <v>1280</v>
      </c>
    </row>
    <row r="109" spans="2:33" x14ac:dyDescent="0.25">
      <c r="B109" s="117" t="s">
        <v>930</v>
      </c>
      <c r="C109" s="491">
        <f>$I$109*C106</f>
        <v>762.57346059504732</v>
      </c>
      <c r="D109" s="491">
        <f>$I$109*D106</f>
        <v>510.9242185986817</v>
      </c>
      <c r="E109" s="491">
        <f>$I$109*E106</f>
        <v>459.83179673881352</v>
      </c>
      <c r="F109" s="117" t="s">
        <v>899</v>
      </c>
      <c r="G109" s="117" t="s">
        <v>993</v>
      </c>
      <c r="I109" s="453">
        <v>0.01</v>
      </c>
      <c r="X109" s="487"/>
      <c r="AA109" s="423">
        <f>AA84*AA108</f>
        <v>9150.8815271405674</v>
      </c>
      <c r="AB109" t="s">
        <v>741</v>
      </c>
      <c r="AF109">
        <v>9.1999999999999998E-3</v>
      </c>
      <c r="AG109" t="s">
        <v>139</v>
      </c>
    </row>
    <row r="110" spans="2:33" x14ac:dyDescent="0.25">
      <c r="B110" s="117" t="s">
        <v>725</v>
      </c>
      <c r="C110" s="492">
        <v>0.99</v>
      </c>
      <c r="D110" s="117"/>
      <c r="E110" s="117"/>
      <c r="F110" s="117"/>
      <c r="G110" s="493"/>
      <c r="X110" s="487"/>
      <c r="AA110" s="320">
        <f>AA109/I11</f>
        <v>76.257346059504727</v>
      </c>
      <c r="AB110" t="s">
        <v>742</v>
      </c>
      <c r="AF110" s="368">
        <f>AF109*AB112</f>
        <v>470.05028111078713</v>
      </c>
      <c r="AG110" t="s">
        <v>743</v>
      </c>
    </row>
    <row r="111" spans="2:33" x14ac:dyDescent="0.25">
      <c r="X111" s="487"/>
      <c r="AA111" s="18">
        <v>2020</v>
      </c>
      <c r="AB111" s="18">
        <v>2030</v>
      </c>
    </row>
    <row r="112" spans="2:33" x14ac:dyDescent="0.25">
      <c r="X112" s="487"/>
      <c r="AA112" s="427">
        <f>AA110*1000000000/1000000</f>
        <v>76257.346059504736</v>
      </c>
      <c r="AB112" s="428">
        <f>AA112*(1-AA113)</f>
        <v>51092.421859868169</v>
      </c>
      <c r="AC112" s="18" t="s">
        <v>744</v>
      </c>
      <c r="AF112" s="345"/>
    </row>
    <row r="113" spans="2:34" x14ac:dyDescent="0.25">
      <c r="B113" s="575" t="s">
        <v>1129</v>
      </c>
      <c r="X113" s="487"/>
      <c r="AA113" s="285">
        <v>0.33</v>
      </c>
      <c r="AB113" t="s">
        <v>745</v>
      </c>
    </row>
    <row r="114" spans="2:34" x14ac:dyDescent="0.25">
      <c r="B114" s="547" t="s">
        <v>1209</v>
      </c>
      <c r="C114" s="547" t="s">
        <v>1109</v>
      </c>
      <c r="D114" s="547">
        <v>2020</v>
      </c>
      <c r="E114" s="547">
        <v>2030</v>
      </c>
      <c r="F114" s="547">
        <v>2050</v>
      </c>
      <c r="X114" s="487"/>
      <c r="AF114" s="426"/>
    </row>
    <row r="115" spans="2:34" x14ac:dyDescent="0.25">
      <c r="B115" t="s">
        <v>952</v>
      </c>
      <c r="C115" t="str">
        <f>B121</f>
        <v>IISHHGNSTOR-N</v>
      </c>
      <c r="D115" s="19">
        <f>C106</f>
        <v>76257.346059504736</v>
      </c>
      <c r="E115" s="19">
        <f>D106</f>
        <v>51092.421859868169</v>
      </c>
      <c r="F115" s="19">
        <f>E106</f>
        <v>45983.17967388135</v>
      </c>
      <c r="X115" s="487"/>
    </row>
    <row r="116" spans="2:34" x14ac:dyDescent="0.25">
      <c r="B116" t="s">
        <v>877</v>
      </c>
      <c r="C116" t="str">
        <f>C115</f>
        <v>IISHHGNSTOR-N</v>
      </c>
      <c r="D116" s="19">
        <f>C109</f>
        <v>762.57346059504732</v>
      </c>
      <c r="E116" s="19">
        <f>D109</f>
        <v>510.9242185986817</v>
      </c>
      <c r="F116" s="19">
        <f>E109</f>
        <v>459.83179673881352</v>
      </c>
      <c r="X116" s="487"/>
    </row>
    <row r="117" spans="2:34" x14ac:dyDescent="0.25">
      <c r="D117" s="19"/>
      <c r="E117" s="19"/>
      <c r="F117" s="19"/>
      <c r="X117" s="487"/>
      <c r="AA117" s="18" t="s">
        <v>731</v>
      </c>
    </row>
    <row r="118" spans="2:34" x14ac:dyDescent="0.25">
      <c r="X118" s="487"/>
      <c r="AA118" t="s">
        <v>746</v>
      </c>
    </row>
    <row r="119" spans="2:34" x14ac:dyDescent="0.25">
      <c r="B119" s="575" t="s">
        <v>1129</v>
      </c>
      <c r="C119" s="574"/>
      <c r="D119" s="574"/>
      <c r="F119" s="574"/>
      <c r="G119" s="574"/>
      <c r="H119" s="574"/>
      <c r="I119" s="574"/>
      <c r="J119" s="574"/>
      <c r="K119" s="574"/>
      <c r="L119" s="574"/>
      <c r="X119" s="487"/>
      <c r="AA119" s="118" t="s">
        <v>747</v>
      </c>
    </row>
    <row r="120" spans="2:34" ht="25.5" x14ac:dyDescent="0.25">
      <c r="B120" s="576" t="s">
        <v>1109</v>
      </c>
      <c r="C120" s="576" t="s">
        <v>1130</v>
      </c>
      <c r="D120" s="576" t="s">
        <v>1131</v>
      </c>
      <c r="E120" s="577" t="s">
        <v>1240</v>
      </c>
      <c r="F120" s="576" t="s">
        <v>1182</v>
      </c>
      <c r="G120" s="576" t="s">
        <v>1233</v>
      </c>
      <c r="H120" s="576" t="s">
        <v>1237</v>
      </c>
      <c r="I120" s="576" t="s">
        <v>1241</v>
      </c>
      <c r="X120" s="487"/>
      <c r="AA120" t="s">
        <v>900</v>
      </c>
    </row>
    <row r="121" spans="2:34" x14ac:dyDescent="0.25">
      <c r="B121" t="str">
        <f>B52</f>
        <v>IISHHGNSTOR-N</v>
      </c>
      <c r="C121" t="str">
        <f>C150</f>
        <v>IISHHGN</v>
      </c>
      <c r="D121" t="str">
        <f>C121</f>
        <v>IISHHGN</v>
      </c>
      <c r="E121" t="str">
        <f>C155</f>
        <v>IISELC</v>
      </c>
      <c r="F121">
        <f>C107</f>
        <v>20</v>
      </c>
      <c r="G121">
        <v>1</v>
      </c>
      <c r="H121" s="285">
        <f>C110</f>
        <v>0.99</v>
      </c>
      <c r="I121" s="574">
        <f>C108</f>
        <v>3.0000000000000002E-2</v>
      </c>
      <c r="X121" s="487"/>
      <c r="AA121">
        <v>1</v>
      </c>
      <c r="AB121" t="s">
        <v>901</v>
      </c>
    </row>
    <row r="122" spans="2:34" x14ac:dyDescent="0.25">
      <c r="X122" s="487"/>
      <c r="AB122" t="s">
        <v>902</v>
      </c>
    </row>
    <row r="123" spans="2:34" x14ac:dyDescent="0.25">
      <c r="X123" s="487"/>
    </row>
    <row r="124" spans="2:34" ht="21" x14ac:dyDescent="0.35">
      <c r="B124" s="424" t="s">
        <v>977</v>
      </c>
      <c r="X124" s="487"/>
      <c r="Z124" s="424" t="s">
        <v>966</v>
      </c>
    </row>
    <row r="125" spans="2:34" ht="21" x14ac:dyDescent="0.35">
      <c r="X125" s="487"/>
      <c r="Z125" s="424"/>
    </row>
    <row r="126" spans="2:34" x14ac:dyDescent="0.25">
      <c r="B126" s="117"/>
      <c r="C126" s="117"/>
      <c r="D126" s="135" t="s">
        <v>989</v>
      </c>
      <c r="E126" s="135" t="s">
        <v>619</v>
      </c>
      <c r="F126" s="135" t="s">
        <v>990</v>
      </c>
      <c r="M126" s="340" t="s">
        <v>1282</v>
      </c>
      <c r="N126" s="340"/>
      <c r="O126" s="340"/>
      <c r="X126" s="487"/>
      <c r="AA126" s="429" t="s">
        <v>748</v>
      </c>
      <c r="AB126" s="429"/>
      <c r="AC126" s="429"/>
      <c r="AD126" s="429"/>
    </row>
    <row r="127" spans="2:34" x14ac:dyDescent="0.25">
      <c r="B127" s="117" t="s">
        <v>713</v>
      </c>
      <c r="C127" s="117" t="s">
        <v>959</v>
      </c>
      <c r="D127" s="337">
        <f>AK135*M128*M127</f>
        <v>4039.5700824253959</v>
      </c>
      <c r="E127" s="117" t="s">
        <v>983</v>
      </c>
      <c r="F127" s="117"/>
      <c r="M127" s="340">
        <v>1</v>
      </c>
      <c r="N127" s="340" t="s">
        <v>1283</v>
      </c>
      <c r="O127" s="340"/>
      <c r="X127" s="487"/>
      <c r="AA127" t="s">
        <v>749</v>
      </c>
    </row>
    <row r="128" spans="2:34" x14ac:dyDescent="0.25">
      <c r="B128" s="117"/>
      <c r="C128" s="117" t="s">
        <v>978</v>
      </c>
      <c r="D128" s="337">
        <f>'AMSA reports'!O13/2</f>
        <v>725.14525500322793</v>
      </c>
      <c r="E128" s="117" t="s">
        <v>440</v>
      </c>
      <c r="F128" s="117" t="s">
        <v>984</v>
      </c>
      <c r="M128" s="584">
        <f>L8</f>
        <v>17.563348184458242</v>
      </c>
      <c r="N128" s="340" t="s">
        <v>1284</v>
      </c>
      <c r="O128" s="340"/>
      <c r="X128" s="487"/>
      <c r="AA128" t="s">
        <v>750</v>
      </c>
      <c r="AH128" t="s">
        <v>751</v>
      </c>
    </row>
    <row r="129" spans="2:44" x14ac:dyDescent="0.25">
      <c r="B129" s="117"/>
      <c r="C129" s="117" t="s">
        <v>762</v>
      </c>
      <c r="D129" s="337">
        <f>D127*H129</f>
        <v>201.97850412126979</v>
      </c>
      <c r="E129" s="117" t="s">
        <v>440</v>
      </c>
      <c r="F129" s="117" t="s">
        <v>994</v>
      </c>
      <c r="H129" s="453">
        <v>0.05</v>
      </c>
      <c r="X129" s="487"/>
      <c r="AH129" t="s">
        <v>752</v>
      </c>
      <c r="AI129">
        <v>1.1499999999999999</v>
      </c>
      <c r="AJ129" t="s">
        <v>753</v>
      </c>
      <c r="AK129" s="118" t="s">
        <v>754</v>
      </c>
    </row>
    <row r="130" spans="2:44" ht="21" x14ac:dyDescent="0.35">
      <c r="B130" s="117"/>
      <c r="C130" s="117" t="s">
        <v>683</v>
      </c>
      <c r="D130" s="117">
        <v>20</v>
      </c>
      <c r="E130" s="117" t="s">
        <v>685</v>
      </c>
      <c r="F130" s="117"/>
      <c r="X130" s="487"/>
      <c r="Z130" s="424"/>
    </row>
    <row r="131" spans="2:44" ht="21" x14ac:dyDescent="0.35">
      <c r="B131" s="117" t="s">
        <v>769</v>
      </c>
      <c r="C131" s="117" t="s">
        <v>979</v>
      </c>
      <c r="D131" s="490">
        <f>AK141/1000</f>
        <v>1.504</v>
      </c>
      <c r="E131" s="117" t="s">
        <v>981</v>
      </c>
      <c r="F131" s="117"/>
      <c r="X131" s="487"/>
      <c r="Z131" s="424"/>
    </row>
    <row r="132" spans="2:44" ht="21" x14ac:dyDescent="0.35">
      <c r="B132" s="117"/>
      <c r="C132" s="117" t="s">
        <v>774</v>
      </c>
      <c r="D132" s="117">
        <f>AK140*I11*1000000/1000000000</f>
        <v>6.12</v>
      </c>
      <c r="E132" s="117" t="s">
        <v>982</v>
      </c>
      <c r="F132" s="117"/>
      <c r="X132" s="487"/>
      <c r="Z132" s="430"/>
      <c r="AA132" s="11" t="s">
        <v>755</v>
      </c>
      <c r="AB132" s="11"/>
      <c r="AC132" s="11"/>
      <c r="AD132" s="431"/>
      <c r="AE132" s="11" t="s">
        <v>1</v>
      </c>
      <c r="AF132" s="11"/>
      <c r="AG132" s="11"/>
      <c r="AH132" s="431"/>
      <c r="AI132" s="11" t="s">
        <v>756</v>
      </c>
      <c r="AJ132" s="8"/>
      <c r="AK132" s="8"/>
      <c r="AL132" s="8"/>
      <c r="AM132" s="8"/>
    </row>
    <row r="133" spans="2:44" x14ac:dyDescent="0.25">
      <c r="B133" s="117"/>
      <c r="C133" s="117" t="s">
        <v>980</v>
      </c>
      <c r="D133" s="117">
        <f>AE220*3.6/1.5</f>
        <v>0.74400000000000022</v>
      </c>
      <c r="E133" s="117" t="s">
        <v>982</v>
      </c>
      <c r="F133" s="117"/>
      <c r="X133" s="487"/>
      <c r="Z133" s="5"/>
      <c r="AD133" s="5"/>
      <c r="AH133" s="5"/>
      <c r="AO133" t="s">
        <v>757</v>
      </c>
    </row>
    <row r="134" spans="2:44" x14ac:dyDescent="0.25">
      <c r="X134" s="487"/>
      <c r="Z134" s="5"/>
      <c r="AA134" t="s">
        <v>619</v>
      </c>
      <c r="AD134" s="5" t="s">
        <v>758</v>
      </c>
      <c r="AE134" t="s">
        <v>141</v>
      </c>
      <c r="AH134" s="5" t="s">
        <v>758</v>
      </c>
      <c r="AI134" t="s">
        <v>141</v>
      </c>
      <c r="AO134">
        <v>120</v>
      </c>
      <c r="AP134" t="s">
        <v>391</v>
      </c>
    </row>
    <row r="135" spans="2:44" x14ac:dyDescent="0.25">
      <c r="X135" s="487"/>
      <c r="Z135" s="3" t="s">
        <v>708</v>
      </c>
      <c r="AA135" s="15" t="s">
        <v>759</v>
      </c>
      <c r="AB135" s="15"/>
      <c r="AC135" s="432">
        <v>0.58499999999999996</v>
      </c>
      <c r="AD135" s="3" t="s">
        <v>760</v>
      </c>
      <c r="AE135" s="433" t="s">
        <v>761</v>
      </c>
      <c r="AF135" s="15"/>
      <c r="AG135" s="432">
        <v>184</v>
      </c>
      <c r="AH135" s="3"/>
      <c r="AI135" s="433" t="s">
        <v>761</v>
      </c>
      <c r="AJ135" s="15"/>
      <c r="AK135" s="432">
        <v>230</v>
      </c>
      <c r="AL135" s="15"/>
      <c r="AM135" s="15"/>
    </row>
    <row r="136" spans="2:44" ht="21" x14ac:dyDescent="0.35">
      <c r="B136" s="424" t="s">
        <v>354</v>
      </c>
      <c r="X136" s="487"/>
      <c r="Z136" s="434" t="s">
        <v>762</v>
      </c>
      <c r="AA136" s="433" t="s">
        <v>763</v>
      </c>
      <c r="AB136" s="433"/>
      <c r="AC136" s="435">
        <v>0.03</v>
      </c>
      <c r="AD136" s="434"/>
      <c r="AE136" s="433" t="s">
        <v>763</v>
      </c>
      <c r="AF136" s="433"/>
      <c r="AG136" s="435">
        <v>0.03</v>
      </c>
      <c r="AH136" s="434"/>
      <c r="AI136" s="433" t="s">
        <v>764</v>
      </c>
      <c r="AJ136" s="433"/>
      <c r="AK136" s="435">
        <v>0.03</v>
      </c>
      <c r="AL136" s="433"/>
      <c r="AM136" s="433"/>
    </row>
    <row r="137" spans="2:44" x14ac:dyDescent="0.25">
      <c r="D137" s="18"/>
      <c r="E137" s="18"/>
      <c r="F137" s="18"/>
      <c r="X137" s="487"/>
      <c r="Z137" s="5" t="s">
        <v>645</v>
      </c>
      <c r="AD137" s="5"/>
      <c r="AE137" t="s">
        <v>761</v>
      </c>
      <c r="AG137">
        <v>53</v>
      </c>
      <c r="AH137" s="5" t="s">
        <v>765</v>
      </c>
    </row>
    <row r="138" spans="2:44" x14ac:dyDescent="0.25">
      <c r="B138" s="117"/>
      <c r="C138" s="117"/>
      <c r="D138" s="135" t="s">
        <v>989</v>
      </c>
      <c r="E138" s="135" t="s">
        <v>619</v>
      </c>
      <c r="F138" s="135" t="s">
        <v>990</v>
      </c>
      <c r="X138" s="487"/>
      <c r="Z138" s="5" t="s">
        <v>766</v>
      </c>
      <c r="AD138" s="5"/>
      <c r="AE138" s="433" t="s">
        <v>761</v>
      </c>
      <c r="AG138">
        <v>8</v>
      </c>
      <c r="AH138" s="5" t="s">
        <v>767</v>
      </c>
      <c r="AO138" s="14" t="s">
        <v>768</v>
      </c>
      <c r="AP138" s="15"/>
      <c r="AQ138" s="15"/>
      <c r="AR138" s="3"/>
    </row>
    <row r="139" spans="2:44" x14ac:dyDescent="0.25">
      <c r="B139" s="117" t="s">
        <v>713</v>
      </c>
      <c r="C139" s="117" t="s">
        <v>959</v>
      </c>
      <c r="D139" s="491">
        <f>AG135*M127*M128</f>
        <v>3231.6560659403167</v>
      </c>
      <c r="E139" s="117" t="s">
        <v>985</v>
      </c>
      <c r="F139" s="117"/>
      <c r="X139" s="487"/>
      <c r="Z139" s="9" t="s">
        <v>769</v>
      </c>
      <c r="AA139" s="8"/>
      <c r="AB139" s="8"/>
      <c r="AC139" s="8"/>
      <c r="AD139" s="9"/>
      <c r="AE139" s="8"/>
      <c r="AF139" s="8"/>
      <c r="AG139" s="8"/>
      <c r="AH139" s="9"/>
      <c r="AI139" s="8"/>
      <c r="AJ139" s="8"/>
      <c r="AK139" s="8"/>
      <c r="AL139" s="8"/>
      <c r="AM139" s="8"/>
      <c r="AO139" s="4" t="s">
        <v>770</v>
      </c>
      <c r="AR139" s="5"/>
    </row>
    <row r="140" spans="2:44" x14ac:dyDescent="0.25">
      <c r="B140" s="117"/>
      <c r="C140" s="117" t="s">
        <v>978</v>
      </c>
      <c r="D140" s="491">
        <f>D128</f>
        <v>725.14525500322793</v>
      </c>
      <c r="E140" s="117" t="s">
        <v>986</v>
      </c>
      <c r="F140" s="117" t="s">
        <v>987</v>
      </c>
      <c r="X140" s="487"/>
      <c r="Z140" s="5"/>
      <c r="AB140" t="s">
        <v>230</v>
      </c>
      <c r="AD140" s="5"/>
      <c r="AE140" t="s">
        <v>771</v>
      </c>
      <c r="AF140" t="s">
        <v>772</v>
      </c>
      <c r="AG140" s="436">
        <f>AG146*AO144</f>
        <v>1</v>
      </c>
      <c r="AH140" s="5"/>
      <c r="AI140" t="s">
        <v>773</v>
      </c>
      <c r="AJ140" t="s">
        <v>774</v>
      </c>
      <c r="AK140" s="429">
        <v>51</v>
      </c>
      <c r="AL140" t="s">
        <v>775</v>
      </c>
      <c r="AM140">
        <f>AK140/(AK141/1000)</f>
        <v>33.909574468085104</v>
      </c>
      <c r="AN140" t="s">
        <v>776</v>
      </c>
      <c r="AO140" s="4">
        <v>0</v>
      </c>
      <c r="AP140">
        <v>1</v>
      </c>
      <c r="AQ140" t="s">
        <v>777</v>
      </c>
      <c r="AR140" s="5"/>
    </row>
    <row r="141" spans="2:44" x14ac:dyDescent="0.25">
      <c r="B141" s="117"/>
      <c r="C141" s="117" t="s">
        <v>762</v>
      </c>
      <c r="D141" s="491">
        <f>D139*$F$141</f>
        <v>161.58280329701586</v>
      </c>
      <c r="E141" s="117" t="s">
        <v>986</v>
      </c>
      <c r="F141" s="453">
        <v>0.05</v>
      </c>
      <c r="X141" s="487"/>
      <c r="Z141" s="5"/>
      <c r="AA141" t="s">
        <v>139</v>
      </c>
      <c r="AB141" t="s">
        <v>14</v>
      </c>
      <c r="AC141">
        <f>AC146/AC150</f>
        <v>1.3888888888888888</v>
      </c>
      <c r="AD141" s="5" t="s">
        <v>778</v>
      </c>
      <c r="AE141" t="s">
        <v>779</v>
      </c>
      <c r="AF141" t="s">
        <v>14</v>
      </c>
      <c r="AG141">
        <f>AO141+AO144*AP142</f>
        <v>0.753</v>
      </c>
      <c r="AH141" s="5" t="s">
        <v>780</v>
      </c>
      <c r="AI141" t="s">
        <v>773</v>
      </c>
      <c r="AJ141" t="s">
        <v>243</v>
      </c>
      <c r="AK141" s="429">
        <v>1504</v>
      </c>
      <c r="AL141" s="437"/>
      <c r="AO141" s="438">
        <v>0.66700000000000004</v>
      </c>
      <c r="AP141" s="429">
        <v>0.753</v>
      </c>
      <c r="AQ141" t="s">
        <v>779</v>
      </c>
      <c r="AR141" s="5"/>
    </row>
    <row r="142" spans="2:44" x14ac:dyDescent="0.25">
      <c r="B142" s="117"/>
      <c r="C142" s="117" t="s">
        <v>683</v>
      </c>
      <c r="D142" s="117">
        <v>20</v>
      </c>
      <c r="E142" s="117" t="s">
        <v>685</v>
      </c>
      <c r="F142" s="117" t="s">
        <v>988</v>
      </c>
      <c r="X142" s="487"/>
      <c r="Z142" s="5"/>
      <c r="AD142" s="5"/>
      <c r="AE142" t="s">
        <v>773</v>
      </c>
      <c r="AF142" t="s">
        <v>781</v>
      </c>
      <c r="AG142" s="429">
        <v>50</v>
      </c>
      <c r="AH142" s="5"/>
      <c r="AI142" t="s">
        <v>782</v>
      </c>
      <c r="AJ142" t="s">
        <v>14</v>
      </c>
      <c r="AK142" s="429">
        <v>140</v>
      </c>
      <c r="AO142" s="7"/>
      <c r="AP142" s="8">
        <f>AP141-AO141</f>
        <v>8.5999999999999965E-2</v>
      </c>
      <c r="AQ142" s="8" t="s">
        <v>783</v>
      </c>
      <c r="AR142" s="9"/>
    </row>
    <row r="143" spans="2:44" x14ac:dyDescent="0.25">
      <c r="B143" s="117" t="s">
        <v>714</v>
      </c>
      <c r="C143" s="117" t="s">
        <v>20</v>
      </c>
      <c r="D143" s="117">
        <f>AG140</f>
        <v>1</v>
      </c>
      <c r="E143" s="117" t="s">
        <v>186</v>
      </c>
      <c r="F143" s="117"/>
      <c r="X143" s="487"/>
      <c r="Z143" s="5"/>
      <c r="AD143" s="5"/>
      <c r="AE143" t="s">
        <v>771</v>
      </c>
      <c r="AF143" t="s">
        <v>784</v>
      </c>
      <c r="AG143" s="436">
        <f>AG140*(1-AO144)/AO144</f>
        <v>0</v>
      </c>
      <c r="AH143" s="5" t="s">
        <v>785</v>
      </c>
    </row>
    <row r="144" spans="2:44" x14ac:dyDescent="0.25">
      <c r="B144" s="117"/>
      <c r="C144" s="117" t="s">
        <v>14</v>
      </c>
      <c r="D144" s="490">
        <f>AG141*1000000*J144</f>
        <v>2.7107999999999999</v>
      </c>
      <c r="E144" s="117" t="s">
        <v>494</v>
      </c>
      <c r="F144" s="117"/>
      <c r="I144" t="s">
        <v>827</v>
      </c>
      <c r="J144">
        <f>1000000*3600/1000000000000000</f>
        <v>3.5999999999999998E-6</v>
      </c>
      <c r="K144" t="s">
        <v>828</v>
      </c>
      <c r="X144" s="487"/>
      <c r="Z144" s="5"/>
      <c r="AD144" s="5"/>
      <c r="AH144" s="5"/>
      <c r="AO144" s="439">
        <f>'[16]Facility technicals and LCOE'!$H$6</f>
        <v>1</v>
      </c>
      <c r="AP144" s="436" t="s">
        <v>786</v>
      </c>
      <c r="AQ144" s="436"/>
      <c r="AR144" s="436"/>
    </row>
    <row r="145" spans="2:43" x14ac:dyDescent="0.25">
      <c r="B145" s="117" t="s">
        <v>363</v>
      </c>
      <c r="C145" s="117" t="s">
        <v>997</v>
      </c>
      <c r="D145" s="117">
        <v>0.08</v>
      </c>
      <c r="E145" s="117" t="s">
        <v>1069</v>
      </c>
      <c r="F145" s="117" t="s">
        <v>1070</v>
      </c>
      <c r="X145" s="487"/>
      <c r="Z145" s="9" t="s">
        <v>787</v>
      </c>
      <c r="AA145" s="8"/>
      <c r="AB145" s="8"/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</row>
    <row r="146" spans="2:43" x14ac:dyDescent="0.25">
      <c r="X146" s="487"/>
      <c r="Z146" s="5"/>
      <c r="AA146" t="s">
        <v>139</v>
      </c>
      <c r="AB146" t="s">
        <v>774</v>
      </c>
      <c r="AC146" s="436">
        <v>1</v>
      </c>
      <c r="AD146" s="5"/>
      <c r="AE146" t="s">
        <v>788</v>
      </c>
      <c r="AF146" t="s">
        <v>789</v>
      </c>
      <c r="AG146" s="436">
        <v>1</v>
      </c>
      <c r="AH146" s="5"/>
      <c r="AI146" t="s">
        <v>790</v>
      </c>
      <c r="AJ146" t="s">
        <v>772</v>
      </c>
      <c r="AK146" s="436">
        <v>1000</v>
      </c>
      <c r="AO146" t="s">
        <v>791</v>
      </c>
      <c r="AP146">
        <v>1.5</v>
      </c>
      <c r="AQ146" t="s">
        <v>792</v>
      </c>
    </row>
    <row r="147" spans="2:43" x14ac:dyDescent="0.25">
      <c r="H147" s="18" t="s">
        <v>682</v>
      </c>
      <c r="X147" s="487"/>
      <c r="Z147" s="5"/>
      <c r="AB147" t="s">
        <v>632</v>
      </c>
      <c r="AD147" s="5"/>
      <c r="AH147" s="5"/>
      <c r="AI147" t="s">
        <v>790</v>
      </c>
      <c r="AJ147" t="s">
        <v>774</v>
      </c>
    </row>
    <row r="148" spans="2:43" x14ac:dyDescent="0.25">
      <c r="B148" s="547"/>
      <c r="C148" s="547"/>
      <c r="D148" s="547" t="s">
        <v>1129</v>
      </c>
      <c r="E148" s="547"/>
      <c r="F148" s="547"/>
      <c r="G148" s="547"/>
      <c r="H148" s="547"/>
      <c r="I148" s="547"/>
      <c r="J148" s="547"/>
      <c r="K148" s="547"/>
      <c r="L148" s="547"/>
      <c r="M148" s="547"/>
      <c r="X148" s="487"/>
      <c r="Z148" s="5"/>
      <c r="AA148" t="s">
        <v>790</v>
      </c>
      <c r="AB148" t="s">
        <v>774</v>
      </c>
      <c r="AD148" s="5"/>
      <c r="AH148" s="5"/>
      <c r="AJ148" t="s">
        <v>230</v>
      </c>
    </row>
    <row r="149" spans="2:43" x14ac:dyDescent="0.25">
      <c r="B149" s="547" t="s">
        <v>1109</v>
      </c>
      <c r="C149" s="547" t="s">
        <v>1130</v>
      </c>
      <c r="D149" s="547" t="s">
        <v>1131</v>
      </c>
      <c r="E149" s="547" t="s">
        <v>841</v>
      </c>
      <c r="F149" s="547" t="s">
        <v>841</v>
      </c>
      <c r="G149" s="547" t="s">
        <v>841</v>
      </c>
      <c r="H149" s="547" t="s">
        <v>952</v>
      </c>
      <c r="I149" s="547" t="s">
        <v>1181</v>
      </c>
      <c r="J149" s="547" t="s">
        <v>1180</v>
      </c>
      <c r="K149" s="547" t="s">
        <v>1182</v>
      </c>
      <c r="L149" s="547" t="str">
        <f>"ENV_ACT~"&amp;'INPUT Energy and Emissions'!E218</f>
        <v>ENV_ACT~CO2SPIIS</v>
      </c>
      <c r="M149" s="547" t="s">
        <v>956</v>
      </c>
      <c r="X149" s="487"/>
      <c r="Z149" s="9"/>
      <c r="AA149" s="8"/>
      <c r="AB149" s="8" t="s">
        <v>632</v>
      </c>
      <c r="AC149" s="8"/>
      <c r="AD149" s="9"/>
      <c r="AE149" s="8"/>
      <c r="AF149" s="8"/>
      <c r="AG149" s="8"/>
      <c r="AH149" s="9"/>
      <c r="AI149" s="8"/>
      <c r="AJ149" s="8"/>
      <c r="AK149" s="8"/>
      <c r="AL149" s="8"/>
      <c r="AM149" s="8"/>
      <c r="AN149">
        <f>AG141*1000000*3600/1000000</f>
        <v>2710.8</v>
      </c>
      <c r="AO149" t="s">
        <v>793</v>
      </c>
    </row>
    <row r="150" spans="2:43" x14ac:dyDescent="0.25">
      <c r="B150" s="485" t="s">
        <v>941</v>
      </c>
      <c r="C150" s="485" t="s">
        <v>947</v>
      </c>
      <c r="D150" s="510"/>
      <c r="E150" s="319">
        <f>D132</f>
        <v>6.12</v>
      </c>
      <c r="F150" s="19"/>
      <c r="G150" s="19"/>
      <c r="H150" s="19"/>
      <c r="I150" s="19"/>
      <c r="J150" s="19"/>
      <c r="K150" s="19"/>
      <c r="L150" s="19"/>
      <c r="M150" s="19"/>
      <c r="X150" s="487"/>
      <c r="Z150" s="5" t="s">
        <v>725</v>
      </c>
      <c r="AB150" t="s">
        <v>794</v>
      </c>
      <c r="AC150" s="440">
        <v>0.72</v>
      </c>
      <c r="AD150" s="5" t="s">
        <v>795</v>
      </c>
      <c r="AH150" s="5"/>
      <c r="AN150">
        <f>AN149/1000</f>
        <v>2.7108000000000003</v>
      </c>
      <c r="AO150" t="s">
        <v>145</v>
      </c>
    </row>
    <row r="151" spans="2:43" x14ac:dyDescent="0.25">
      <c r="C151" s="485" t="s">
        <v>950</v>
      </c>
      <c r="D151" s="510"/>
      <c r="E151" s="19"/>
      <c r="F151" s="319">
        <f>D131</f>
        <v>1.504</v>
      </c>
      <c r="G151" s="19"/>
      <c r="H151" s="19"/>
      <c r="I151" s="19"/>
      <c r="J151" s="19"/>
      <c r="K151" s="19"/>
      <c r="L151" s="19"/>
      <c r="M151" s="19"/>
      <c r="X151" s="487"/>
      <c r="Z151" s="5" t="s">
        <v>683</v>
      </c>
      <c r="AA151" t="s">
        <v>685</v>
      </c>
      <c r="AC151">
        <v>10</v>
      </c>
      <c r="AD151" s="5"/>
      <c r="AE151" t="s">
        <v>697</v>
      </c>
      <c r="AG151">
        <v>20</v>
      </c>
      <c r="AH151" s="5"/>
      <c r="AI151" t="s">
        <v>697</v>
      </c>
      <c r="AK151">
        <v>20</v>
      </c>
    </row>
    <row r="152" spans="2:43" x14ac:dyDescent="0.25">
      <c r="C152" s="485" t="str">
        <f>D200</f>
        <v>IISELC</v>
      </c>
      <c r="E152" s="19"/>
      <c r="F152" s="19"/>
      <c r="G152" s="319">
        <f>D133</f>
        <v>0.74400000000000022</v>
      </c>
      <c r="H152" s="19"/>
      <c r="I152" s="19"/>
      <c r="J152" s="19"/>
      <c r="K152" s="19"/>
      <c r="L152" s="19"/>
      <c r="M152" s="19"/>
      <c r="X152" s="487"/>
    </row>
    <row r="153" spans="2:43" x14ac:dyDescent="0.25">
      <c r="D153" s="485" t="s">
        <v>949</v>
      </c>
      <c r="E153" s="19"/>
      <c r="F153" s="19"/>
      <c r="G153" s="19"/>
      <c r="H153" s="19">
        <f>D127</f>
        <v>4039.5700824253959</v>
      </c>
      <c r="I153" s="19">
        <f>D128</f>
        <v>725.14525500322793</v>
      </c>
      <c r="J153" s="19">
        <f>D129</f>
        <v>201.97850412126979</v>
      </c>
      <c r="K153" s="19">
        <f>D130</f>
        <v>20</v>
      </c>
      <c r="L153" s="19"/>
      <c r="M153" s="19">
        <v>2032</v>
      </c>
      <c r="P153" t="s">
        <v>1195</v>
      </c>
      <c r="X153" s="487"/>
      <c r="AK153" s="441"/>
    </row>
    <row r="154" spans="2:43" x14ac:dyDescent="0.25">
      <c r="B154" s="485" t="s">
        <v>943</v>
      </c>
      <c r="C154" s="485" t="s">
        <v>949</v>
      </c>
      <c r="D154" s="510"/>
      <c r="E154" s="319">
        <v>1</v>
      </c>
      <c r="F154" s="319"/>
      <c r="G154" s="19"/>
      <c r="H154" s="19"/>
      <c r="I154" s="19"/>
      <c r="J154" s="19"/>
      <c r="K154" s="19"/>
      <c r="L154" s="19"/>
      <c r="M154" s="19"/>
      <c r="P154" t="s">
        <v>1196</v>
      </c>
      <c r="X154" s="487"/>
    </row>
    <row r="155" spans="2:43" x14ac:dyDescent="0.25">
      <c r="C155" s="485" t="str">
        <f>C152</f>
        <v>IISELC</v>
      </c>
      <c r="E155" s="319"/>
      <c r="F155" s="319">
        <f>D144</f>
        <v>2.7107999999999999</v>
      </c>
      <c r="G155" s="19"/>
      <c r="H155" s="19"/>
      <c r="I155" s="19"/>
      <c r="J155" s="19"/>
      <c r="K155" s="19"/>
      <c r="L155" s="19"/>
      <c r="M155" s="19"/>
      <c r="X155" s="487"/>
    </row>
    <row r="156" spans="2:43" x14ac:dyDescent="0.25">
      <c r="C156" s="510"/>
      <c r="D156" s="485" t="s">
        <v>948</v>
      </c>
      <c r="E156" s="19"/>
      <c r="F156" s="19"/>
      <c r="G156" s="19"/>
      <c r="H156" s="19">
        <f>D139</f>
        <v>3231.6560659403167</v>
      </c>
      <c r="I156" s="19">
        <f>D140</f>
        <v>725.14525500322793</v>
      </c>
      <c r="J156" s="19">
        <f>D141</f>
        <v>161.58280329701586</v>
      </c>
      <c r="K156" s="19">
        <f>D142</f>
        <v>20</v>
      </c>
      <c r="L156" s="19">
        <f>D145*1000</f>
        <v>80</v>
      </c>
      <c r="M156" s="19"/>
      <c r="P156" s="511"/>
      <c r="R156" s="507"/>
      <c r="X156" s="487"/>
      <c r="AO156" s="441"/>
    </row>
    <row r="157" spans="2:43" x14ac:dyDescent="0.25">
      <c r="X157" s="487"/>
    </row>
    <row r="158" spans="2:43" x14ac:dyDescent="0.25">
      <c r="X158" s="487"/>
    </row>
    <row r="159" spans="2:43" x14ac:dyDescent="0.25">
      <c r="X159" s="487"/>
    </row>
    <row r="160" spans="2:43" x14ac:dyDescent="0.25">
      <c r="X160" s="487"/>
    </row>
    <row r="161" spans="2:24" ht="21" x14ac:dyDescent="0.35">
      <c r="B161" s="424" t="s">
        <v>1178</v>
      </c>
      <c r="X161" s="487"/>
    </row>
    <row r="162" spans="2:24" x14ac:dyDescent="0.25">
      <c r="X162" s="487"/>
    </row>
    <row r="163" spans="2:24" x14ac:dyDescent="0.25">
      <c r="X163" s="487"/>
    </row>
    <row r="164" spans="2:24" x14ac:dyDescent="0.25">
      <c r="D164" s="119"/>
      <c r="E164" s="119"/>
      <c r="X164" s="487"/>
    </row>
    <row r="165" spans="2:24" x14ac:dyDescent="0.25">
      <c r="X165" s="487"/>
    </row>
    <row r="166" spans="2:24" x14ac:dyDescent="0.25">
      <c r="F166" s="18"/>
      <c r="G166" s="18"/>
      <c r="X166" s="487"/>
    </row>
    <row r="167" spans="2:24" x14ac:dyDescent="0.25">
      <c r="B167" s="549"/>
      <c r="C167" s="547"/>
      <c r="D167" s="550" t="s">
        <v>1129</v>
      </c>
      <c r="E167" s="550"/>
      <c r="F167" s="547" t="s">
        <v>682</v>
      </c>
      <c r="G167" s="18"/>
      <c r="X167" s="487"/>
    </row>
    <row r="168" spans="2:24" x14ac:dyDescent="0.25">
      <c r="B168" s="547" t="s">
        <v>1109</v>
      </c>
      <c r="C168" s="547" t="s">
        <v>1130</v>
      </c>
      <c r="D168" s="547" t="s">
        <v>1131</v>
      </c>
      <c r="E168" s="547" t="s">
        <v>858</v>
      </c>
      <c r="F168" s="547" t="s">
        <v>849</v>
      </c>
      <c r="G168" s="18"/>
      <c r="I168" s="508"/>
      <c r="X168" s="487"/>
    </row>
    <row r="169" spans="2:24" x14ac:dyDescent="0.25">
      <c r="B169" s="485" t="s">
        <v>946</v>
      </c>
      <c r="C169" s="485" t="s">
        <v>948</v>
      </c>
      <c r="D169" s="99" t="s">
        <v>1259</v>
      </c>
      <c r="E169">
        <v>1</v>
      </c>
      <c r="G169" s="18"/>
      <c r="X169" s="487"/>
    </row>
    <row r="170" spans="2:24" x14ac:dyDescent="0.25">
      <c r="B170" t="s">
        <v>1084</v>
      </c>
      <c r="C170" s="485" t="s">
        <v>949</v>
      </c>
      <c r="E170">
        <v>1</v>
      </c>
      <c r="F170">
        <f>-AA245*L6</f>
        <v>-6079.8977071473337</v>
      </c>
      <c r="G170" s="18"/>
      <c r="I170" s="340" t="s">
        <v>1192</v>
      </c>
      <c r="X170" s="487"/>
    </row>
    <row r="171" spans="2:24" x14ac:dyDescent="0.25">
      <c r="B171" s="485" t="s">
        <v>938</v>
      </c>
      <c r="D171" s="485" t="s">
        <v>950</v>
      </c>
      <c r="E171">
        <v>1</v>
      </c>
      <c r="F171">
        <v>1400</v>
      </c>
      <c r="I171" s="340" t="s">
        <v>1176</v>
      </c>
      <c r="X171" s="487"/>
    </row>
    <row r="172" spans="2:24" x14ac:dyDescent="0.25">
      <c r="X172" s="487"/>
    </row>
    <row r="173" spans="2:24" x14ac:dyDescent="0.25">
      <c r="X173" s="487"/>
    </row>
    <row r="174" spans="2:24" x14ac:dyDescent="0.25">
      <c r="X174" s="487"/>
    </row>
    <row r="175" spans="2:24" x14ac:dyDescent="0.25">
      <c r="X175" s="487"/>
    </row>
    <row r="176" spans="2:24" x14ac:dyDescent="0.25">
      <c r="X176" s="487"/>
    </row>
    <row r="177" spans="2:33" x14ac:dyDescent="0.25">
      <c r="X177" s="487"/>
    </row>
    <row r="178" spans="2:33" x14ac:dyDescent="0.25">
      <c r="X178" s="487"/>
    </row>
    <row r="179" spans="2:33" x14ac:dyDescent="0.25">
      <c r="X179" s="487"/>
    </row>
    <row r="180" spans="2:33" x14ac:dyDescent="0.25">
      <c r="X180" s="487"/>
    </row>
    <row r="181" spans="2:33" x14ac:dyDescent="0.25">
      <c r="X181" s="487"/>
    </row>
    <row r="182" spans="2:33" x14ac:dyDescent="0.25">
      <c r="X182" s="487"/>
    </row>
    <row r="183" spans="2:33" x14ac:dyDescent="0.25">
      <c r="X183" s="487"/>
    </row>
    <row r="184" spans="2:33" x14ac:dyDescent="0.25">
      <c r="X184" s="487"/>
    </row>
    <row r="185" spans="2:33" x14ac:dyDescent="0.25">
      <c r="X185" s="487"/>
      <c r="AB185" t="s">
        <v>820</v>
      </c>
      <c r="AC185" t="s">
        <v>821</v>
      </c>
    </row>
    <row r="186" spans="2:33" x14ac:dyDescent="0.25">
      <c r="X186" s="487"/>
      <c r="AA186" t="s">
        <v>191</v>
      </c>
      <c r="AB186">
        <v>100</v>
      </c>
      <c r="AC186">
        <v>175</v>
      </c>
      <c r="AD186">
        <v>175</v>
      </c>
      <c r="AE186" s="418">
        <f>AD186*'[16]Facility technicals and LCOE'!$D$4</f>
        <v>3500</v>
      </c>
      <c r="AF186">
        <f>235-175</f>
        <v>60</v>
      </c>
    </row>
    <row r="187" spans="2:33" x14ac:dyDescent="0.25">
      <c r="X187" s="487"/>
      <c r="AA187" t="s">
        <v>822</v>
      </c>
      <c r="AB187">
        <v>100</v>
      </c>
      <c r="AC187">
        <v>235</v>
      </c>
      <c r="AD187">
        <f>AC187-AC186</f>
        <v>60</v>
      </c>
      <c r="AE187" s="418">
        <f>AD187*'[16]Facility technicals and LCOE'!$D$4</f>
        <v>1200</v>
      </c>
      <c r="AG187" t="s">
        <v>965</v>
      </c>
    </row>
    <row r="188" spans="2:33" x14ac:dyDescent="0.25">
      <c r="X188" s="487"/>
      <c r="AA188" t="s">
        <v>823</v>
      </c>
      <c r="AB188">
        <v>100</v>
      </c>
      <c r="AC188">
        <v>350</v>
      </c>
      <c r="AD188">
        <f>AC188-AC187</f>
        <v>115</v>
      </c>
      <c r="AE188" s="418">
        <f>AD188*'[16]Facility technicals and LCOE'!$D$4</f>
        <v>2300</v>
      </c>
    </row>
    <row r="189" spans="2:33" x14ac:dyDescent="0.25">
      <c r="X189" s="487"/>
      <c r="AA189" t="s">
        <v>824</v>
      </c>
      <c r="AB189">
        <v>100</v>
      </c>
      <c r="AC189">
        <v>590</v>
      </c>
      <c r="AD189">
        <f>AC189-AC188</f>
        <v>240</v>
      </c>
      <c r="AE189" s="418">
        <f>AD189*'[16]Facility technicals and LCOE'!$D$4</f>
        <v>4800</v>
      </c>
    </row>
    <row r="190" spans="2:33" ht="21" x14ac:dyDescent="0.35">
      <c r="B190" s="424" t="s">
        <v>1285</v>
      </c>
      <c r="X190" s="487"/>
      <c r="AA190" t="s">
        <v>825</v>
      </c>
      <c r="AB190">
        <v>100</v>
      </c>
      <c r="AC190">
        <v>650</v>
      </c>
      <c r="AD190">
        <f>AC190-AC189</f>
        <v>60</v>
      </c>
      <c r="AE190" s="418">
        <f>AD190*'[16]Facility technicals and LCOE'!$D$4</f>
        <v>1200</v>
      </c>
    </row>
    <row r="191" spans="2:33" x14ac:dyDescent="0.25">
      <c r="X191" s="487"/>
    </row>
    <row r="192" spans="2:33" x14ac:dyDescent="0.25">
      <c r="X192" s="487"/>
    </row>
    <row r="193" spans="2:24" x14ac:dyDescent="0.25">
      <c r="X193" s="487"/>
    </row>
    <row r="194" spans="2:24" x14ac:dyDescent="0.25">
      <c r="B194" s="547" t="s">
        <v>1134</v>
      </c>
      <c r="X194" s="487"/>
    </row>
    <row r="195" spans="2:24" x14ac:dyDescent="0.25">
      <c r="B195" s="547" t="s">
        <v>1135</v>
      </c>
      <c r="C195" s="547" t="s">
        <v>1136</v>
      </c>
      <c r="D195" s="547" t="s">
        <v>1137</v>
      </c>
      <c r="E195" s="547" t="s">
        <v>1138</v>
      </c>
      <c r="F195" s="547" t="s">
        <v>619</v>
      </c>
      <c r="G195" s="547" t="s">
        <v>1139</v>
      </c>
      <c r="H195" s="547" t="s">
        <v>1140</v>
      </c>
      <c r="I195" s="547" t="s">
        <v>1141</v>
      </c>
      <c r="J195" s="547" t="s">
        <v>1142</v>
      </c>
      <c r="X195" s="487"/>
    </row>
    <row r="196" spans="2:24" ht="27" thickBot="1" x14ac:dyDescent="0.3">
      <c r="B196" s="516" t="s">
        <v>1143</v>
      </c>
      <c r="C196" s="517" t="s">
        <v>1144</v>
      </c>
      <c r="D196" s="516" t="s">
        <v>1145</v>
      </c>
      <c r="E196" s="516" t="s">
        <v>1146</v>
      </c>
      <c r="F196" s="516" t="s">
        <v>619</v>
      </c>
      <c r="G196" s="516" t="s">
        <v>1147</v>
      </c>
      <c r="H196" s="516" t="s">
        <v>1148</v>
      </c>
      <c r="I196" s="516" t="s">
        <v>1149</v>
      </c>
      <c r="J196" s="516" t="s">
        <v>1150</v>
      </c>
      <c r="X196" s="487"/>
    </row>
    <row r="197" spans="2:24" x14ac:dyDescent="0.25">
      <c r="B197" s="518" t="s">
        <v>1152</v>
      </c>
      <c r="C197" s="518" t="s">
        <v>951</v>
      </c>
      <c r="D197" s="485" t="s">
        <v>950</v>
      </c>
      <c r="E197" s="485" t="str">
        <f t="shared" ref="E197:E201" si="9">"Industry - I&amp;S - "&amp;L197</f>
        <v>Industry - I&amp;S - Iron Ore</v>
      </c>
      <c r="F197" s="485" t="s">
        <v>139</v>
      </c>
      <c r="G197" s="485"/>
      <c r="H197" s="467"/>
      <c r="I197" s="467"/>
      <c r="J197" s="467"/>
      <c r="K197" s="467"/>
      <c r="L197" t="s">
        <v>1164</v>
      </c>
      <c r="X197" s="487"/>
    </row>
    <row r="198" spans="2:24" x14ac:dyDescent="0.25">
      <c r="B198" s="518" t="s">
        <v>1152</v>
      </c>
      <c r="C198" s="518" t="s">
        <v>951</v>
      </c>
      <c r="D198" s="485" t="s">
        <v>949</v>
      </c>
      <c r="E198" s="485" t="str">
        <f t="shared" si="9"/>
        <v>Industry - I&amp;S - GreenHBI</v>
      </c>
      <c r="F198" s="485" t="s">
        <v>139</v>
      </c>
      <c r="G198" s="485"/>
      <c r="H198" s="467"/>
      <c r="I198" s="467"/>
      <c r="J198" s="467"/>
      <c r="K198" s="467"/>
      <c r="L198" t="s">
        <v>1177</v>
      </c>
      <c r="X198" s="487"/>
    </row>
    <row r="199" spans="2:24" x14ac:dyDescent="0.25">
      <c r="B199" s="518" t="s">
        <v>1152</v>
      </c>
      <c r="C199" s="518" t="s">
        <v>951</v>
      </c>
      <c r="D199" s="485" t="s">
        <v>948</v>
      </c>
      <c r="E199" s="485" t="str">
        <f t="shared" si="9"/>
        <v>Industry - I&amp;S - GreenSteel</v>
      </c>
      <c r="F199" s="485" t="s">
        <v>139</v>
      </c>
      <c r="G199" s="485"/>
      <c r="H199" s="467"/>
      <c r="I199" s="467"/>
      <c r="J199" s="467"/>
      <c r="K199" s="467"/>
      <c r="L199" t="s">
        <v>1165</v>
      </c>
      <c r="X199" s="487"/>
    </row>
    <row r="200" spans="2:24" x14ac:dyDescent="0.25">
      <c r="B200" s="518" t="s">
        <v>1238</v>
      </c>
      <c r="C200" s="518" t="s">
        <v>951</v>
      </c>
      <c r="D200" s="485" t="s">
        <v>38</v>
      </c>
      <c r="E200" s="485" t="str">
        <f t="shared" si="9"/>
        <v>Industry - I&amp;S - Electricity</v>
      </c>
      <c r="F200" s="485" t="s">
        <v>139</v>
      </c>
      <c r="G200" s="485"/>
      <c r="H200" s="484" t="s">
        <v>953</v>
      </c>
      <c r="I200" s="467"/>
      <c r="J200" s="467"/>
      <c r="K200" s="467"/>
      <c r="L200" t="s">
        <v>14</v>
      </c>
      <c r="X200" s="487"/>
    </row>
    <row r="201" spans="2:24" x14ac:dyDescent="0.25">
      <c r="B201" s="518" t="s">
        <v>1152</v>
      </c>
      <c r="C201" s="518" t="s">
        <v>951</v>
      </c>
      <c r="D201" s="485" t="s">
        <v>947</v>
      </c>
      <c r="E201" s="485" t="str">
        <f t="shared" si="9"/>
        <v>Industry - I&amp;S - Hydrogen</v>
      </c>
      <c r="F201" s="485" t="s">
        <v>139</v>
      </c>
      <c r="G201" s="485"/>
      <c r="H201" s="467"/>
      <c r="I201" s="467"/>
      <c r="J201" s="467"/>
      <c r="K201" s="467"/>
      <c r="L201" t="s">
        <v>774</v>
      </c>
      <c r="X201" s="487"/>
    </row>
    <row r="202" spans="2:24" x14ac:dyDescent="0.25">
      <c r="B202" s="518"/>
      <c r="C202" s="518"/>
      <c r="E202" s="485"/>
      <c r="H202" s="467"/>
      <c r="I202" s="467"/>
      <c r="J202" s="467"/>
      <c r="K202" s="467"/>
      <c r="X202" s="487"/>
    </row>
    <row r="203" spans="2:24" x14ac:dyDescent="0.25">
      <c r="X203" s="487"/>
    </row>
    <row r="204" spans="2:24" x14ac:dyDescent="0.25">
      <c r="X204" s="487"/>
    </row>
    <row r="205" spans="2:24" x14ac:dyDescent="0.25">
      <c r="X205" s="487"/>
    </row>
    <row r="206" spans="2:24" x14ac:dyDescent="0.25">
      <c r="X206" s="487"/>
    </row>
    <row r="207" spans="2:24" x14ac:dyDescent="0.25">
      <c r="X207" s="487"/>
    </row>
    <row r="208" spans="2:24" x14ac:dyDescent="0.25">
      <c r="X208" s="487"/>
    </row>
    <row r="209" spans="24:37" x14ac:dyDescent="0.25">
      <c r="X209" s="487"/>
    </row>
    <row r="210" spans="24:37" x14ac:dyDescent="0.25">
      <c r="X210" s="487"/>
    </row>
    <row r="211" spans="24:37" x14ac:dyDescent="0.25">
      <c r="X211" s="487"/>
    </row>
    <row r="212" spans="24:37" x14ac:dyDescent="0.25">
      <c r="X212" s="487"/>
    </row>
    <row r="213" spans="24:37" x14ac:dyDescent="0.25">
      <c r="X213" s="487"/>
      <c r="AB213" t="s">
        <v>802</v>
      </c>
    </row>
    <row r="214" spans="24:37" x14ac:dyDescent="0.25">
      <c r="X214" s="487"/>
      <c r="AB214" t="s">
        <v>807</v>
      </c>
      <c r="AC214" s="285" t="s">
        <v>808</v>
      </c>
      <c r="AD214" s="285"/>
      <c r="AE214" s="285"/>
      <c r="AF214" s="285"/>
      <c r="AG214" s="285"/>
      <c r="AH214" s="285"/>
    </row>
    <row r="215" spans="24:37" x14ac:dyDescent="0.25">
      <c r="X215" s="487"/>
      <c r="AB215" s="285">
        <v>1</v>
      </c>
      <c r="AC215">
        <v>0.66700000000000004</v>
      </c>
    </row>
    <row r="216" spans="24:37" x14ac:dyDescent="0.25">
      <c r="X216" s="487"/>
      <c r="AB216" s="285">
        <v>0</v>
      </c>
      <c r="AC216">
        <v>3.48</v>
      </c>
      <c r="AG216" s="348">
        <f>AC216-AC219</f>
        <v>0.75999999999999979</v>
      </c>
      <c r="AH216" t="s">
        <v>813</v>
      </c>
    </row>
    <row r="217" spans="24:37" x14ac:dyDescent="0.25">
      <c r="X217" s="487"/>
      <c r="AB217" s="285">
        <v>0.2</v>
      </c>
      <c r="AC217">
        <v>2.16</v>
      </c>
      <c r="AD217" t="s">
        <v>814</v>
      </c>
      <c r="AG217">
        <f>AC220</f>
        <v>2.41</v>
      </c>
      <c r="AH217" t="s">
        <v>815</v>
      </c>
      <c r="AJ217" s="122">
        <f>AG217/AG218</f>
        <v>0.69252873563218398</v>
      </c>
    </row>
    <row r="218" spans="24:37" x14ac:dyDescent="0.25">
      <c r="X218" s="487"/>
      <c r="AB218" s="285">
        <v>0.2</v>
      </c>
      <c r="AC218">
        <v>1.9</v>
      </c>
      <c r="AE218">
        <f>AC217-AC218</f>
        <v>0.26000000000000023</v>
      </c>
      <c r="AG218">
        <f>AC216</f>
        <v>3.48</v>
      </c>
      <c r="AH218" t="s">
        <v>816</v>
      </c>
    </row>
    <row r="219" spans="24:37" x14ac:dyDescent="0.25">
      <c r="X219" s="487"/>
      <c r="AB219" s="285">
        <v>0</v>
      </c>
      <c r="AC219">
        <v>2.72</v>
      </c>
      <c r="AG219">
        <f>AC221</f>
        <v>2.9</v>
      </c>
      <c r="AH219" t="s">
        <v>818</v>
      </c>
    </row>
    <row r="220" spans="24:37" x14ac:dyDescent="0.25">
      <c r="X220" s="487"/>
      <c r="AB220" s="285">
        <v>0</v>
      </c>
      <c r="AC220">
        <v>2.41</v>
      </c>
      <c r="AE220" s="268">
        <f>AC219-AC220</f>
        <v>0.31000000000000005</v>
      </c>
      <c r="AF220" t="s">
        <v>819</v>
      </c>
    </row>
    <row r="221" spans="24:37" x14ac:dyDescent="0.25">
      <c r="X221" s="487"/>
      <c r="AB221" s="285">
        <v>0.2</v>
      </c>
      <c r="AC221">
        <v>2.9</v>
      </c>
    </row>
    <row r="222" spans="24:37" x14ac:dyDescent="0.25">
      <c r="X222" s="487"/>
    </row>
    <row r="223" spans="24:37" x14ac:dyDescent="0.25">
      <c r="X223" s="487"/>
    </row>
    <row r="224" spans="24:37" x14ac:dyDescent="0.25">
      <c r="X224" s="487"/>
      <c r="AK224" s="442"/>
    </row>
    <row r="225" spans="24:40" x14ac:dyDescent="0.25">
      <c r="X225" s="487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443"/>
      <c r="AL225" s="8"/>
      <c r="AM225" s="8"/>
      <c r="AN225" s="8"/>
    </row>
    <row r="226" spans="24:40" x14ac:dyDescent="0.25">
      <c r="X226" s="487"/>
    </row>
    <row r="227" spans="24:40" x14ac:dyDescent="0.25">
      <c r="X227" s="487"/>
      <c r="Z227" t="s">
        <v>797</v>
      </c>
    </row>
    <row r="228" spans="24:40" x14ac:dyDescent="0.25">
      <c r="X228" s="487"/>
      <c r="Z228">
        <v>30.6</v>
      </c>
      <c r="AA228" t="s">
        <v>798</v>
      </c>
      <c r="AB228" s="118" t="s">
        <v>799</v>
      </c>
    </row>
    <row r="229" spans="24:40" x14ac:dyDescent="0.25">
      <c r="X229" s="487"/>
      <c r="Z229">
        <f>Z228*AK232</f>
        <v>489.6</v>
      </c>
      <c r="AA229" t="s">
        <v>800</v>
      </c>
      <c r="AK229" t="s">
        <v>801</v>
      </c>
    </row>
    <row r="230" spans="24:40" x14ac:dyDescent="0.25">
      <c r="X230" s="487"/>
    </row>
    <row r="231" spans="24:40" x14ac:dyDescent="0.25">
      <c r="X231" s="487"/>
      <c r="Z231" t="s">
        <v>803</v>
      </c>
      <c r="AK231" t="s">
        <v>805</v>
      </c>
      <c r="AL231" t="s">
        <v>806</v>
      </c>
    </row>
    <row r="232" spans="24:40" x14ac:dyDescent="0.25">
      <c r="X232" s="487"/>
      <c r="Z232" t="s">
        <v>809</v>
      </c>
      <c r="AK232">
        <v>16</v>
      </c>
      <c r="AL232">
        <v>2018</v>
      </c>
    </row>
    <row r="233" spans="24:40" x14ac:dyDescent="0.25">
      <c r="X233" s="487"/>
      <c r="Z233">
        <v>135</v>
      </c>
      <c r="AA233" t="s">
        <v>810</v>
      </c>
      <c r="AB233">
        <v>405</v>
      </c>
      <c r="AC233" t="s">
        <v>811</v>
      </c>
      <c r="AD233" s="118" t="s">
        <v>812</v>
      </c>
    </row>
    <row r="234" spans="24:40" x14ac:dyDescent="0.25">
      <c r="X234" s="487"/>
      <c r="Z234">
        <f>(Z233+AB233)/2</f>
        <v>270</v>
      </c>
      <c r="AA234" t="s">
        <v>730</v>
      </c>
    </row>
    <row r="235" spans="24:40" x14ac:dyDescent="0.25">
      <c r="X235" s="487"/>
    </row>
    <row r="236" spans="24:40" x14ac:dyDescent="0.25">
      <c r="X236" s="487"/>
      <c r="Z236">
        <f>Z234*1000/(12*20*8)</f>
        <v>140.625</v>
      </c>
      <c r="AA236" t="s">
        <v>817</v>
      </c>
    </row>
    <row r="237" spans="24:40" x14ac:dyDescent="0.25">
      <c r="X237" s="487"/>
    </row>
    <row r="238" spans="24:40" x14ac:dyDescent="0.25">
      <c r="X238" s="487"/>
    </row>
    <row r="239" spans="24:40" x14ac:dyDescent="0.25">
      <c r="X239" s="487"/>
    </row>
    <row r="240" spans="24:40" x14ac:dyDescent="0.25">
      <c r="X240" s="487"/>
    </row>
    <row r="241" spans="24:32" x14ac:dyDescent="0.25">
      <c r="X241" s="487"/>
    </row>
    <row r="242" spans="24:32" x14ac:dyDescent="0.25">
      <c r="X242" s="487"/>
      <c r="Z242" s="11" t="s">
        <v>1075</v>
      </c>
      <c r="AA242" s="8"/>
      <c r="AB242" s="8"/>
      <c r="AC242" s="8"/>
      <c r="AD242" s="8"/>
      <c r="AE242" s="8"/>
      <c r="AF242" s="8"/>
    </row>
    <row r="243" spans="24:32" x14ac:dyDescent="0.25">
      <c r="X243" s="487"/>
      <c r="Z243" s="118" t="s">
        <v>1076</v>
      </c>
    </row>
    <row r="244" spans="24:32" x14ac:dyDescent="0.25">
      <c r="X244" s="487"/>
    </row>
    <row r="245" spans="24:32" x14ac:dyDescent="0.25">
      <c r="X245" s="487"/>
      <c r="Z245" t="s">
        <v>1077</v>
      </c>
      <c r="AA245">
        <f>AVERAGE(AB296:AB307)</f>
        <v>342.83333333333331</v>
      </c>
      <c r="AB245" t="s">
        <v>1078</v>
      </c>
    </row>
    <row r="246" spans="24:32" x14ac:dyDescent="0.25">
      <c r="X246" s="487"/>
      <c r="AB246" s="594" t="s">
        <v>1079</v>
      </c>
      <c r="AC246" s="594"/>
      <c r="AD246" s="594"/>
      <c r="AE246" t="s">
        <v>1080</v>
      </c>
    </row>
    <row r="247" spans="24:32" ht="15.75" thickBot="1" x14ac:dyDescent="0.3">
      <c r="X247" s="487"/>
      <c r="AB247" t="s">
        <v>1077</v>
      </c>
      <c r="AC247" t="s">
        <v>1081</v>
      </c>
      <c r="AD247" t="s">
        <v>1082</v>
      </c>
      <c r="AE247" t="s">
        <v>1083</v>
      </c>
    </row>
    <row r="248" spans="24:32" ht="15.75" thickBot="1" x14ac:dyDescent="0.3">
      <c r="X248" s="487"/>
      <c r="Z248" s="502">
        <v>2015</v>
      </c>
      <c r="AA248" s="502">
        <v>1</v>
      </c>
      <c r="AB248" s="502">
        <v>389</v>
      </c>
      <c r="AC248" s="502">
        <v>365</v>
      </c>
      <c r="AD248" s="502">
        <v>320</v>
      </c>
      <c r="AE248" s="502">
        <v>390</v>
      </c>
    </row>
    <row r="249" spans="24:32" ht="15.75" thickBot="1" x14ac:dyDescent="0.3">
      <c r="X249" s="487"/>
      <c r="Z249" s="502">
        <v>2015</v>
      </c>
      <c r="AA249" s="502">
        <v>2</v>
      </c>
      <c r="AB249" s="502">
        <v>342</v>
      </c>
      <c r="AC249" s="502">
        <v>351</v>
      </c>
      <c r="AD249" s="502">
        <v>306</v>
      </c>
      <c r="AE249" s="502">
        <v>414</v>
      </c>
    </row>
    <row r="250" spans="24:32" ht="15.75" thickBot="1" x14ac:dyDescent="0.3">
      <c r="X250" s="487"/>
      <c r="Z250" s="502">
        <v>2015</v>
      </c>
      <c r="AA250" s="502">
        <v>3</v>
      </c>
      <c r="AB250" s="502">
        <v>338</v>
      </c>
      <c r="AC250" s="502">
        <v>313</v>
      </c>
      <c r="AD250" s="502">
        <v>280</v>
      </c>
      <c r="AE250" s="502">
        <v>340</v>
      </c>
    </row>
    <row r="251" spans="24:32" ht="15.75" thickBot="1" x14ac:dyDescent="0.3">
      <c r="X251" s="487"/>
      <c r="Z251" s="502">
        <v>2015</v>
      </c>
      <c r="AA251" s="502">
        <v>4</v>
      </c>
      <c r="AB251" s="502">
        <v>291</v>
      </c>
      <c r="AC251" s="502">
        <v>288</v>
      </c>
      <c r="AD251" s="502">
        <v>238</v>
      </c>
      <c r="AE251" s="502">
        <v>330</v>
      </c>
    </row>
    <row r="252" spans="24:32" ht="15.75" thickBot="1" x14ac:dyDescent="0.3">
      <c r="X252" s="487"/>
      <c r="Z252" s="502">
        <v>2015</v>
      </c>
      <c r="AA252" s="502">
        <v>5</v>
      </c>
      <c r="AB252" s="502">
        <v>278</v>
      </c>
      <c r="AC252" s="502">
        <v>283</v>
      </c>
      <c r="AD252" s="502">
        <v>247</v>
      </c>
      <c r="AE252" s="502">
        <v>325</v>
      </c>
    </row>
    <row r="253" spans="24:32" ht="15.75" thickBot="1" x14ac:dyDescent="0.3">
      <c r="X253" s="487"/>
      <c r="Z253" s="502">
        <v>2015</v>
      </c>
      <c r="AA253" s="502">
        <v>6</v>
      </c>
      <c r="AB253" s="502">
        <v>259</v>
      </c>
      <c r="AC253" s="502">
        <v>258</v>
      </c>
      <c r="AD253" s="502">
        <v>252</v>
      </c>
      <c r="AE253" s="502">
        <v>299</v>
      </c>
    </row>
    <row r="254" spans="24:32" ht="15.75" thickBot="1" x14ac:dyDescent="0.3">
      <c r="X254" s="487"/>
      <c r="Z254" s="502">
        <v>2015</v>
      </c>
      <c r="AA254" s="502">
        <v>7</v>
      </c>
      <c r="AB254" s="502">
        <v>279</v>
      </c>
      <c r="AC254" s="502">
        <v>253</v>
      </c>
      <c r="AD254" s="502">
        <v>252</v>
      </c>
      <c r="AE254" s="502">
        <v>316</v>
      </c>
    </row>
    <row r="255" spans="24:32" ht="15.75" thickBot="1" x14ac:dyDescent="0.3">
      <c r="X255" s="487"/>
      <c r="Z255" s="502">
        <v>2015</v>
      </c>
      <c r="AA255" s="502">
        <v>8</v>
      </c>
      <c r="AB255" s="502">
        <v>264</v>
      </c>
      <c r="AC255" s="502">
        <v>273</v>
      </c>
      <c r="AD255" s="502">
        <v>243</v>
      </c>
      <c r="AE255" s="502">
        <v>301</v>
      </c>
    </row>
    <row r="256" spans="24:32" ht="15.75" thickBot="1" x14ac:dyDescent="0.3">
      <c r="X256" s="487"/>
      <c r="Z256" s="502">
        <v>2015</v>
      </c>
      <c r="AA256" s="502">
        <v>9</v>
      </c>
      <c r="AB256" s="502">
        <v>280</v>
      </c>
      <c r="AC256" s="502">
        <v>233</v>
      </c>
      <c r="AD256" s="502">
        <v>228</v>
      </c>
      <c r="AE256" s="502">
        <v>295</v>
      </c>
    </row>
    <row r="257" spans="24:31" ht="15.75" thickBot="1" x14ac:dyDescent="0.3">
      <c r="X257" s="487"/>
      <c r="Z257" s="502">
        <v>2015</v>
      </c>
      <c r="AA257" s="502">
        <v>10</v>
      </c>
      <c r="AB257" s="502">
        <v>246</v>
      </c>
      <c r="AC257" s="502">
        <v>255</v>
      </c>
      <c r="AD257" s="502">
        <v>209</v>
      </c>
      <c r="AE257" s="502">
        <v>265</v>
      </c>
    </row>
    <row r="258" spans="24:31" ht="15.75" thickBot="1" x14ac:dyDescent="0.3">
      <c r="X258" s="487"/>
      <c r="Z258" s="502">
        <v>2015</v>
      </c>
      <c r="AA258" s="502">
        <v>11</v>
      </c>
      <c r="AB258" s="502">
        <v>222</v>
      </c>
      <c r="AC258" s="502">
        <v>201</v>
      </c>
      <c r="AD258" s="502">
        <v>184</v>
      </c>
      <c r="AE258" s="502">
        <v>213</v>
      </c>
    </row>
    <row r="259" spans="24:31" ht="15.75" thickBot="1" x14ac:dyDescent="0.3">
      <c r="X259" s="487"/>
      <c r="Z259" s="502">
        <v>2015</v>
      </c>
      <c r="AA259" s="502">
        <v>12</v>
      </c>
      <c r="AB259" s="502">
        <v>181</v>
      </c>
      <c r="AC259" s="502">
        <v>174</v>
      </c>
      <c r="AD259" s="502">
        <v>169</v>
      </c>
      <c r="AE259" s="502">
        <v>204</v>
      </c>
    </row>
    <row r="260" spans="24:31" ht="15.75" thickBot="1" x14ac:dyDescent="0.3">
      <c r="X260" s="487"/>
      <c r="Z260" s="502">
        <v>2016</v>
      </c>
      <c r="AA260" s="502">
        <v>1</v>
      </c>
      <c r="AB260" s="502">
        <v>252</v>
      </c>
      <c r="AC260" s="502">
        <v>203</v>
      </c>
      <c r="AD260" s="502">
        <v>167</v>
      </c>
      <c r="AE260" s="502">
        <v>215</v>
      </c>
    </row>
    <row r="261" spans="24:31" ht="15.75" thickBot="1" x14ac:dyDescent="0.3">
      <c r="X261" s="487"/>
      <c r="Z261" s="502">
        <v>2016</v>
      </c>
      <c r="AA261" s="502">
        <v>2</v>
      </c>
      <c r="AB261" s="502">
        <v>214</v>
      </c>
      <c r="AC261" s="502">
        <v>199</v>
      </c>
      <c r="AD261" s="502">
        <v>164</v>
      </c>
      <c r="AE261" s="502">
        <v>209</v>
      </c>
    </row>
    <row r="262" spans="24:31" ht="15.75" thickBot="1" x14ac:dyDescent="0.3">
      <c r="X262" s="487"/>
      <c r="Z262" s="502">
        <v>2016</v>
      </c>
      <c r="AA262" s="502">
        <v>3</v>
      </c>
      <c r="AB262" s="502">
        <v>198</v>
      </c>
      <c r="AC262" s="502">
        <v>182</v>
      </c>
      <c r="AD262" s="502">
        <v>175</v>
      </c>
      <c r="AE262" s="502">
        <v>211</v>
      </c>
    </row>
    <row r="263" spans="24:31" ht="15.75" thickBot="1" x14ac:dyDescent="0.3">
      <c r="X263" s="487"/>
      <c r="Z263" s="502">
        <v>2016</v>
      </c>
      <c r="AA263" s="502">
        <v>4</v>
      </c>
      <c r="AB263" s="502">
        <v>212</v>
      </c>
      <c r="AC263" s="502">
        <v>195</v>
      </c>
      <c r="AD263" s="502">
        <v>184</v>
      </c>
      <c r="AE263" s="502">
        <v>237</v>
      </c>
    </row>
    <row r="264" spans="24:31" ht="15.75" thickBot="1" x14ac:dyDescent="0.3">
      <c r="X264" s="487"/>
      <c r="Z264" s="502">
        <v>2016</v>
      </c>
      <c r="AA264" s="502">
        <v>5</v>
      </c>
      <c r="AB264" s="502">
        <v>212</v>
      </c>
      <c r="AC264" s="502">
        <v>202</v>
      </c>
      <c r="AD264" s="502">
        <v>227</v>
      </c>
      <c r="AE264" s="502">
        <v>247</v>
      </c>
    </row>
    <row r="265" spans="24:31" ht="15.75" thickBot="1" x14ac:dyDescent="0.3">
      <c r="X265" s="487"/>
      <c r="Z265" s="502">
        <v>2016</v>
      </c>
      <c r="AA265" s="502">
        <v>6</v>
      </c>
      <c r="AB265" s="502">
        <v>225</v>
      </c>
      <c r="AC265" s="502">
        <v>224</v>
      </c>
      <c r="AD265" s="502">
        <v>229</v>
      </c>
      <c r="AE265" s="502">
        <v>278</v>
      </c>
    </row>
    <row r="266" spans="24:31" ht="15.75" thickBot="1" x14ac:dyDescent="0.3">
      <c r="X266" s="487"/>
      <c r="Z266" s="502">
        <v>2016</v>
      </c>
      <c r="AA266" s="502">
        <v>7</v>
      </c>
      <c r="AB266" s="502">
        <v>261</v>
      </c>
      <c r="AC266" s="502">
        <v>248</v>
      </c>
      <c r="AD266" s="502">
        <v>246</v>
      </c>
      <c r="AE266" s="502">
        <v>259</v>
      </c>
    </row>
    <row r="267" spans="24:31" ht="15.75" thickBot="1" x14ac:dyDescent="0.3">
      <c r="X267" s="487"/>
      <c r="Z267" s="502">
        <v>2016</v>
      </c>
      <c r="AA267" s="502">
        <v>8</v>
      </c>
      <c r="AB267" s="502">
        <v>272</v>
      </c>
      <c r="AC267" s="502">
        <v>273</v>
      </c>
      <c r="AD267" s="502">
        <v>230</v>
      </c>
      <c r="AE267" s="502">
        <v>271</v>
      </c>
    </row>
    <row r="268" spans="24:31" ht="15.75" thickBot="1" x14ac:dyDescent="0.3">
      <c r="X268" s="487"/>
      <c r="Z268" s="502">
        <v>2016</v>
      </c>
      <c r="AA268" s="502">
        <v>9</v>
      </c>
      <c r="AB268" s="502">
        <v>261</v>
      </c>
      <c r="AC268" s="502">
        <v>241</v>
      </c>
      <c r="AD268" s="502">
        <v>226</v>
      </c>
      <c r="AE268" s="502">
        <v>261</v>
      </c>
    </row>
    <row r="269" spans="24:31" ht="15.75" thickBot="1" x14ac:dyDescent="0.3">
      <c r="X269" s="487"/>
      <c r="Z269" s="502">
        <v>2016</v>
      </c>
      <c r="AA269" s="502">
        <v>10</v>
      </c>
      <c r="AB269" s="502">
        <v>266</v>
      </c>
      <c r="AC269" s="502">
        <v>257</v>
      </c>
      <c r="AD269" s="502">
        <v>229</v>
      </c>
      <c r="AE269" s="502">
        <v>272</v>
      </c>
    </row>
    <row r="270" spans="24:31" ht="15.75" thickBot="1" x14ac:dyDescent="0.3">
      <c r="X270" s="487"/>
      <c r="Z270" s="502">
        <v>2016</v>
      </c>
      <c r="AA270" s="502">
        <v>11</v>
      </c>
      <c r="AB270" s="502">
        <v>255</v>
      </c>
      <c r="AC270" s="502">
        <v>245</v>
      </c>
      <c r="AD270" s="502">
        <v>227</v>
      </c>
      <c r="AE270" s="502">
        <v>264</v>
      </c>
    </row>
    <row r="271" spans="24:31" ht="15.75" thickBot="1" x14ac:dyDescent="0.3">
      <c r="X271" s="487"/>
      <c r="Z271" s="502">
        <v>2016</v>
      </c>
      <c r="AA271" s="502">
        <v>12</v>
      </c>
      <c r="AB271" s="502">
        <v>249</v>
      </c>
      <c r="AC271" s="502">
        <v>271</v>
      </c>
      <c r="AD271" s="502">
        <v>259</v>
      </c>
      <c r="AE271" s="502">
        <v>293</v>
      </c>
    </row>
    <row r="272" spans="24:31" ht="15.75" thickBot="1" x14ac:dyDescent="0.3">
      <c r="X272" s="487"/>
      <c r="Z272" s="502">
        <v>2017</v>
      </c>
      <c r="AA272" s="502">
        <v>1</v>
      </c>
      <c r="AB272" s="502">
        <v>276</v>
      </c>
      <c r="AC272" s="502">
        <v>316</v>
      </c>
      <c r="AD272" s="502">
        <v>284</v>
      </c>
      <c r="AE272" s="502">
        <v>305</v>
      </c>
    </row>
    <row r="273" spans="24:31" ht="15.75" thickBot="1" x14ac:dyDescent="0.3">
      <c r="X273" s="487"/>
      <c r="Z273" s="502">
        <v>2017</v>
      </c>
      <c r="AA273" s="502">
        <v>2</v>
      </c>
      <c r="AB273" s="502">
        <v>296</v>
      </c>
      <c r="AC273" s="502">
        <v>303</v>
      </c>
      <c r="AD273" s="502">
        <v>293</v>
      </c>
      <c r="AE273" s="502">
        <v>322</v>
      </c>
    </row>
    <row r="274" spans="24:31" ht="15.75" thickBot="1" x14ac:dyDescent="0.3">
      <c r="X274" s="487"/>
      <c r="Z274" s="502">
        <v>2017</v>
      </c>
      <c r="AA274" s="502">
        <v>3</v>
      </c>
      <c r="AB274" s="502">
        <v>313</v>
      </c>
      <c r="AC274" s="502">
        <v>316</v>
      </c>
      <c r="AD274" s="502">
        <v>280</v>
      </c>
      <c r="AE274" s="502">
        <v>328</v>
      </c>
    </row>
    <row r="275" spans="24:31" ht="15.75" thickBot="1" x14ac:dyDescent="0.3">
      <c r="X275" s="487"/>
      <c r="Z275" s="502">
        <v>2017</v>
      </c>
      <c r="AA275" s="502">
        <v>4</v>
      </c>
      <c r="AB275" s="502">
        <v>307</v>
      </c>
      <c r="AC275" s="502">
        <v>339</v>
      </c>
      <c r="AD275" s="502">
        <v>305</v>
      </c>
      <c r="AE275" s="502">
        <v>358</v>
      </c>
    </row>
    <row r="276" spans="24:31" ht="15.75" thickBot="1" x14ac:dyDescent="0.3">
      <c r="X276" s="487"/>
      <c r="Z276" s="502">
        <v>2017</v>
      </c>
      <c r="AA276" s="502">
        <v>5</v>
      </c>
      <c r="AB276" s="502">
        <v>319</v>
      </c>
      <c r="AC276" s="502">
        <v>346</v>
      </c>
      <c r="AD276" s="502">
        <v>331</v>
      </c>
      <c r="AE276" s="502">
        <v>378</v>
      </c>
    </row>
    <row r="277" spans="24:31" ht="15.75" thickBot="1" x14ac:dyDescent="0.3">
      <c r="X277" s="487"/>
      <c r="Z277" s="502">
        <v>2017</v>
      </c>
      <c r="AA277" s="502">
        <v>6</v>
      </c>
      <c r="AB277" s="502">
        <v>349</v>
      </c>
      <c r="AC277" s="502">
        <v>365</v>
      </c>
      <c r="AD277" s="502">
        <v>333</v>
      </c>
      <c r="AE277" s="502">
        <v>357</v>
      </c>
    </row>
    <row r="278" spans="24:31" ht="15.75" thickBot="1" x14ac:dyDescent="0.3">
      <c r="X278" s="487"/>
      <c r="Z278" s="502">
        <v>2017</v>
      </c>
      <c r="AA278" s="502">
        <v>7</v>
      </c>
      <c r="AB278" s="502">
        <v>359</v>
      </c>
      <c r="AC278" s="502">
        <v>369</v>
      </c>
      <c r="AD278" s="502">
        <v>324</v>
      </c>
      <c r="AE278" s="502">
        <v>350</v>
      </c>
    </row>
    <row r="279" spans="24:31" ht="15.75" thickBot="1" x14ac:dyDescent="0.3">
      <c r="X279" s="487"/>
      <c r="Z279" s="502">
        <v>2017</v>
      </c>
      <c r="AA279" s="502">
        <v>8</v>
      </c>
      <c r="AB279" s="502">
        <v>364</v>
      </c>
      <c r="AC279" s="502">
        <v>359</v>
      </c>
      <c r="AD279" s="502">
        <v>315</v>
      </c>
      <c r="AE279" s="502">
        <v>365</v>
      </c>
    </row>
    <row r="280" spans="24:31" ht="15.75" thickBot="1" x14ac:dyDescent="0.3">
      <c r="X280" s="487"/>
      <c r="Z280" s="502">
        <v>2017</v>
      </c>
      <c r="AA280" s="502">
        <v>9</v>
      </c>
      <c r="AB280" s="502">
        <v>349</v>
      </c>
      <c r="AC280" s="502">
        <v>345</v>
      </c>
      <c r="AD280" s="502">
        <v>319</v>
      </c>
      <c r="AE280" s="502">
        <v>373</v>
      </c>
    </row>
    <row r="281" spans="24:31" ht="15.75" thickBot="1" x14ac:dyDescent="0.3">
      <c r="X281" s="487"/>
      <c r="Z281" s="502">
        <v>2017</v>
      </c>
      <c r="AA281" s="502">
        <v>10</v>
      </c>
      <c r="AB281" s="502">
        <v>353</v>
      </c>
      <c r="AC281" s="502">
        <v>356</v>
      </c>
      <c r="AD281" s="502">
        <v>333</v>
      </c>
      <c r="AE281" s="502">
        <v>375</v>
      </c>
    </row>
    <row r="282" spans="24:31" ht="15.75" thickBot="1" x14ac:dyDescent="0.3">
      <c r="X282" s="487"/>
      <c r="Z282" s="502">
        <v>2017</v>
      </c>
      <c r="AA282" s="502">
        <v>11</v>
      </c>
      <c r="AB282" s="502">
        <v>353</v>
      </c>
      <c r="AC282" s="502">
        <v>365</v>
      </c>
      <c r="AD282" s="502">
        <v>325</v>
      </c>
      <c r="AE282" s="502">
        <v>364</v>
      </c>
    </row>
    <row r="283" spans="24:31" ht="15.75" thickBot="1" x14ac:dyDescent="0.3">
      <c r="X283" s="487"/>
      <c r="Z283" s="502">
        <v>2017</v>
      </c>
      <c r="AA283" s="502">
        <v>12</v>
      </c>
      <c r="AB283" s="502">
        <v>366</v>
      </c>
      <c r="AC283" s="502">
        <v>316</v>
      </c>
      <c r="AD283" s="502">
        <v>324</v>
      </c>
      <c r="AE283" s="502">
        <v>370</v>
      </c>
    </row>
    <row r="284" spans="24:31" ht="15.75" thickBot="1" x14ac:dyDescent="0.3">
      <c r="X284" s="487"/>
      <c r="Z284" s="502">
        <v>2018</v>
      </c>
      <c r="AA284" s="502">
        <v>1</v>
      </c>
      <c r="AB284" s="502">
        <v>357</v>
      </c>
      <c r="AC284" s="502">
        <v>379</v>
      </c>
      <c r="AD284" s="502">
        <v>325</v>
      </c>
      <c r="AE284" s="502">
        <v>380</v>
      </c>
    </row>
    <row r="285" spans="24:31" ht="15.75" thickBot="1" x14ac:dyDescent="0.3">
      <c r="X285" s="487"/>
      <c r="Z285" s="502">
        <v>2018</v>
      </c>
      <c r="AA285" s="502">
        <v>2</v>
      </c>
      <c r="AB285" s="502">
        <v>381</v>
      </c>
      <c r="AC285" s="502">
        <v>352</v>
      </c>
      <c r="AD285" s="502">
        <v>329</v>
      </c>
      <c r="AE285" s="502">
        <v>370</v>
      </c>
    </row>
    <row r="286" spans="24:31" ht="15.75" thickBot="1" x14ac:dyDescent="0.3">
      <c r="X286" s="487"/>
      <c r="Z286" s="502">
        <v>2018</v>
      </c>
      <c r="AA286" s="502">
        <v>3</v>
      </c>
      <c r="AB286" s="502">
        <v>370</v>
      </c>
      <c r="AC286" s="502">
        <v>334</v>
      </c>
      <c r="AD286" s="502">
        <v>341</v>
      </c>
      <c r="AE286" s="502">
        <v>377</v>
      </c>
    </row>
    <row r="287" spans="24:31" ht="15.75" thickBot="1" x14ac:dyDescent="0.3">
      <c r="X287" s="487"/>
      <c r="Z287" s="502">
        <v>2018</v>
      </c>
      <c r="AA287" s="502">
        <v>4</v>
      </c>
      <c r="AB287" s="502">
        <v>381</v>
      </c>
      <c r="AC287" s="502">
        <v>387</v>
      </c>
      <c r="AD287" s="502">
        <v>330</v>
      </c>
      <c r="AE287" s="502">
        <v>376</v>
      </c>
    </row>
    <row r="288" spans="24:31" ht="15.75" thickBot="1" x14ac:dyDescent="0.3">
      <c r="X288" s="487"/>
      <c r="Z288" s="502">
        <v>2018</v>
      </c>
      <c r="AA288" s="502">
        <v>5</v>
      </c>
      <c r="AB288" s="502">
        <v>387</v>
      </c>
      <c r="AC288" s="502">
        <v>399</v>
      </c>
      <c r="AD288" s="502">
        <v>350</v>
      </c>
      <c r="AE288" s="502">
        <v>406</v>
      </c>
    </row>
    <row r="289" spans="24:31" ht="15.75" thickBot="1" x14ac:dyDescent="0.3">
      <c r="X289" s="487"/>
      <c r="Z289" s="502">
        <v>2018</v>
      </c>
      <c r="AA289" s="502">
        <v>6</v>
      </c>
      <c r="AB289" s="502">
        <v>396</v>
      </c>
      <c r="AC289" s="502">
        <v>377</v>
      </c>
      <c r="AD289" s="502">
        <v>371</v>
      </c>
      <c r="AE289" s="502">
        <v>396</v>
      </c>
    </row>
    <row r="290" spans="24:31" ht="15.75" thickBot="1" x14ac:dyDescent="0.3">
      <c r="X290" s="487"/>
      <c r="Z290" s="502">
        <v>2018</v>
      </c>
      <c r="AA290" s="502">
        <v>7</v>
      </c>
      <c r="AB290" s="502">
        <v>433</v>
      </c>
      <c r="AC290" s="502">
        <v>370</v>
      </c>
      <c r="AD290" s="502">
        <v>368</v>
      </c>
      <c r="AE290" s="502">
        <v>408</v>
      </c>
    </row>
    <row r="291" spans="24:31" ht="15.75" thickBot="1" x14ac:dyDescent="0.3">
      <c r="X291" s="487"/>
      <c r="Z291" s="502">
        <v>2018</v>
      </c>
      <c r="AA291" s="502">
        <v>8</v>
      </c>
      <c r="AB291" s="502">
        <v>415</v>
      </c>
      <c r="AC291" s="502">
        <v>399</v>
      </c>
      <c r="AD291" s="502">
        <v>373</v>
      </c>
      <c r="AE291" s="502">
        <v>407</v>
      </c>
    </row>
    <row r="292" spans="24:31" ht="15.75" thickBot="1" x14ac:dyDescent="0.3">
      <c r="X292" s="487"/>
      <c r="Z292" s="502">
        <v>2018</v>
      </c>
      <c r="AA292" s="502">
        <v>9</v>
      </c>
      <c r="AB292" s="502">
        <v>391</v>
      </c>
      <c r="AC292" s="502">
        <v>394</v>
      </c>
      <c r="AD292" s="502">
        <v>363</v>
      </c>
      <c r="AE292" s="502">
        <v>412</v>
      </c>
    </row>
    <row r="293" spans="24:31" ht="15.75" thickBot="1" x14ac:dyDescent="0.3">
      <c r="X293" s="487"/>
      <c r="Z293" s="502">
        <v>2018</v>
      </c>
      <c r="AA293" s="502">
        <v>10</v>
      </c>
      <c r="AB293" s="502">
        <v>421</v>
      </c>
      <c r="AC293" s="502">
        <v>392</v>
      </c>
      <c r="AD293" s="502">
        <v>358</v>
      </c>
      <c r="AE293" s="502">
        <v>394</v>
      </c>
    </row>
    <row r="294" spans="24:31" ht="15.75" thickBot="1" x14ac:dyDescent="0.3">
      <c r="X294" s="487"/>
      <c r="Z294" s="502">
        <v>2018</v>
      </c>
      <c r="AA294" s="502">
        <v>11</v>
      </c>
      <c r="AB294" s="502">
        <v>410</v>
      </c>
      <c r="AC294" s="502">
        <v>382</v>
      </c>
      <c r="AD294" s="502">
        <v>349</v>
      </c>
      <c r="AE294" s="502">
        <v>393</v>
      </c>
    </row>
    <row r="295" spans="24:31" ht="15.75" thickBot="1" x14ac:dyDescent="0.3">
      <c r="X295" s="487"/>
      <c r="Z295" s="502">
        <v>2018</v>
      </c>
      <c r="AA295" s="502">
        <v>12</v>
      </c>
      <c r="AB295" s="502">
        <v>381</v>
      </c>
      <c r="AC295" s="502">
        <v>364</v>
      </c>
      <c r="AD295" s="502">
        <v>342</v>
      </c>
      <c r="AE295" s="502">
        <v>391</v>
      </c>
    </row>
    <row r="296" spans="24:31" ht="15.75" thickBot="1" x14ac:dyDescent="0.3">
      <c r="X296" s="487"/>
      <c r="Z296" s="502">
        <v>2019</v>
      </c>
      <c r="AA296" s="502">
        <v>1</v>
      </c>
      <c r="AB296" s="502">
        <v>382</v>
      </c>
      <c r="AC296" s="502">
        <v>365</v>
      </c>
      <c r="AD296" s="502">
        <v>344</v>
      </c>
      <c r="AE296" s="502">
        <v>379</v>
      </c>
    </row>
    <row r="297" spans="24:31" ht="15.75" thickBot="1" x14ac:dyDescent="0.3">
      <c r="X297" s="487"/>
      <c r="Z297" s="502">
        <v>2019</v>
      </c>
      <c r="AA297" s="502">
        <v>2</v>
      </c>
      <c r="AB297" s="502">
        <v>383</v>
      </c>
      <c r="AC297" s="502">
        <v>356</v>
      </c>
      <c r="AD297" s="502">
        <v>314</v>
      </c>
      <c r="AE297" s="502">
        <v>359</v>
      </c>
    </row>
    <row r="298" spans="24:31" ht="15.75" thickBot="1" x14ac:dyDescent="0.3">
      <c r="X298" s="487"/>
      <c r="Z298" s="502">
        <v>2019</v>
      </c>
      <c r="AA298" s="502">
        <v>3</v>
      </c>
      <c r="AB298" s="502">
        <v>345</v>
      </c>
      <c r="AC298" s="502">
        <v>345</v>
      </c>
      <c r="AD298" s="502">
        <v>313</v>
      </c>
      <c r="AE298" s="502">
        <v>363</v>
      </c>
    </row>
    <row r="299" spans="24:31" ht="15.75" thickBot="1" x14ac:dyDescent="0.3">
      <c r="X299" s="487"/>
      <c r="Z299" s="502">
        <v>2019</v>
      </c>
      <c r="AA299" s="502">
        <v>4</v>
      </c>
      <c r="AB299" s="502">
        <v>342</v>
      </c>
      <c r="AC299" s="502">
        <v>351</v>
      </c>
      <c r="AD299" s="502">
        <v>331</v>
      </c>
      <c r="AE299" s="502">
        <v>360</v>
      </c>
    </row>
    <row r="300" spans="24:31" ht="15.75" thickBot="1" x14ac:dyDescent="0.3">
      <c r="X300" s="487"/>
      <c r="Z300" s="502">
        <v>2019</v>
      </c>
      <c r="AA300" s="502">
        <v>5</v>
      </c>
      <c r="AB300" s="502">
        <v>369</v>
      </c>
      <c r="AC300" s="502">
        <v>346</v>
      </c>
      <c r="AD300" s="502">
        <v>326</v>
      </c>
      <c r="AE300" s="502">
        <v>358</v>
      </c>
    </row>
    <row r="301" spans="24:31" ht="15.75" thickBot="1" x14ac:dyDescent="0.3">
      <c r="X301" s="487"/>
      <c r="Z301" s="502">
        <v>2019</v>
      </c>
      <c r="AA301" s="502">
        <v>6</v>
      </c>
      <c r="AB301" s="502">
        <v>370</v>
      </c>
      <c r="AC301" s="502">
        <v>341</v>
      </c>
      <c r="AD301" s="502">
        <v>321</v>
      </c>
      <c r="AE301" s="502">
        <v>364</v>
      </c>
    </row>
    <row r="302" spans="24:31" ht="15.75" thickBot="1" x14ac:dyDescent="0.3">
      <c r="X302" s="487"/>
      <c r="Z302" s="502">
        <v>2019</v>
      </c>
      <c r="AA302" s="502">
        <v>7</v>
      </c>
      <c r="AB302" s="502">
        <v>332</v>
      </c>
      <c r="AC302" s="502">
        <v>337</v>
      </c>
      <c r="AD302" s="502">
        <v>316</v>
      </c>
      <c r="AE302" s="502">
        <v>374</v>
      </c>
    </row>
    <row r="303" spans="24:31" ht="15.75" thickBot="1" x14ac:dyDescent="0.3">
      <c r="X303" s="487"/>
      <c r="Z303" s="502">
        <v>2019</v>
      </c>
      <c r="AA303" s="502">
        <v>8</v>
      </c>
      <c r="AB303" s="502">
        <v>355</v>
      </c>
      <c r="AC303" s="502">
        <v>324</v>
      </c>
      <c r="AD303" s="502">
        <v>315</v>
      </c>
      <c r="AE303" s="502">
        <v>384</v>
      </c>
    </row>
    <row r="304" spans="24:31" ht="15.75" thickBot="1" x14ac:dyDescent="0.3">
      <c r="X304" s="487"/>
      <c r="Z304" s="502">
        <v>2019</v>
      </c>
      <c r="AA304" s="502">
        <v>9</v>
      </c>
      <c r="AB304" s="502">
        <v>328</v>
      </c>
      <c r="AC304" s="502">
        <v>335</v>
      </c>
      <c r="AD304" s="502">
        <v>319</v>
      </c>
      <c r="AE304" s="502">
        <v>375</v>
      </c>
    </row>
    <row r="305" spans="24:31" ht="15.75" thickBot="1" x14ac:dyDescent="0.3">
      <c r="X305" s="487"/>
      <c r="Z305" s="502">
        <v>2019</v>
      </c>
      <c r="AA305" s="502">
        <v>10</v>
      </c>
      <c r="AB305" s="502">
        <v>316</v>
      </c>
      <c r="AC305" s="502">
        <v>336</v>
      </c>
      <c r="AD305" s="502">
        <v>307</v>
      </c>
      <c r="AE305" s="502">
        <v>339</v>
      </c>
    </row>
    <row r="306" spans="24:31" ht="15.75" thickBot="1" x14ac:dyDescent="0.3">
      <c r="X306" s="487"/>
      <c r="Z306" s="502">
        <v>2019</v>
      </c>
      <c r="AA306" s="502">
        <v>11</v>
      </c>
      <c r="AB306" s="502">
        <v>313</v>
      </c>
      <c r="AC306" s="502">
        <v>320</v>
      </c>
      <c r="AD306" s="502">
        <v>270</v>
      </c>
      <c r="AE306" s="502">
        <v>336</v>
      </c>
    </row>
    <row r="307" spans="24:31" ht="15.75" thickBot="1" x14ac:dyDescent="0.3">
      <c r="X307" s="487"/>
      <c r="Z307" s="502">
        <v>2019</v>
      </c>
      <c r="AA307" s="502">
        <v>12</v>
      </c>
      <c r="AB307" s="502">
        <v>279</v>
      </c>
      <c r="AC307" s="502">
        <v>296</v>
      </c>
      <c r="AD307" s="502">
        <v>274</v>
      </c>
      <c r="AE307" s="502">
        <v>322</v>
      </c>
    </row>
    <row r="308" spans="24:31" ht="15.75" thickBot="1" x14ac:dyDescent="0.3">
      <c r="X308" s="487"/>
      <c r="Z308" s="502">
        <v>2020</v>
      </c>
      <c r="AA308" s="502">
        <v>1</v>
      </c>
      <c r="AB308" s="502">
        <v>291</v>
      </c>
      <c r="AC308" s="502">
        <v>304</v>
      </c>
      <c r="AD308" s="502">
        <v>305</v>
      </c>
      <c r="AE308" s="502">
        <v>330</v>
      </c>
    </row>
    <row r="309" spans="24:31" ht="15.75" thickBot="1" x14ac:dyDescent="0.3">
      <c r="X309" s="487"/>
      <c r="Z309" s="502">
        <v>2020</v>
      </c>
      <c r="AA309" s="502">
        <v>2</v>
      </c>
      <c r="AB309" s="502">
        <v>297</v>
      </c>
      <c r="AC309" s="502">
        <v>308</v>
      </c>
      <c r="AD309" s="502">
        <v>306</v>
      </c>
      <c r="AE309" s="502" t="s">
        <v>1009</v>
      </c>
    </row>
    <row r="310" spans="24:31" x14ac:dyDescent="0.25">
      <c r="X310" s="487"/>
    </row>
    <row r="311" spans="24:31" x14ac:dyDescent="0.25">
      <c r="X311" s="487"/>
    </row>
  </sheetData>
  <mergeCells count="6">
    <mergeCell ref="AB246:AD246"/>
    <mergeCell ref="B67:B69"/>
    <mergeCell ref="B61:B63"/>
    <mergeCell ref="B64:B66"/>
    <mergeCell ref="D59:F59"/>
    <mergeCell ref="G59:I59"/>
  </mergeCells>
  <conditionalFormatting sqref="B74:B76">
    <cfRule type="duplicateValues" dxfId="2" priority="3"/>
  </conditionalFormatting>
  <conditionalFormatting sqref="B167">
    <cfRule type="duplicateValues" dxfId="1" priority="1"/>
  </conditionalFormatting>
  <conditionalFormatting sqref="D80 B82">
    <cfRule type="duplicateValues" dxfId="0" priority="2"/>
  </conditionalFormatting>
  <hyperlinks>
    <hyperlink ref="AA79" r:id="rId1" xr:uid="{7765F28B-229F-453A-B9FC-098511D51EFD}"/>
    <hyperlink ref="AA119" r:id="rId2" display="https://doi.org/10.1016/j.xcrp.2020.100174" xr:uid="{E2B46BC5-62A9-4E64-ABB0-BDAFABD8EDDF}"/>
    <hyperlink ref="AB228" r:id="rId3" xr:uid="{1920BD79-45EE-4F8D-BED5-69123D5AD9E9}"/>
    <hyperlink ref="AD233" r:id="rId4" xr:uid="{30763340-A4CE-4E01-AE01-39BE47A1F632}"/>
    <hyperlink ref="AK129" r:id="rId5" xr:uid="{4A810EFD-A5E6-4E12-8E20-9C6C578AE3C0}"/>
    <hyperlink ref="Z243" r:id="rId6" xr:uid="{C4022D11-B214-44E6-B53C-C40BF718A708}"/>
  </hyperlinks>
  <pageMargins left="0.7" right="0.7" top="0.75" bottom="0.75" header="0.3" footer="0.3"/>
  <pageSetup orientation="portrait" horizontalDpi="1200" verticalDpi="1200" r:id="rId7"/>
  <drawing r:id="rId8"/>
  <legacy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1193</v>
      </c>
    </row>
    <row r="3" spans="1:25" x14ac:dyDescent="0.25">
      <c r="B3" t="s">
        <v>826</v>
      </c>
      <c r="I3" t="s">
        <v>827</v>
      </c>
      <c r="J3">
        <v>3.5999999999999998E-6</v>
      </c>
      <c r="K3" t="s">
        <v>828</v>
      </c>
    </row>
    <row r="4" spans="1:25" x14ac:dyDescent="0.25">
      <c r="B4" t="s">
        <v>829</v>
      </c>
      <c r="I4" t="s">
        <v>774</v>
      </c>
      <c r="J4">
        <v>120</v>
      </c>
      <c r="K4" t="s">
        <v>391</v>
      </c>
    </row>
    <row r="5" spans="1:25" x14ac:dyDescent="0.25">
      <c r="B5" s="444">
        <v>1</v>
      </c>
      <c r="C5" s="436" t="s">
        <v>830</v>
      </c>
      <c r="I5" t="s">
        <v>831</v>
      </c>
      <c r="J5">
        <v>0.125</v>
      </c>
    </row>
    <row r="6" spans="1:25" ht="15.75" thickBot="1" x14ac:dyDescent="0.3">
      <c r="B6">
        <v>11.914999999999999</v>
      </c>
      <c r="C6" t="s">
        <v>832</v>
      </c>
    </row>
    <row r="7" spans="1:25" x14ac:dyDescent="0.25">
      <c r="A7" t="s">
        <v>905</v>
      </c>
      <c r="B7">
        <v>1.1499999999999999</v>
      </c>
      <c r="C7" s="118" t="s">
        <v>754</v>
      </c>
      <c r="K7" s="374"/>
      <c r="L7" s="375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6"/>
    </row>
    <row r="8" spans="1:25" x14ac:dyDescent="0.25">
      <c r="B8" s="268">
        <v>0.85343228200371057</v>
      </c>
      <c r="C8" t="s">
        <v>906</v>
      </c>
      <c r="K8" s="377"/>
      <c r="Y8" s="378"/>
    </row>
    <row r="9" spans="1:25" x14ac:dyDescent="0.25">
      <c r="A9" s="11" t="s">
        <v>904</v>
      </c>
      <c r="B9" s="8"/>
      <c r="C9" s="8"/>
      <c r="D9" s="8"/>
      <c r="E9" s="8"/>
      <c r="F9" s="8"/>
      <c r="G9" s="8"/>
      <c r="H9" s="8"/>
      <c r="I9" s="8"/>
      <c r="K9" s="377"/>
      <c r="Y9" s="378"/>
    </row>
    <row r="10" spans="1:25" x14ac:dyDescent="0.25">
      <c r="A10" s="445" t="s">
        <v>833</v>
      </c>
      <c r="B10" t="s">
        <v>903</v>
      </c>
      <c r="C10" s="268">
        <v>1</v>
      </c>
      <c r="D10" t="s">
        <v>834</v>
      </c>
      <c r="K10" s="377"/>
      <c r="Y10" s="378"/>
    </row>
    <row r="11" spans="1:25" x14ac:dyDescent="0.25">
      <c r="B11" t="s">
        <v>835</v>
      </c>
      <c r="C11" s="348">
        <v>2.7107999999999999</v>
      </c>
      <c r="D11" t="s">
        <v>139</v>
      </c>
      <c r="K11" s="377"/>
      <c r="Y11" s="378"/>
    </row>
    <row r="12" spans="1:25" x14ac:dyDescent="0.25">
      <c r="B12" s="462" t="s">
        <v>836</v>
      </c>
      <c r="C12" s="463">
        <v>0</v>
      </c>
      <c r="D12" s="462" t="s">
        <v>834</v>
      </c>
      <c r="E12" s="462"/>
      <c r="K12" s="377"/>
      <c r="Y12" s="378"/>
    </row>
    <row r="13" spans="1:25" x14ac:dyDescent="0.25">
      <c r="B13" s="462" t="s">
        <v>837</v>
      </c>
      <c r="C13" s="462">
        <v>1</v>
      </c>
      <c r="D13" s="462" t="s">
        <v>834</v>
      </c>
      <c r="E13" s="462"/>
      <c r="F13" s="462"/>
      <c r="K13" s="377"/>
      <c r="Y13" s="378"/>
    </row>
    <row r="14" spans="1:25" x14ac:dyDescent="0.25">
      <c r="K14" s="377"/>
      <c r="Y14" s="378"/>
    </row>
    <row r="15" spans="1:25" x14ac:dyDescent="0.25">
      <c r="B15" t="s">
        <v>838</v>
      </c>
      <c r="C15" s="268">
        <v>3.7107999999999999</v>
      </c>
      <c r="D15" t="s">
        <v>839</v>
      </c>
      <c r="K15" s="377"/>
      <c r="Y15" s="378"/>
    </row>
    <row r="16" spans="1:25" x14ac:dyDescent="0.25">
      <c r="B16" t="s">
        <v>840</v>
      </c>
      <c r="C16" s="348">
        <v>0.26948366928964107</v>
      </c>
      <c r="D16" t="s">
        <v>772</v>
      </c>
      <c r="K16" s="377"/>
      <c r="S16" s="446"/>
      <c r="Y16" s="378"/>
    </row>
    <row r="17" spans="1:25" x14ac:dyDescent="0.25">
      <c r="B17" t="s">
        <v>840</v>
      </c>
      <c r="C17" s="348">
        <v>0.73051633071035893</v>
      </c>
      <c r="D17" t="s">
        <v>38</v>
      </c>
      <c r="K17" s="377"/>
      <c r="O17" s="447"/>
      <c r="U17" s="601"/>
      <c r="V17" s="601"/>
      <c r="Y17" s="378"/>
    </row>
    <row r="18" spans="1:25" x14ac:dyDescent="0.25">
      <c r="K18" s="377"/>
      <c r="S18" s="447"/>
      <c r="Y18" s="378"/>
    </row>
    <row r="19" spans="1:25" x14ac:dyDescent="0.25">
      <c r="B19" s="462" t="s">
        <v>841</v>
      </c>
      <c r="C19" s="462"/>
      <c r="D19" s="462" t="s">
        <v>842</v>
      </c>
      <c r="E19" s="462"/>
      <c r="K19" s="377"/>
      <c r="Y19" s="378"/>
    </row>
    <row r="20" spans="1:25" x14ac:dyDescent="0.25">
      <c r="K20" s="377"/>
      <c r="Y20" s="378"/>
    </row>
    <row r="21" spans="1:25" x14ac:dyDescent="0.25">
      <c r="A21" s="445" t="s">
        <v>843</v>
      </c>
      <c r="B21" s="445" t="s">
        <v>844</v>
      </c>
      <c r="C21" s="445">
        <v>184</v>
      </c>
      <c r="D21" s="445" t="s">
        <v>796</v>
      </c>
      <c r="K21" s="377"/>
      <c r="Y21" s="378"/>
    </row>
    <row r="22" spans="1:25" x14ac:dyDescent="0.25">
      <c r="C22">
        <v>211.6</v>
      </c>
      <c r="D22" t="s">
        <v>627</v>
      </c>
      <c r="K22" s="377"/>
      <c r="Y22" s="378"/>
    </row>
    <row r="23" spans="1:25" x14ac:dyDescent="0.25">
      <c r="B23" t="s">
        <v>846</v>
      </c>
      <c r="C23" s="423">
        <v>2521.2139999999999</v>
      </c>
      <c r="D23" t="s">
        <v>845</v>
      </c>
      <c r="K23" s="377"/>
      <c r="Y23" s="378"/>
    </row>
    <row r="24" spans="1:25" x14ac:dyDescent="0.25">
      <c r="B24" s="462"/>
      <c r="C24" s="465">
        <v>2521.2139999999999</v>
      </c>
      <c r="D24" s="462" t="s">
        <v>847</v>
      </c>
      <c r="E24" s="462"/>
      <c r="K24" s="448"/>
      <c r="Y24" s="378"/>
    </row>
    <row r="25" spans="1:25" x14ac:dyDescent="0.25">
      <c r="A25" t="s">
        <v>219</v>
      </c>
      <c r="B25" t="s">
        <v>645</v>
      </c>
      <c r="C25" s="423">
        <v>725.14525500322793</v>
      </c>
      <c r="D25" t="s">
        <v>848</v>
      </c>
      <c r="H25" s="285">
        <v>0.5</v>
      </c>
      <c r="I25" t="s">
        <v>921</v>
      </c>
      <c r="K25" s="377"/>
      <c r="Y25" s="378"/>
    </row>
    <row r="26" spans="1:25" x14ac:dyDescent="0.25">
      <c r="B26" t="s">
        <v>849</v>
      </c>
      <c r="C26" s="423">
        <v>618.86236976156738</v>
      </c>
      <c r="D26" t="s">
        <v>850</v>
      </c>
      <c r="K26" s="377"/>
      <c r="Y26" s="378"/>
    </row>
    <row r="27" spans="1:25" ht="15.75" thickBot="1" x14ac:dyDescent="0.3">
      <c r="K27" s="377"/>
      <c r="Y27" s="378"/>
    </row>
    <row r="28" spans="1:25" x14ac:dyDescent="0.25"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</row>
    <row r="29" spans="1:25" x14ac:dyDescent="0.25">
      <c r="A29" s="11" t="s">
        <v>922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06">
        <v>2030</v>
      </c>
      <c r="G30" s="406">
        <v>2050</v>
      </c>
    </row>
    <row r="31" spans="1:25" x14ac:dyDescent="0.25">
      <c r="F31" s="449"/>
      <c r="G31" s="449"/>
    </row>
    <row r="32" spans="1:25" x14ac:dyDescent="0.25">
      <c r="A32" s="450" t="s">
        <v>856</v>
      </c>
      <c r="B32" t="s">
        <v>835</v>
      </c>
      <c r="C32" s="287">
        <v>10.928571428571427</v>
      </c>
      <c r="D32" t="s">
        <v>139</v>
      </c>
      <c r="F32" s="449"/>
      <c r="G32" s="449"/>
      <c r="H32" t="s">
        <v>852</v>
      </c>
      <c r="I32" t="s">
        <v>853</v>
      </c>
    </row>
    <row r="33" spans="1:9" x14ac:dyDescent="0.25">
      <c r="B33" t="s">
        <v>854</v>
      </c>
      <c r="C33" s="287">
        <v>6.12</v>
      </c>
      <c r="D33" t="s">
        <v>139</v>
      </c>
      <c r="F33" s="449"/>
      <c r="G33" s="449"/>
      <c r="H33" s="441">
        <v>51000000</v>
      </c>
      <c r="I33" s="303">
        <v>5.0999999999999997E-2</v>
      </c>
    </row>
    <row r="34" spans="1:9" x14ac:dyDescent="0.25">
      <c r="B34" t="s">
        <v>855</v>
      </c>
      <c r="C34" s="303">
        <v>0.40799999999999997</v>
      </c>
      <c r="D34" t="s">
        <v>834</v>
      </c>
      <c r="F34" s="449"/>
      <c r="G34" s="449"/>
    </row>
    <row r="35" spans="1:9" x14ac:dyDescent="0.25">
      <c r="I35" s="348"/>
    </row>
    <row r="36" spans="1:9" x14ac:dyDescent="0.25">
      <c r="A36" s="450" t="s">
        <v>856</v>
      </c>
      <c r="B36" s="450" t="s">
        <v>857</v>
      </c>
      <c r="C36" s="450">
        <v>0.56000000000000005</v>
      </c>
      <c r="D36" s="450"/>
      <c r="E36" s="450"/>
      <c r="F36" s="450">
        <v>0.63</v>
      </c>
      <c r="G36" s="450">
        <v>0.67</v>
      </c>
    </row>
    <row r="37" spans="1:9" x14ac:dyDescent="0.25">
      <c r="B37" t="s">
        <v>858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841</v>
      </c>
      <c r="C38" s="287">
        <v>6.12</v>
      </c>
      <c r="D38" t="s">
        <v>859</v>
      </c>
      <c r="F38" s="451">
        <v>6.8849999999999998</v>
      </c>
      <c r="G38" s="451">
        <v>7.3221428571428575</v>
      </c>
      <c r="I38" t="s">
        <v>860</v>
      </c>
    </row>
    <row r="39" spans="1:9" x14ac:dyDescent="0.25">
      <c r="B39" t="s">
        <v>841</v>
      </c>
      <c r="C39" s="303">
        <v>0.40799999999999997</v>
      </c>
      <c r="D39" t="s">
        <v>861</v>
      </c>
      <c r="F39" s="451">
        <v>0.45899999999999996</v>
      </c>
      <c r="G39" s="451">
        <v>0.4881428571428571</v>
      </c>
      <c r="I39" t="s">
        <v>860</v>
      </c>
    </row>
    <row r="40" spans="1:9" x14ac:dyDescent="0.25">
      <c r="B40" t="s">
        <v>841</v>
      </c>
      <c r="C40" s="287">
        <v>10.928571428571427</v>
      </c>
      <c r="D40" t="s">
        <v>862</v>
      </c>
      <c r="F40" s="449"/>
      <c r="G40" s="449"/>
      <c r="I40" t="s">
        <v>860</v>
      </c>
    </row>
    <row r="42" spans="1:9" x14ac:dyDescent="0.25">
      <c r="A42" t="s">
        <v>863</v>
      </c>
      <c r="B42" t="s">
        <v>864</v>
      </c>
      <c r="C42" s="285">
        <v>0.9</v>
      </c>
    </row>
    <row r="43" spans="1:9" x14ac:dyDescent="0.25">
      <c r="A43" s="450" t="s">
        <v>856</v>
      </c>
      <c r="B43" s="450" t="s">
        <v>865</v>
      </c>
      <c r="C43" s="450">
        <v>1800</v>
      </c>
      <c r="D43" s="450" t="s">
        <v>727</v>
      </c>
      <c r="E43" s="450"/>
      <c r="F43" s="450">
        <v>1500</v>
      </c>
      <c r="G43" s="450">
        <v>900</v>
      </c>
    </row>
    <row r="44" spans="1:9" x14ac:dyDescent="0.25">
      <c r="A44" s="16" t="s">
        <v>866</v>
      </c>
      <c r="B44" t="s">
        <v>865</v>
      </c>
      <c r="C44" s="423">
        <v>21447</v>
      </c>
      <c r="D44" t="s">
        <v>867</v>
      </c>
      <c r="F44" s="423">
        <v>17872.5</v>
      </c>
      <c r="G44" s="423">
        <v>10723.5</v>
      </c>
    </row>
    <row r="45" spans="1:9" x14ac:dyDescent="0.25">
      <c r="B45" t="s">
        <v>846</v>
      </c>
      <c r="C45" s="423">
        <v>21447</v>
      </c>
      <c r="D45" t="s">
        <v>868</v>
      </c>
      <c r="F45" s="423">
        <v>17872.5</v>
      </c>
      <c r="G45" s="42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23"/>
      <c r="G47" s="423"/>
    </row>
    <row r="48" spans="1:9" x14ac:dyDescent="0.25">
      <c r="A48" s="450" t="s">
        <v>856</v>
      </c>
      <c r="B48" s="450" t="s">
        <v>869</v>
      </c>
      <c r="C48" s="450">
        <v>60000</v>
      </c>
      <c r="D48" s="450" t="s">
        <v>870</v>
      </c>
      <c r="F48" s="450">
        <v>75000</v>
      </c>
      <c r="G48" s="450">
        <v>12500</v>
      </c>
    </row>
    <row r="49" spans="1:9" x14ac:dyDescent="0.25">
      <c r="B49" t="s">
        <v>871</v>
      </c>
      <c r="C49">
        <v>8</v>
      </c>
      <c r="D49" t="s">
        <v>697</v>
      </c>
      <c r="F49">
        <v>10</v>
      </c>
      <c r="G49">
        <v>2</v>
      </c>
    </row>
    <row r="51" spans="1:9" x14ac:dyDescent="0.25">
      <c r="A51" s="18" t="s">
        <v>873</v>
      </c>
    </row>
    <row r="52" spans="1:9" x14ac:dyDescent="0.25">
      <c r="C52" s="287"/>
      <c r="F52" s="406">
        <v>2030</v>
      </c>
      <c r="G52" s="406">
        <v>2050</v>
      </c>
    </row>
    <row r="53" spans="1:9" x14ac:dyDescent="0.25">
      <c r="F53" s="449"/>
      <c r="G53" s="449"/>
    </row>
    <row r="54" spans="1:9" x14ac:dyDescent="0.25">
      <c r="A54" s="450" t="s">
        <v>851</v>
      </c>
      <c r="B54" t="s">
        <v>835</v>
      </c>
      <c r="C54" s="287">
        <v>0</v>
      </c>
      <c r="D54" t="s">
        <v>139</v>
      </c>
      <c r="F54" s="449"/>
      <c r="G54" s="449"/>
      <c r="H54" t="s">
        <v>852</v>
      </c>
      <c r="I54" t="s">
        <v>853</v>
      </c>
    </row>
    <row r="55" spans="1:9" x14ac:dyDescent="0.25">
      <c r="B55" t="s">
        <v>854</v>
      </c>
      <c r="C55" s="287">
        <v>0</v>
      </c>
      <c r="D55" t="s">
        <v>139</v>
      </c>
      <c r="F55" s="449"/>
      <c r="G55" s="449"/>
      <c r="H55" s="441" t="e">
        <v>#DIV/0!</v>
      </c>
      <c r="I55" s="303" t="e">
        <v>#DIV/0!</v>
      </c>
    </row>
    <row r="56" spans="1:9" x14ac:dyDescent="0.25">
      <c r="B56" t="s">
        <v>855</v>
      </c>
      <c r="C56" s="303" t="e">
        <v>#DIV/0!</v>
      </c>
      <c r="D56" t="s">
        <v>834</v>
      </c>
      <c r="F56" s="449"/>
      <c r="G56" s="449"/>
    </row>
    <row r="57" spans="1:9" x14ac:dyDescent="0.25">
      <c r="I57" s="348"/>
    </row>
    <row r="58" spans="1:9" x14ac:dyDescent="0.25">
      <c r="A58" s="450" t="s">
        <v>856</v>
      </c>
      <c r="B58" s="450" t="s">
        <v>857</v>
      </c>
      <c r="C58" s="454">
        <v>0.63</v>
      </c>
      <c r="D58" s="450"/>
      <c r="E58" s="450"/>
      <c r="F58" s="454">
        <v>0.65</v>
      </c>
      <c r="G58" s="454">
        <v>0.7</v>
      </c>
    </row>
    <row r="59" spans="1:9" x14ac:dyDescent="0.25">
      <c r="B59" s="455" t="s">
        <v>858</v>
      </c>
      <c r="C59" s="456">
        <v>1.5873015873015872</v>
      </c>
      <c r="D59" s="456"/>
      <c r="E59" s="456"/>
      <c r="F59" s="456">
        <v>1.5384615384615383</v>
      </c>
      <c r="G59" s="456">
        <v>1.4285714285714286</v>
      </c>
    </row>
    <row r="60" spans="1:9" x14ac:dyDescent="0.25">
      <c r="B60" t="s">
        <v>841</v>
      </c>
      <c r="C60" s="287">
        <v>0</v>
      </c>
      <c r="D60" t="s">
        <v>859</v>
      </c>
      <c r="F60" s="451">
        <v>0</v>
      </c>
      <c r="G60" s="451">
        <v>0</v>
      </c>
      <c r="I60" t="s">
        <v>860</v>
      </c>
    </row>
    <row r="61" spans="1:9" x14ac:dyDescent="0.25">
      <c r="B61" t="s">
        <v>841</v>
      </c>
      <c r="C61" s="303" t="e">
        <v>#DIV/0!</v>
      </c>
      <c r="D61" t="s">
        <v>861</v>
      </c>
      <c r="F61" s="451" t="e">
        <v>#DIV/0!</v>
      </c>
      <c r="G61" s="451" t="e">
        <v>#DIV/0!</v>
      </c>
      <c r="I61" t="s">
        <v>860</v>
      </c>
    </row>
    <row r="62" spans="1:9" x14ac:dyDescent="0.25">
      <c r="B62" t="s">
        <v>841</v>
      </c>
      <c r="C62" s="287">
        <v>0</v>
      </c>
      <c r="D62" t="s">
        <v>862</v>
      </c>
      <c r="F62" s="449"/>
      <c r="G62" s="449"/>
      <c r="I62" t="s">
        <v>860</v>
      </c>
    </row>
    <row r="64" spans="1:9" x14ac:dyDescent="0.25">
      <c r="A64" s="455" t="s">
        <v>863</v>
      </c>
      <c r="B64" s="455" t="s">
        <v>864</v>
      </c>
      <c r="C64" s="457">
        <v>0.9</v>
      </c>
      <c r="I64" t="s">
        <v>365</v>
      </c>
    </row>
    <row r="65" spans="1:10" x14ac:dyDescent="0.25">
      <c r="A65" s="450" t="s">
        <v>856</v>
      </c>
      <c r="B65" s="450" t="s">
        <v>865</v>
      </c>
      <c r="C65" s="450">
        <v>1400</v>
      </c>
      <c r="D65" s="450" t="s">
        <v>727</v>
      </c>
      <c r="E65" s="450"/>
      <c r="F65" s="450">
        <v>850</v>
      </c>
      <c r="G65" s="450">
        <v>700</v>
      </c>
      <c r="H65" t="s">
        <v>874</v>
      </c>
    </row>
    <row r="66" spans="1:10" x14ac:dyDescent="0.25">
      <c r="A66" s="16" t="s">
        <v>866</v>
      </c>
      <c r="B66" t="s">
        <v>865</v>
      </c>
      <c r="C66" s="423">
        <v>16681</v>
      </c>
      <c r="D66" t="s">
        <v>867</v>
      </c>
      <c r="F66" s="423">
        <v>10127.75</v>
      </c>
      <c r="G66" s="423">
        <v>8340.5</v>
      </c>
    </row>
    <row r="67" spans="1:10" x14ac:dyDescent="0.25">
      <c r="B67" s="455" t="s">
        <v>846</v>
      </c>
      <c r="C67" s="458">
        <v>16681</v>
      </c>
      <c r="D67" s="455" t="s">
        <v>868</v>
      </c>
      <c r="E67" s="459">
        <v>16681</v>
      </c>
      <c r="F67" s="458">
        <v>10127.75</v>
      </c>
      <c r="G67" s="458">
        <v>8340.5</v>
      </c>
    </row>
    <row r="69" spans="1:10" x14ac:dyDescent="0.25">
      <c r="B69" t="s">
        <v>875</v>
      </c>
      <c r="C69" s="423"/>
      <c r="E69" s="285">
        <v>7.0000000000000007E-2</v>
      </c>
      <c r="F69" s="285">
        <v>0.05</v>
      </c>
      <c r="G69" s="285">
        <v>0.05</v>
      </c>
      <c r="H69" t="s">
        <v>876</v>
      </c>
    </row>
    <row r="70" spans="1:10" x14ac:dyDescent="0.25">
      <c r="B70" s="455" t="s">
        <v>877</v>
      </c>
      <c r="C70" s="458"/>
      <c r="D70" s="455"/>
      <c r="E70" s="460">
        <v>1167.67</v>
      </c>
      <c r="F70" s="460">
        <v>506.38750000000005</v>
      </c>
      <c r="G70" s="460">
        <v>417.02500000000003</v>
      </c>
    </row>
    <row r="71" spans="1:10" x14ac:dyDescent="0.25">
      <c r="B71" s="450" t="s">
        <v>865</v>
      </c>
      <c r="C71" s="450">
        <v>500</v>
      </c>
      <c r="D71" s="450" t="s">
        <v>727</v>
      </c>
      <c r="E71" s="450"/>
      <c r="F71" s="450">
        <v>400</v>
      </c>
      <c r="G71" s="450">
        <v>200</v>
      </c>
      <c r="H71" s="16" t="s">
        <v>878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50" t="s">
        <v>856</v>
      </c>
      <c r="B73" s="450" t="s">
        <v>869</v>
      </c>
      <c r="C73" s="450">
        <v>75000</v>
      </c>
      <c r="D73" s="450" t="s">
        <v>870</v>
      </c>
      <c r="F73" s="450">
        <v>95000</v>
      </c>
      <c r="G73" s="450">
        <v>125000</v>
      </c>
      <c r="H73" t="s">
        <v>879</v>
      </c>
    </row>
    <row r="74" spans="1:10" x14ac:dyDescent="0.25">
      <c r="A74" s="450"/>
      <c r="B74" s="450"/>
      <c r="C74" s="450"/>
      <c r="D74" s="450" t="s">
        <v>870</v>
      </c>
      <c r="E74">
        <v>60000</v>
      </c>
      <c r="F74" s="450">
        <v>90000</v>
      </c>
      <c r="G74" s="450">
        <v>100000</v>
      </c>
      <c r="H74" t="s">
        <v>878</v>
      </c>
    </row>
    <row r="75" spans="1:10" x14ac:dyDescent="0.25">
      <c r="B75" s="455" t="s">
        <v>871</v>
      </c>
      <c r="C75" s="455">
        <v>10</v>
      </c>
      <c r="D75" s="455" t="s">
        <v>697</v>
      </c>
      <c r="E75" s="455"/>
      <c r="F75" s="455">
        <v>13</v>
      </c>
      <c r="G75" s="455">
        <v>16</v>
      </c>
    </row>
    <row r="77" spans="1:10" x14ac:dyDescent="0.25">
      <c r="A77" s="18" t="s">
        <v>880</v>
      </c>
    </row>
    <row r="78" spans="1:10" x14ac:dyDescent="0.25">
      <c r="C78" s="287"/>
      <c r="F78" s="406">
        <v>2030</v>
      </c>
      <c r="G78" s="406">
        <v>2050</v>
      </c>
    </row>
    <row r="79" spans="1:10" x14ac:dyDescent="0.25">
      <c r="F79" s="449"/>
      <c r="G79" s="449"/>
    </row>
    <row r="80" spans="1:10" x14ac:dyDescent="0.25">
      <c r="A80" s="450" t="s">
        <v>851</v>
      </c>
      <c r="B80" t="s">
        <v>835</v>
      </c>
      <c r="C80" s="287">
        <v>0</v>
      </c>
      <c r="D80" t="s">
        <v>139</v>
      </c>
      <c r="F80" s="449"/>
      <c r="G80" s="449"/>
      <c r="H80" t="s">
        <v>852</v>
      </c>
      <c r="I80" t="s">
        <v>853</v>
      </c>
      <c r="J80" t="s">
        <v>860</v>
      </c>
    </row>
    <row r="81" spans="1:10" x14ac:dyDescent="0.25">
      <c r="B81" t="s">
        <v>854</v>
      </c>
      <c r="C81" s="287">
        <v>0</v>
      </c>
      <c r="D81" t="s">
        <v>139</v>
      </c>
      <c r="F81" s="449"/>
      <c r="G81" s="449"/>
      <c r="H81" s="441" t="e">
        <v>#DIV/0!</v>
      </c>
      <c r="I81" s="303" t="e">
        <v>#DIV/0!</v>
      </c>
      <c r="J81" t="s">
        <v>860</v>
      </c>
    </row>
    <row r="82" spans="1:10" x14ac:dyDescent="0.25">
      <c r="B82" t="s">
        <v>855</v>
      </c>
      <c r="C82" s="303" t="e">
        <v>#DIV/0!</v>
      </c>
      <c r="D82" t="s">
        <v>834</v>
      </c>
      <c r="F82" s="449"/>
      <c r="G82" s="449"/>
      <c r="J82" t="s">
        <v>860</v>
      </c>
    </row>
    <row r="83" spans="1:10" x14ac:dyDescent="0.25">
      <c r="I83" s="348"/>
    </row>
    <row r="84" spans="1:10" x14ac:dyDescent="0.25">
      <c r="A84" s="450" t="s">
        <v>856</v>
      </c>
      <c r="B84" s="450" t="s">
        <v>857</v>
      </c>
      <c r="C84" s="454">
        <v>0.7</v>
      </c>
      <c r="D84" s="450"/>
      <c r="E84" s="450"/>
      <c r="F84" s="454">
        <v>0.71</v>
      </c>
      <c r="G84" s="454">
        <v>0.8</v>
      </c>
      <c r="H84" t="s">
        <v>874</v>
      </c>
    </row>
    <row r="85" spans="1:10" x14ac:dyDescent="0.25">
      <c r="B85" s="455" t="s">
        <v>858</v>
      </c>
      <c r="C85" s="456">
        <v>1.4285714285714286</v>
      </c>
      <c r="D85" s="456"/>
      <c r="E85" s="456"/>
      <c r="F85" s="456">
        <v>1.4084507042253522</v>
      </c>
      <c r="G85" s="456">
        <v>1.25</v>
      </c>
    </row>
    <row r="86" spans="1:10" x14ac:dyDescent="0.25">
      <c r="B86" t="s">
        <v>841</v>
      </c>
      <c r="C86" s="287">
        <v>0</v>
      </c>
      <c r="D86" t="s">
        <v>859</v>
      </c>
      <c r="F86" s="451">
        <v>0</v>
      </c>
      <c r="G86" s="451">
        <v>0</v>
      </c>
    </row>
    <row r="87" spans="1:10" x14ac:dyDescent="0.25">
      <c r="B87" t="s">
        <v>841</v>
      </c>
      <c r="C87" s="303" t="e">
        <v>#DIV/0!</v>
      </c>
      <c r="D87" t="s">
        <v>861</v>
      </c>
      <c r="F87" s="451" t="e">
        <v>#DIV/0!</v>
      </c>
      <c r="G87" s="451" t="e">
        <v>#DIV/0!</v>
      </c>
    </row>
    <row r="88" spans="1:10" x14ac:dyDescent="0.25">
      <c r="B88" t="s">
        <v>841</v>
      </c>
      <c r="C88" s="287">
        <v>0</v>
      </c>
      <c r="D88" t="s">
        <v>862</v>
      </c>
      <c r="F88" s="449"/>
      <c r="G88" s="449"/>
    </row>
    <row r="90" spans="1:10" x14ac:dyDescent="0.25">
      <c r="A90" t="s">
        <v>863</v>
      </c>
      <c r="B90" t="s">
        <v>864</v>
      </c>
      <c r="C90" s="285"/>
    </row>
    <row r="91" spans="1:10" x14ac:dyDescent="0.25">
      <c r="A91" s="450" t="s">
        <v>856</v>
      </c>
      <c r="B91" s="450" t="s">
        <v>865</v>
      </c>
      <c r="C91" s="450">
        <v>500</v>
      </c>
      <c r="D91" s="450" t="s">
        <v>727</v>
      </c>
      <c r="E91" s="450"/>
      <c r="F91" s="450">
        <v>400</v>
      </c>
      <c r="G91" s="450">
        <v>200</v>
      </c>
    </row>
    <row r="92" spans="1:10" x14ac:dyDescent="0.25">
      <c r="A92" s="16" t="s">
        <v>866</v>
      </c>
      <c r="B92" t="s">
        <v>865</v>
      </c>
      <c r="C92" s="423">
        <v>5957.5</v>
      </c>
      <c r="D92" t="s">
        <v>867</v>
      </c>
      <c r="F92" s="423">
        <v>4766</v>
      </c>
      <c r="G92" s="423">
        <v>2383</v>
      </c>
      <c r="H92" t="s">
        <v>881</v>
      </c>
    </row>
    <row r="93" spans="1:10" x14ac:dyDescent="0.25">
      <c r="B93" s="455" t="s">
        <v>846</v>
      </c>
      <c r="C93" s="458">
        <v>5957.5</v>
      </c>
      <c r="D93" s="455" t="s">
        <v>868</v>
      </c>
      <c r="E93" s="459">
        <v>5957.5</v>
      </c>
      <c r="F93" s="458">
        <v>4766</v>
      </c>
      <c r="G93" s="458">
        <v>2383</v>
      </c>
    </row>
    <row r="94" spans="1:10" x14ac:dyDescent="0.25">
      <c r="C94" s="423"/>
      <c r="F94" s="423"/>
      <c r="G94" s="423"/>
    </row>
    <row r="95" spans="1:10" x14ac:dyDescent="0.25">
      <c r="B95" t="s">
        <v>875</v>
      </c>
      <c r="C95" s="423"/>
      <c r="E95" s="285">
        <v>7.0000000000000007E-2</v>
      </c>
      <c r="F95" s="285">
        <v>0.05</v>
      </c>
      <c r="G95" s="285">
        <v>0.05</v>
      </c>
      <c r="H95" t="s">
        <v>876</v>
      </c>
    </row>
    <row r="96" spans="1:10" x14ac:dyDescent="0.25">
      <c r="B96" s="455" t="s">
        <v>877</v>
      </c>
      <c r="C96" s="458"/>
      <c r="D96" s="455"/>
      <c r="E96" s="460">
        <v>417.02500000000003</v>
      </c>
      <c r="F96" s="460">
        <v>238.3</v>
      </c>
      <c r="G96" s="46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23"/>
      <c r="G98" s="423"/>
    </row>
    <row r="99" spans="1:15" x14ac:dyDescent="0.25">
      <c r="A99" s="450" t="s">
        <v>856</v>
      </c>
      <c r="B99" s="450" t="s">
        <v>869</v>
      </c>
      <c r="C99" s="450">
        <v>75000</v>
      </c>
      <c r="D99" s="450" t="s">
        <v>870</v>
      </c>
      <c r="F99" s="450">
        <v>95000</v>
      </c>
      <c r="G99" s="450">
        <v>125000</v>
      </c>
      <c r="H99" t="s">
        <v>882</v>
      </c>
    </row>
    <row r="100" spans="1:15" x14ac:dyDescent="0.25">
      <c r="E100">
        <v>90000</v>
      </c>
      <c r="F100">
        <v>100000</v>
      </c>
      <c r="G100">
        <v>150000</v>
      </c>
      <c r="H100" t="s">
        <v>728</v>
      </c>
    </row>
    <row r="101" spans="1:15" x14ac:dyDescent="0.25">
      <c r="B101" s="455" t="s">
        <v>871</v>
      </c>
      <c r="C101" s="455">
        <v>10</v>
      </c>
      <c r="D101" s="455" t="s">
        <v>697</v>
      </c>
      <c r="E101" s="455">
        <v>10</v>
      </c>
      <c r="F101" s="455">
        <v>13</v>
      </c>
      <c r="G101" s="455">
        <v>16</v>
      </c>
    </row>
    <row r="104" spans="1:15" ht="15.75" x14ac:dyDescent="0.25">
      <c r="O104" s="489"/>
    </row>
    <row r="105" spans="1:15" x14ac:dyDescent="0.25">
      <c r="A105" s="11" t="s">
        <v>883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49"/>
      <c r="G106" s="449"/>
    </row>
    <row r="107" spans="1:15" x14ac:dyDescent="0.25">
      <c r="A107" s="445" t="s">
        <v>884</v>
      </c>
      <c r="B107" t="s">
        <v>885</v>
      </c>
      <c r="C107" s="320">
        <v>6.12</v>
      </c>
      <c r="D107" t="s">
        <v>139</v>
      </c>
      <c r="F107" s="449"/>
      <c r="G107" s="449"/>
    </row>
    <row r="108" spans="1:15" x14ac:dyDescent="0.25">
      <c r="B108" t="s">
        <v>886</v>
      </c>
      <c r="C108">
        <v>1.504</v>
      </c>
      <c r="D108" t="s">
        <v>887</v>
      </c>
      <c r="F108" s="449"/>
      <c r="G108" s="449"/>
    </row>
    <row r="109" spans="1:15" x14ac:dyDescent="0.25">
      <c r="B109" t="s">
        <v>888</v>
      </c>
      <c r="C109" s="319">
        <v>1</v>
      </c>
      <c r="D109" t="s">
        <v>834</v>
      </c>
      <c r="F109" s="449"/>
      <c r="G109" s="449"/>
    </row>
    <row r="110" spans="1:15" x14ac:dyDescent="0.25">
      <c r="B110" s="16" t="s">
        <v>841</v>
      </c>
      <c r="C110" s="16">
        <v>0.74400000000000022</v>
      </c>
      <c r="D110" s="16" t="s">
        <v>889</v>
      </c>
      <c r="E110" s="16" t="s">
        <v>890</v>
      </c>
      <c r="F110" s="461"/>
      <c r="G110" s="461"/>
      <c r="H110" s="16" t="s">
        <v>891</v>
      </c>
    </row>
    <row r="111" spans="1:15" x14ac:dyDescent="0.25">
      <c r="B111" t="s">
        <v>841</v>
      </c>
      <c r="C111">
        <v>1.504</v>
      </c>
      <c r="D111" t="s">
        <v>37</v>
      </c>
      <c r="F111" s="449"/>
      <c r="G111" s="449"/>
    </row>
    <row r="112" spans="1:15" x14ac:dyDescent="0.25">
      <c r="B112" t="s">
        <v>841</v>
      </c>
      <c r="C112" s="320">
        <v>6.12</v>
      </c>
      <c r="D112" t="s">
        <v>859</v>
      </c>
    </row>
    <row r="113" spans="1:4" x14ac:dyDescent="0.25">
      <c r="B113" t="s">
        <v>841</v>
      </c>
      <c r="C113" s="319">
        <v>1</v>
      </c>
      <c r="D113" t="s">
        <v>772</v>
      </c>
    </row>
    <row r="115" spans="1:4" x14ac:dyDescent="0.25">
      <c r="A115" t="s">
        <v>863</v>
      </c>
      <c r="B115" t="s">
        <v>892</v>
      </c>
      <c r="C115" s="285">
        <v>0.9</v>
      </c>
      <c r="D115" t="s">
        <v>893</v>
      </c>
    </row>
    <row r="117" spans="1:4" x14ac:dyDescent="0.25">
      <c r="A117" s="445" t="s">
        <v>843</v>
      </c>
      <c r="B117" s="445" t="s">
        <v>844</v>
      </c>
      <c r="C117" s="445">
        <v>230</v>
      </c>
      <c r="D117" s="445" t="s">
        <v>796</v>
      </c>
    </row>
    <row r="118" spans="1:4" x14ac:dyDescent="0.25">
      <c r="C118">
        <v>264.5</v>
      </c>
      <c r="D118" t="s">
        <v>606</v>
      </c>
    </row>
    <row r="119" spans="1:4" x14ac:dyDescent="0.25">
      <c r="C119" s="418">
        <v>3151.5174999999999</v>
      </c>
      <c r="D119" t="s">
        <v>894</v>
      </c>
    </row>
    <row r="120" spans="1:4" x14ac:dyDescent="0.25">
      <c r="B120" t="s">
        <v>846</v>
      </c>
      <c r="C120" s="287">
        <v>3151.5174999999999</v>
      </c>
      <c r="D120" t="s">
        <v>847</v>
      </c>
    </row>
    <row r="121" spans="1:4" x14ac:dyDescent="0.25">
      <c r="C121" s="287"/>
    </row>
    <row r="122" spans="1:4" x14ac:dyDescent="0.25">
      <c r="B122" t="s">
        <v>895</v>
      </c>
      <c r="C122" s="287"/>
    </row>
    <row r="123" spans="1:4" x14ac:dyDescent="0.25">
      <c r="A123" t="s">
        <v>219</v>
      </c>
      <c r="B123" t="s">
        <v>645</v>
      </c>
      <c r="C123" s="423">
        <v>725.14525500322793</v>
      </c>
      <c r="D123" t="s">
        <v>848</v>
      </c>
    </row>
    <row r="124" spans="1:4" x14ac:dyDescent="0.25">
      <c r="B124" t="s">
        <v>849</v>
      </c>
      <c r="C124" s="423">
        <v>618.86236976156738</v>
      </c>
      <c r="D124" t="s">
        <v>850</v>
      </c>
    </row>
    <row r="127" spans="1:4" x14ac:dyDescent="0.25">
      <c r="C127" s="320"/>
    </row>
    <row r="129" spans="1:9" x14ac:dyDescent="0.25">
      <c r="A129" t="s">
        <v>896</v>
      </c>
    </row>
    <row r="131" spans="1:9" x14ac:dyDescent="0.25">
      <c r="A131" t="s">
        <v>897</v>
      </c>
      <c r="C131" s="418">
        <v>318.83499999999998</v>
      </c>
      <c r="D131" t="s">
        <v>898</v>
      </c>
    </row>
    <row r="132" spans="1:9" x14ac:dyDescent="0.25">
      <c r="C132">
        <v>4162.2431015000002</v>
      </c>
      <c r="D132" t="s">
        <v>894</v>
      </c>
    </row>
    <row r="139" spans="1:9" x14ac:dyDescent="0.25">
      <c r="I139" s="508"/>
    </row>
    <row r="189" spans="12:13" x14ac:dyDescent="0.25">
      <c r="L189" s="18"/>
      <c r="M189" s="18"/>
    </row>
    <row r="190" spans="12:13" x14ac:dyDescent="0.25">
      <c r="L190" s="507"/>
    </row>
    <row r="191" spans="12:13" x14ac:dyDescent="0.25">
      <c r="L191" s="508"/>
      <c r="M191" s="508"/>
    </row>
    <row r="203" spans="2:2" ht="21" x14ac:dyDescent="0.35">
      <c r="B203" s="42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28"/>
  <sheetViews>
    <sheetView topLeftCell="A174" zoomScale="85" zoomScaleNormal="85" workbookViewId="0">
      <selection activeCell="E219" sqref="E219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45.7109375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11.85546875" customWidth="1"/>
  </cols>
  <sheetData>
    <row r="2" spans="2:24" x14ac:dyDescent="0.25">
      <c r="P2" t="s">
        <v>413</v>
      </c>
    </row>
    <row r="3" spans="2:24" x14ac:dyDescent="0.25">
      <c r="B3" t="s">
        <v>376</v>
      </c>
      <c r="P3" t="s">
        <v>414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409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410</v>
      </c>
      <c r="R5" t="s">
        <v>14</v>
      </c>
      <c r="S5" t="s">
        <v>12</v>
      </c>
      <c r="T5" t="s">
        <v>411</v>
      </c>
      <c r="U5" t="s">
        <v>150</v>
      </c>
      <c r="V5" t="s">
        <v>412</v>
      </c>
      <c r="W5" t="s">
        <v>319</v>
      </c>
      <c r="X5" s="5" t="s">
        <v>3</v>
      </c>
    </row>
    <row r="6" spans="2:24" ht="15.75" x14ac:dyDescent="0.25">
      <c r="B6" s="328"/>
      <c r="C6" s="24"/>
      <c r="D6" s="24" t="s">
        <v>7</v>
      </c>
      <c r="E6" s="24" t="s">
        <v>9</v>
      </c>
      <c r="F6" s="24"/>
      <c r="G6" s="24" t="s">
        <v>8</v>
      </c>
      <c r="H6" s="24" t="s">
        <v>135</v>
      </c>
      <c r="I6" s="24" t="s">
        <v>10</v>
      </c>
      <c r="L6" s="5"/>
      <c r="P6" s="4" t="s">
        <v>415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35">
        <v>24.71180046111926</v>
      </c>
    </row>
    <row r="7" spans="2:24" ht="15.75" x14ac:dyDescent="0.25">
      <c r="B7" s="329" t="s">
        <v>136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2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36" t="s">
        <v>416</v>
      </c>
      <c r="X8" s="5"/>
    </row>
    <row r="9" spans="2:24" ht="15.75" x14ac:dyDescent="0.25">
      <c r="B9" s="32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28"/>
      <c r="C10" s="26" t="s">
        <v>129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410</v>
      </c>
      <c r="R10" t="s">
        <v>14</v>
      </c>
      <c r="S10" t="s">
        <v>12</v>
      </c>
      <c r="T10" t="s">
        <v>411</v>
      </c>
      <c r="U10" t="s">
        <v>150</v>
      </c>
      <c r="V10" t="s">
        <v>412</v>
      </c>
      <c r="W10" t="s">
        <v>319</v>
      </c>
      <c r="X10" s="5" t="s">
        <v>3</v>
      </c>
    </row>
    <row r="11" spans="2:24" ht="15.75" x14ac:dyDescent="0.25">
      <c r="B11" s="328"/>
      <c r="C11" s="26" t="s">
        <v>137</v>
      </c>
      <c r="D11" s="52"/>
      <c r="E11" s="52"/>
      <c r="F11" s="52"/>
      <c r="G11" s="52"/>
      <c r="H11" s="52">
        <v>0</v>
      </c>
      <c r="I11" s="52"/>
      <c r="L11" s="5"/>
      <c r="P11" s="4" t="s">
        <v>415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2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2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417</v>
      </c>
      <c r="X14" s="5"/>
    </row>
    <row r="15" spans="2:24" x14ac:dyDescent="0.25">
      <c r="B15" s="4"/>
      <c r="L15" s="5"/>
      <c r="P15" s="4"/>
      <c r="Q15" t="s">
        <v>410</v>
      </c>
      <c r="R15" t="s">
        <v>14</v>
      </c>
      <c r="S15" t="s">
        <v>12</v>
      </c>
      <c r="T15" t="s">
        <v>411</v>
      </c>
      <c r="U15" t="s">
        <v>150</v>
      </c>
      <c r="V15" t="s">
        <v>412</v>
      </c>
      <c r="W15" t="s">
        <v>319</v>
      </c>
      <c r="X15" s="5" t="s">
        <v>3</v>
      </c>
    </row>
    <row r="16" spans="2:24" x14ac:dyDescent="0.25">
      <c r="B16" s="4"/>
      <c r="L16" s="5"/>
      <c r="P16" s="4" t="s">
        <v>415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28"/>
      <c r="L18" s="5"/>
      <c r="P18" s="4" t="s">
        <v>94</v>
      </c>
      <c r="X18" s="5"/>
    </row>
    <row r="19" spans="2:28" ht="15.75" x14ac:dyDescent="0.25">
      <c r="B19" s="330" t="s">
        <v>114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410</v>
      </c>
      <c r="R19" t="s">
        <v>14</v>
      </c>
      <c r="S19" t="s">
        <v>12</v>
      </c>
      <c r="T19" t="s">
        <v>411</v>
      </c>
      <c r="U19" t="s">
        <v>150</v>
      </c>
      <c r="V19" t="s">
        <v>412</v>
      </c>
      <c r="W19" t="s">
        <v>319</v>
      </c>
      <c r="X19" s="5" t="s">
        <v>3</v>
      </c>
    </row>
    <row r="20" spans="2:28" ht="15.75" x14ac:dyDescent="0.25">
      <c r="B20" s="331" t="s">
        <v>121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415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3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3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3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418</v>
      </c>
      <c r="X23" s="5"/>
    </row>
    <row r="24" spans="2:28" ht="15.75" x14ac:dyDescent="0.25">
      <c r="B24" s="332" t="s">
        <v>129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145</v>
      </c>
      <c r="X24" s="5"/>
      <c r="Z24" t="s">
        <v>495</v>
      </c>
    </row>
    <row r="25" spans="2:28" ht="15.75" x14ac:dyDescent="0.25">
      <c r="B25" s="332" t="s">
        <v>130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410</v>
      </c>
      <c r="R25" s="135" t="s">
        <v>14</v>
      </c>
      <c r="S25" s="135" t="s">
        <v>12</v>
      </c>
      <c r="T25" s="135" t="s">
        <v>411</v>
      </c>
      <c r="U25" s="135" t="s">
        <v>150</v>
      </c>
      <c r="V25" s="135" t="s">
        <v>412</v>
      </c>
      <c r="W25" s="135" t="s">
        <v>319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37">
        <f>Q6</f>
        <v>9.7324443858011449</v>
      </c>
      <c r="R26" s="337">
        <f t="shared" ref="R26:W26" si="0">R6</f>
        <v>5.4098168519259584</v>
      </c>
      <c r="S26" s="337">
        <f t="shared" si="0"/>
        <v>8.4486477066739596</v>
      </c>
      <c r="T26" s="337">
        <f t="shared" si="0"/>
        <v>0</v>
      </c>
      <c r="U26" s="337">
        <f t="shared" si="0"/>
        <v>0.59433505502672301</v>
      </c>
      <c r="V26" s="337">
        <f t="shared" si="0"/>
        <v>0.52655646169147485</v>
      </c>
      <c r="W26" s="337">
        <f t="shared" si="0"/>
        <v>0</v>
      </c>
      <c r="X26" s="33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172</v>
      </c>
      <c r="Q27" s="337">
        <f>Q11</f>
        <v>4.2466739383685805</v>
      </c>
      <c r="R27" s="337">
        <f t="shared" ref="R27:W27" si="1">R11</f>
        <v>17.308347986465257</v>
      </c>
      <c r="S27" s="337">
        <f t="shared" si="1"/>
        <v>0</v>
      </c>
      <c r="T27" s="337">
        <f t="shared" si="1"/>
        <v>0</v>
      </c>
      <c r="U27" s="337">
        <f t="shared" si="1"/>
        <v>0</v>
      </c>
      <c r="V27" s="337">
        <f t="shared" si="1"/>
        <v>2.2897460751661631</v>
      </c>
      <c r="W27" s="337">
        <f t="shared" si="1"/>
        <v>0</v>
      </c>
      <c r="X27" s="33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419</v>
      </c>
      <c r="Q28" s="337">
        <f t="shared" ref="Q28:W28" si="2">Q16</f>
        <v>0</v>
      </c>
      <c r="R28" s="337">
        <f t="shared" si="2"/>
        <v>5.9178209366664776</v>
      </c>
      <c r="S28" s="337">
        <f t="shared" si="2"/>
        <v>0</v>
      </c>
      <c r="T28" s="337">
        <f t="shared" si="2"/>
        <v>0</v>
      </c>
      <c r="U28" s="337">
        <f t="shared" si="2"/>
        <v>0.70602057094563631</v>
      </c>
      <c r="V28" s="337">
        <f t="shared" si="2"/>
        <v>0.69427752927902087</v>
      </c>
      <c r="W28" s="337">
        <f t="shared" si="2"/>
        <v>0</v>
      </c>
      <c r="X28" s="33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94</v>
      </c>
      <c r="Q29" s="337">
        <f>Q20</f>
        <v>10.977729217827143</v>
      </c>
      <c r="R29" s="337">
        <f t="shared" ref="R29:W29" si="3">R20</f>
        <v>9.8647899051720884</v>
      </c>
      <c r="S29" s="337">
        <f>S20</f>
        <v>0</v>
      </c>
      <c r="T29" s="337">
        <f t="shared" si="3"/>
        <v>0</v>
      </c>
      <c r="U29" s="337">
        <f t="shared" si="3"/>
        <v>3.6723488357449594</v>
      </c>
      <c r="V29" s="337">
        <f t="shared" si="3"/>
        <v>0.406700668706789</v>
      </c>
      <c r="W29" s="337">
        <f t="shared" si="3"/>
        <v>0</v>
      </c>
      <c r="X29" s="33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169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66" t="s">
        <v>184</v>
      </c>
      <c r="L33" s="5"/>
      <c r="Q33" s="18">
        <v>2012</v>
      </c>
      <c r="Z33" t="s">
        <v>499</v>
      </c>
      <c r="AA33" t="s">
        <v>501</v>
      </c>
    </row>
    <row r="34" spans="2:27" x14ac:dyDescent="0.25">
      <c r="B34" s="4" t="s">
        <v>145</v>
      </c>
      <c r="L34" s="5"/>
      <c r="P34" s="117" t="s">
        <v>7</v>
      </c>
      <c r="Q34" s="320">
        <f>Q26*$Z26</f>
        <v>32.11706647314378</v>
      </c>
      <c r="R34" s="320">
        <f t="shared" ref="R34:W34" si="4">R26*$Z26</f>
        <v>17.852395611355661</v>
      </c>
      <c r="S34" s="320">
        <f t="shared" si="4"/>
        <v>27.880537432024067</v>
      </c>
      <c r="T34" s="320">
        <f t="shared" si="4"/>
        <v>0</v>
      </c>
      <c r="U34" s="320">
        <f t="shared" si="4"/>
        <v>1.9613056815881857</v>
      </c>
      <c r="V34" s="320">
        <f t="shared" si="4"/>
        <v>1.7376363235818668</v>
      </c>
      <c r="W34" s="320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65" t="s">
        <v>7</v>
      </c>
      <c r="E35" s="365" t="s">
        <v>9</v>
      </c>
      <c r="F35" s="365"/>
      <c r="G35" s="365" t="s">
        <v>8</v>
      </c>
      <c r="H35" s="365" t="s">
        <v>135</v>
      </c>
      <c r="I35" s="365" t="s">
        <v>10</v>
      </c>
      <c r="L35" s="5"/>
      <c r="P35" s="117" t="s">
        <v>172</v>
      </c>
      <c r="Q35" s="320">
        <f t="shared" ref="Q35:W37" si="5">Q27*$Z27</f>
        <v>5.1384754654259819</v>
      </c>
      <c r="R35" s="320">
        <f t="shared" si="5"/>
        <v>20.943101063622962</v>
      </c>
      <c r="S35" s="320">
        <f t="shared" si="5"/>
        <v>0</v>
      </c>
      <c r="T35" s="320">
        <f t="shared" si="5"/>
        <v>0</v>
      </c>
      <c r="U35" s="320">
        <f t="shared" si="5"/>
        <v>0</v>
      </c>
      <c r="V35" s="320">
        <f t="shared" si="5"/>
        <v>2.7705927509510575</v>
      </c>
      <c r="W35" s="320">
        <f t="shared" si="5"/>
        <v>0</v>
      </c>
      <c r="Z35" t="s">
        <v>500</v>
      </c>
      <c r="AA35" s="285">
        <v>0.5</v>
      </c>
    </row>
    <row r="36" spans="2:27" ht="15.75" x14ac:dyDescent="0.25">
      <c r="B36" s="32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419</v>
      </c>
      <c r="Q36" s="320">
        <f t="shared" si="5"/>
        <v>0</v>
      </c>
      <c r="R36" s="320">
        <f t="shared" si="5"/>
        <v>5.6219298898331536</v>
      </c>
      <c r="S36" s="320">
        <f t="shared" si="5"/>
        <v>0</v>
      </c>
      <c r="T36" s="320">
        <f t="shared" si="5"/>
        <v>0</v>
      </c>
      <c r="U36" s="320">
        <f t="shared" si="5"/>
        <v>0.67071954239835441</v>
      </c>
      <c r="V36" s="320">
        <f t="shared" si="5"/>
        <v>0.65956365281506979</v>
      </c>
      <c r="W36" s="320">
        <f t="shared" si="5"/>
        <v>0</v>
      </c>
    </row>
    <row r="37" spans="2:27" ht="15.75" x14ac:dyDescent="0.25">
      <c r="B37" s="32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94</v>
      </c>
      <c r="Q37" s="320">
        <f t="shared" si="5"/>
        <v>6.8061921150528288</v>
      </c>
      <c r="R37" s="320">
        <f t="shared" si="5"/>
        <v>6.1161697412066944</v>
      </c>
      <c r="S37" s="320">
        <f t="shared" si="5"/>
        <v>0</v>
      </c>
      <c r="T37" s="320">
        <f t="shared" si="5"/>
        <v>0</v>
      </c>
      <c r="U37" s="320">
        <f t="shared" si="5"/>
        <v>2.2768562781618749</v>
      </c>
      <c r="V37" s="320">
        <f t="shared" si="5"/>
        <v>0.2521544145982092</v>
      </c>
      <c r="W37" s="320">
        <f t="shared" si="5"/>
        <v>0</v>
      </c>
    </row>
    <row r="38" spans="2:27" ht="15.75" x14ac:dyDescent="0.25">
      <c r="B38" s="32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4">
        <f>SUM(Q34:Q37)</f>
        <v>44.061734053622594</v>
      </c>
      <c r="R38" s="324">
        <f t="shared" ref="R38:W38" si="7">SUM(R34:R37)</f>
        <v>50.533596306018474</v>
      </c>
      <c r="S38" s="324">
        <f t="shared" si="7"/>
        <v>27.880537432024067</v>
      </c>
      <c r="T38" s="324">
        <f t="shared" si="7"/>
        <v>0</v>
      </c>
      <c r="U38" s="324">
        <f t="shared" si="7"/>
        <v>4.9088815021484145</v>
      </c>
      <c r="V38" s="324">
        <f t="shared" si="7"/>
        <v>5.4199471419462029</v>
      </c>
      <c r="W38" s="324">
        <f t="shared" si="7"/>
        <v>0</v>
      </c>
    </row>
    <row r="39" spans="2:27" ht="15.75" x14ac:dyDescent="0.25">
      <c r="B39" s="328" t="s">
        <v>129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28" t="s">
        <v>130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2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0">
        <f>Q26*$AA26</f>
        <v>29.519292939247229</v>
      </c>
      <c r="R42" s="320">
        <f t="shared" ref="R42:W42" si="9">R26*$AA26</f>
        <v>16.408413145690233</v>
      </c>
      <c r="S42" s="320">
        <f t="shared" si="9"/>
        <v>25.625433519831848</v>
      </c>
      <c r="T42" s="320">
        <f t="shared" si="9"/>
        <v>0</v>
      </c>
      <c r="U42" s="320">
        <f t="shared" si="9"/>
        <v>1.8026664112248365</v>
      </c>
      <c r="V42" s="320">
        <f t="shared" si="9"/>
        <v>1.5970884420774072</v>
      </c>
      <c r="W42" s="320">
        <f t="shared" si="9"/>
        <v>0</v>
      </c>
    </row>
    <row r="43" spans="2:27" x14ac:dyDescent="0.25">
      <c r="B43" s="4"/>
      <c r="C43" s="135" t="s">
        <v>410</v>
      </c>
      <c r="D43" s="135" t="s">
        <v>14</v>
      </c>
      <c r="E43" s="135" t="s">
        <v>12</v>
      </c>
      <c r="F43" s="135" t="s">
        <v>411</v>
      </c>
      <c r="G43" s="135" t="s">
        <v>150</v>
      </c>
      <c r="H43" s="135" t="s">
        <v>412</v>
      </c>
      <c r="I43" s="135" t="s">
        <v>319</v>
      </c>
      <c r="L43" s="5"/>
      <c r="P43" s="117" t="s">
        <v>172</v>
      </c>
      <c r="Q43" s="320">
        <f t="shared" ref="Q43:W45" si="10">Q27*$AA27</f>
        <v>3.2228811943078308</v>
      </c>
      <c r="R43" s="320">
        <f t="shared" si="10"/>
        <v>13.135632742160661</v>
      </c>
      <c r="S43" s="320">
        <f t="shared" si="10"/>
        <v>0</v>
      </c>
      <c r="T43" s="320">
        <f t="shared" si="10"/>
        <v>0</v>
      </c>
      <c r="U43" s="320">
        <f t="shared" si="10"/>
        <v>0</v>
      </c>
      <c r="V43" s="320">
        <f t="shared" si="10"/>
        <v>1.7377316159639422</v>
      </c>
      <c r="W43" s="320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419</v>
      </c>
      <c r="Q44" s="320">
        <f t="shared" si="10"/>
        <v>0</v>
      </c>
      <c r="R44" s="320">
        <f t="shared" si="10"/>
        <v>7.8115236363997518</v>
      </c>
      <c r="S44" s="320">
        <f t="shared" si="10"/>
        <v>0</v>
      </c>
      <c r="T44" s="320">
        <f t="shared" si="10"/>
        <v>0</v>
      </c>
      <c r="U44" s="320">
        <f t="shared" si="10"/>
        <v>0.9319471536482401</v>
      </c>
      <c r="V44" s="320">
        <f t="shared" si="10"/>
        <v>0.91644633864830771</v>
      </c>
      <c r="W44" s="320">
        <f t="shared" si="10"/>
        <v>0</v>
      </c>
    </row>
    <row r="45" spans="2:27" x14ac:dyDescent="0.25">
      <c r="B45" s="117" t="s">
        <v>172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94</v>
      </c>
      <c r="Q45" s="320">
        <f t="shared" si="10"/>
        <v>12.273101265530746</v>
      </c>
      <c r="R45" s="320">
        <f t="shared" si="10"/>
        <v>11.028835113982396</v>
      </c>
      <c r="S45" s="320">
        <f t="shared" si="10"/>
        <v>0</v>
      </c>
      <c r="T45" s="320">
        <f t="shared" si="10"/>
        <v>0</v>
      </c>
      <c r="U45" s="320">
        <f t="shared" si="10"/>
        <v>4.1056859983628646</v>
      </c>
      <c r="V45" s="320">
        <f t="shared" si="10"/>
        <v>0.45469134761419017</v>
      </c>
      <c r="W45" s="320">
        <f t="shared" si="10"/>
        <v>0</v>
      </c>
    </row>
    <row r="46" spans="2:27" x14ac:dyDescent="0.25">
      <c r="B46" s="117" t="s">
        <v>419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4">
        <f t="shared" ref="Q46:W46" si="11">SUM(Q42:Q45)</f>
        <v>45.015275399085809</v>
      </c>
      <c r="R46" s="324">
        <f t="shared" si="11"/>
        <v>48.384404638233036</v>
      </c>
      <c r="S46" s="324">
        <f t="shared" si="11"/>
        <v>25.625433519831848</v>
      </c>
      <c r="T46" s="324">
        <f t="shared" si="11"/>
        <v>0</v>
      </c>
      <c r="U46" s="324">
        <f t="shared" si="11"/>
        <v>6.8402995632359413</v>
      </c>
      <c r="V46" s="324">
        <f t="shared" si="11"/>
        <v>4.7059577443038467</v>
      </c>
      <c r="W46" s="324">
        <f t="shared" si="11"/>
        <v>0</v>
      </c>
    </row>
    <row r="47" spans="2:27" x14ac:dyDescent="0.25">
      <c r="B47" s="117" t="s">
        <v>94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498</v>
      </c>
      <c r="R49" s="367">
        <v>17312</v>
      </c>
      <c r="S49" t="s">
        <v>320</v>
      </c>
    </row>
    <row r="50" spans="2:24" x14ac:dyDescent="0.25">
      <c r="P50" t="s">
        <v>364</v>
      </c>
      <c r="R50" s="368">
        <f>R46*1000</f>
        <v>48384.404638233034</v>
      </c>
    </row>
    <row r="51" spans="2:24" x14ac:dyDescent="0.25">
      <c r="B51" t="s">
        <v>441</v>
      </c>
    </row>
    <row r="52" spans="2:24" x14ac:dyDescent="0.25">
      <c r="B52" s="14"/>
      <c r="C52" s="15" t="s">
        <v>443</v>
      </c>
      <c r="D52" s="15"/>
      <c r="E52" s="15" t="s">
        <v>494</v>
      </c>
      <c r="F52" s="15"/>
      <c r="G52" s="3"/>
      <c r="P52" t="s">
        <v>13</v>
      </c>
      <c r="Q52" t="s">
        <v>505</v>
      </c>
      <c r="R52">
        <f>'INPUT Coke'!K17</f>
        <v>2.91</v>
      </c>
      <c r="S52" t="s">
        <v>186</v>
      </c>
    </row>
    <row r="53" spans="2:24" x14ac:dyDescent="0.25">
      <c r="B53" s="4" t="s">
        <v>442</v>
      </c>
      <c r="C53">
        <v>0.753</v>
      </c>
      <c r="E53">
        <f>C53*1000000*3600/1000000000</f>
        <v>2.7107999999999999</v>
      </c>
      <c r="G53" s="5"/>
      <c r="Q53" t="s">
        <v>364</v>
      </c>
      <c r="R53" s="320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506</v>
      </c>
      <c r="R54">
        <v>2.75</v>
      </c>
    </row>
    <row r="56" spans="2:24" x14ac:dyDescent="0.25">
      <c r="B56" t="s">
        <v>477</v>
      </c>
      <c r="Q56" s="320">
        <f>'AMSA - Saldanha'!B81</f>
        <v>242.57861307692306</v>
      </c>
      <c r="R56" t="s">
        <v>537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474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522</v>
      </c>
    </row>
    <row r="60" spans="2:24" x14ac:dyDescent="0.25">
      <c r="B60" s="4" t="s">
        <v>462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507</v>
      </c>
    </row>
    <row r="61" spans="2:24" x14ac:dyDescent="0.25">
      <c r="B61" s="4" t="s">
        <v>463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410</v>
      </c>
      <c r="R61" s="135" t="s">
        <v>14</v>
      </c>
      <c r="S61" s="135" t="s">
        <v>12</v>
      </c>
      <c r="T61" s="135" t="s">
        <v>411</v>
      </c>
      <c r="U61" s="135" t="s">
        <v>150</v>
      </c>
      <c r="V61" s="135" t="s">
        <v>412</v>
      </c>
      <c r="W61" s="135" t="s">
        <v>319</v>
      </c>
    </row>
    <row r="62" spans="2:24" x14ac:dyDescent="0.25">
      <c r="B62" s="4" t="s">
        <v>464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3">
        <v>9.7324443858011449</v>
      </c>
      <c r="R62" s="323">
        <v>5.4098168519259584</v>
      </c>
      <c r="S62" s="323">
        <v>8.4486477066739596</v>
      </c>
      <c r="T62" s="323">
        <v>0</v>
      </c>
      <c r="U62" s="323">
        <v>0.59433505502672301</v>
      </c>
      <c r="V62" s="323">
        <v>0.52655646169147485</v>
      </c>
      <c r="W62" s="323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172</v>
      </c>
      <c r="Q63" s="323">
        <v>4.2466739383685805</v>
      </c>
      <c r="R63" s="323">
        <v>17.308347986465257</v>
      </c>
      <c r="S63" s="323">
        <v>0</v>
      </c>
      <c r="T63" s="323">
        <v>0</v>
      </c>
      <c r="U63" s="323">
        <v>0</v>
      </c>
      <c r="V63" s="323">
        <v>2.2897460751661631</v>
      </c>
      <c r="W63" s="323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419</v>
      </c>
      <c r="Q64" s="323">
        <v>0</v>
      </c>
      <c r="R64" s="323">
        <v>5.9178209366664776</v>
      </c>
      <c r="S64" s="323">
        <v>0</v>
      </c>
      <c r="T64" s="323">
        <v>0</v>
      </c>
      <c r="U64" s="323">
        <v>0.70602057094563631</v>
      </c>
      <c r="V64" s="323">
        <v>0.69427752927902087</v>
      </c>
      <c r="W64" s="323">
        <v>0</v>
      </c>
      <c r="X64" s="287">
        <f>SUM(Q64:W64)</f>
        <v>7.3181190368911349</v>
      </c>
    </row>
    <row r="65" spans="2:25" x14ac:dyDescent="0.25">
      <c r="B65" s="6" t="s">
        <v>496</v>
      </c>
      <c r="E65" t="s">
        <v>478</v>
      </c>
      <c r="G65" s="5"/>
      <c r="I65" t="s">
        <v>479</v>
      </c>
      <c r="P65" s="117" t="s">
        <v>94</v>
      </c>
      <c r="Q65" s="323">
        <v>10.977729217827143</v>
      </c>
      <c r="R65" s="323">
        <v>9.8647899051720884</v>
      </c>
      <c r="S65" s="323">
        <v>0</v>
      </c>
      <c r="T65" s="323">
        <v>0</v>
      </c>
      <c r="U65" s="323">
        <v>3.6723488357449594</v>
      </c>
      <c r="V65" s="323">
        <v>0.406700668706789</v>
      </c>
      <c r="W65" s="323">
        <v>0</v>
      </c>
      <c r="X65" s="287">
        <f>SUM(Q65:W65)</f>
        <v>24.921568627450981</v>
      </c>
    </row>
    <row r="66" spans="2:25" x14ac:dyDescent="0.25">
      <c r="B66" s="4" t="s">
        <v>462</v>
      </c>
      <c r="C66" s="19">
        <f t="shared" ref="C66:D68" si="12">C60/C$64</f>
        <v>160</v>
      </c>
      <c r="D66" s="19">
        <f t="shared" si="12"/>
        <v>391</v>
      </c>
      <c r="E66" s="348">
        <f>C66/D66</f>
        <v>0.40920716112531969</v>
      </c>
      <c r="G66" s="5"/>
      <c r="I66" s="345">
        <f>'AMSA reports'!C26</f>
        <v>0.74270000000000003</v>
      </c>
      <c r="L66" s="320"/>
      <c r="N66" s="324"/>
    </row>
    <row r="67" spans="2:25" x14ac:dyDescent="0.25">
      <c r="B67" s="4" t="s">
        <v>463</v>
      </c>
      <c r="C67" s="19">
        <f t="shared" si="12"/>
        <v>205</v>
      </c>
      <c r="D67" s="19">
        <f t="shared" si="12"/>
        <v>275</v>
      </c>
      <c r="E67" s="348">
        <f>C67/D67</f>
        <v>0.74545454545454548</v>
      </c>
      <c r="G67" s="5"/>
    </row>
    <row r="68" spans="2:25" x14ac:dyDescent="0.25">
      <c r="B68" s="4" t="s">
        <v>464</v>
      </c>
      <c r="C68" s="19">
        <f>C62/C$64</f>
        <v>180.4257116262487</v>
      </c>
      <c r="D68" s="19">
        <f t="shared" si="12"/>
        <v>295.85945375159446</v>
      </c>
      <c r="E68" s="348">
        <f>C68/D68</f>
        <v>0.60983588436465952</v>
      </c>
      <c r="G68" s="5"/>
      <c r="P68" t="s">
        <v>523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29"/>
      <c r="Q70" s="24" t="s">
        <v>7</v>
      </c>
      <c r="R70" s="24" t="s">
        <v>43</v>
      </c>
      <c r="S70" s="24"/>
      <c r="T70" s="24" t="s">
        <v>8</v>
      </c>
      <c r="U70" s="24" t="s">
        <v>45</v>
      </c>
      <c r="V70" s="24" t="s">
        <v>10</v>
      </c>
      <c r="Y70" s="5"/>
    </row>
    <row r="71" spans="2:25" ht="15.75" x14ac:dyDescent="0.25">
      <c r="P71" s="332" t="s">
        <v>86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32" t="s">
        <v>89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32" t="s">
        <v>93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172</v>
      </c>
      <c r="E74" s="268">
        <f>AA27</f>
        <v>0.75891891891891894</v>
      </c>
      <c r="G74">
        <f>1-G73</f>
        <v>0.20013684570646606</v>
      </c>
      <c r="P74" s="332" t="s">
        <v>109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419</v>
      </c>
      <c r="E75" s="268">
        <f>AA28</f>
        <v>1.3200000000000003</v>
      </c>
      <c r="P75" s="37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94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519</v>
      </c>
    </row>
    <row r="79" spans="2:25" x14ac:dyDescent="0.25">
      <c r="E79" t="s">
        <v>507</v>
      </c>
    </row>
    <row r="80" spans="2:25" x14ac:dyDescent="0.25">
      <c r="E80" s="135" t="s">
        <v>410</v>
      </c>
      <c r="F80" s="135" t="s">
        <v>14</v>
      </c>
      <c r="G80" s="135" t="s">
        <v>12</v>
      </c>
      <c r="H80" s="135" t="s">
        <v>411</v>
      </c>
      <c r="I80" s="135" t="s">
        <v>150</v>
      </c>
      <c r="J80" s="135" t="s">
        <v>412</v>
      </c>
      <c r="K80" s="135" t="s">
        <v>319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3"/>
      <c r="I81" s="323"/>
      <c r="J81" s="323"/>
      <c r="K81" s="323"/>
    </row>
    <row r="82" spans="2:23" x14ac:dyDescent="0.25">
      <c r="D82" s="117" t="s">
        <v>172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3"/>
      <c r="I82" s="323"/>
      <c r="J82" s="323"/>
      <c r="K82" s="323"/>
    </row>
    <row r="83" spans="2:23" x14ac:dyDescent="0.25">
      <c r="D83" s="117" t="s">
        <v>419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3"/>
      <c r="I83" s="323"/>
      <c r="J83" s="323"/>
      <c r="K83" s="323"/>
    </row>
    <row r="84" spans="2:23" x14ac:dyDescent="0.25">
      <c r="D84" s="117" t="s">
        <v>94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3"/>
      <c r="K84" s="323"/>
    </row>
    <row r="87" spans="2:23" x14ac:dyDescent="0.25">
      <c r="D87" t="s">
        <v>520</v>
      </c>
    </row>
    <row r="88" spans="2:23" x14ac:dyDescent="0.25">
      <c r="E88" t="s">
        <v>507</v>
      </c>
    </row>
    <row r="89" spans="2:23" x14ac:dyDescent="0.25">
      <c r="E89" s="135" t="s">
        <v>410</v>
      </c>
      <c r="F89" s="135" t="s">
        <v>14</v>
      </c>
      <c r="G89" s="135" t="s">
        <v>12</v>
      </c>
      <c r="H89" s="135" t="s">
        <v>411</v>
      </c>
      <c r="I89" s="135" t="s">
        <v>150</v>
      </c>
      <c r="J89" s="135" t="s">
        <v>412</v>
      </c>
      <c r="K89" s="135" t="s">
        <v>319</v>
      </c>
    </row>
    <row r="90" spans="2:23" x14ac:dyDescent="0.25">
      <c r="D90" s="117" t="s">
        <v>7</v>
      </c>
      <c r="E90" s="323">
        <f>Q26</f>
        <v>9.7324443858011449</v>
      </c>
      <c r="F90" s="323">
        <f t="shared" ref="F90:K93" si="14">R26</f>
        <v>5.4098168519259584</v>
      </c>
      <c r="G90" s="323">
        <f t="shared" si="14"/>
        <v>8.4486477066739596</v>
      </c>
      <c r="H90" s="323">
        <f t="shared" si="14"/>
        <v>0</v>
      </c>
      <c r="I90" s="323">
        <f t="shared" si="14"/>
        <v>0.59433505502672301</v>
      </c>
      <c r="J90" s="323">
        <f t="shared" si="14"/>
        <v>0.52655646169147485</v>
      </c>
      <c r="K90" s="323">
        <f t="shared" si="14"/>
        <v>0</v>
      </c>
    </row>
    <row r="91" spans="2:23" x14ac:dyDescent="0.25">
      <c r="D91" s="117" t="s">
        <v>172</v>
      </c>
      <c r="E91" s="323">
        <f>Q27</f>
        <v>4.2466739383685805</v>
      </c>
      <c r="F91" s="323">
        <f t="shared" si="14"/>
        <v>17.308347986465257</v>
      </c>
      <c r="G91" s="323">
        <f t="shared" si="14"/>
        <v>0</v>
      </c>
      <c r="H91" s="323">
        <f t="shared" si="14"/>
        <v>0</v>
      </c>
      <c r="I91" s="323">
        <f t="shared" si="14"/>
        <v>0</v>
      </c>
      <c r="J91" s="323">
        <f t="shared" si="14"/>
        <v>2.2897460751661631</v>
      </c>
      <c r="K91" s="323">
        <f t="shared" si="14"/>
        <v>0</v>
      </c>
    </row>
    <row r="92" spans="2:23" x14ac:dyDescent="0.25">
      <c r="D92" s="117" t="s">
        <v>419</v>
      </c>
      <c r="E92" s="323">
        <f>Q28</f>
        <v>0</v>
      </c>
      <c r="F92" s="323">
        <f t="shared" si="14"/>
        <v>5.9178209366664776</v>
      </c>
      <c r="G92" s="323">
        <f t="shared" si="14"/>
        <v>0</v>
      </c>
      <c r="H92" s="323">
        <f t="shared" si="14"/>
        <v>0</v>
      </c>
      <c r="I92" s="323">
        <f t="shared" si="14"/>
        <v>0.70602057094563631</v>
      </c>
      <c r="J92" s="323">
        <f t="shared" si="14"/>
        <v>0.69427752927902087</v>
      </c>
      <c r="K92" s="323">
        <f t="shared" si="14"/>
        <v>0</v>
      </c>
    </row>
    <row r="93" spans="2:23" x14ac:dyDescent="0.25">
      <c r="D93" s="117" t="s">
        <v>94</v>
      </c>
      <c r="E93" s="323">
        <f>Q29</f>
        <v>10.977729217827143</v>
      </c>
      <c r="F93" s="323">
        <f t="shared" si="14"/>
        <v>9.8647899051720884</v>
      </c>
      <c r="G93" s="323">
        <f t="shared" si="14"/>
        <v>0</v>
      </c>
      <c r="H93" s="323">
        <f t="shared" si="14"/>
        <v>0</v>
      </c>
      <c r="I93" s="323">
        <f t="shared" si="14"/>
        <v>3.6723488357449594</v>
      </c>
      <c r="J93" s="323">
        <f t="shared" si="14"/>
        <v>0.406700668706789</v>
      </c>
      <c r="K93" s="323">
        <f t="shared" si="14"/>
        <v>0</v>
      </c>
    </row>
    <row r="94" spans="2:23" x14ac:dyDescent="0.25">
      <c r="P94" t="s">
        <v>508</v>
      </c>
      <c r="R94" s="340" t="s">
        <v>513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74" t="s">
        <v>528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6"/>
      <c r="P96" s="4"/>
      <c r="R96" s="370" t="s">
        <v>509</v>
      </c>
      <c r="S96" s="16" t="s">
        <v>364</v>
      </c>
      <c r="T96" s="16" t="s">
        <v>497</v>
      </c>
      <c r="U96" t="s">
        <v>3</v>
      </c>
      <c r="W96" s="5"/>
    </row>
    <row r="97" spans="2:23" ht="15.75" x14ac:dyDescent="0.25">
      <c r="B97" s="377"/>
      <c r="E97" t="s">
        <v>507</v>
      </c>
      <c r="M97" s="378"/>
      <c r="P97" s="4" t="s">
        <v>14</v>
      </c>
      <c r="Q97" t="s">
        <v>320</v>
      </c>
      <c r="R97" s="371">
        <v>17312</v>
      </c>
      <c r="S97" s="525">
        <f>F114</f>
        <v>17383.575380289374</v>
      </c>
      <c r="T97" s="16"/>
      <c r="U97" s="37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77"/>
      <c r="E98" s="135" t="s">
        <v>410</v>
      </c>
      <c r="F98" s="135" t="s">
        <v>14</v>
      </c>
      <c r="G98" s="135" t="s">
        <v>11</v>
      </c>
      <c r="H98" s="135" t="s">
        <v>411</v>
      </c>
      <c r="I98" s="135" t="s">
        <v>150</v>
      </c>
      <c r="J98" s="135" t="s">
        <v>412</v>
      </c>
      <c r="K98" s="135" t="s">
        <v>319</v>
      </c>
      <c r="L98" s="406" t="s">
        <v>3</v>
      </c>
      <c r="M98" s="378"/>
      <c r="P98" s="4"/>
      <c r="R98" s="370"/>
      <c r="S98" s="16"/>
      <c r="T98" s="16"/>
      <c r="U98" s="372"/>
      <c r="W98" s="5"/>
    </row>
    <row r="99" spans="2:23" x14ac:dyDescent="0.25">
      <c r="B99" s="377" t="s">
        <v>533</v>
      </c>
      <c r="D99" s="117" t="s">
        <v>7</v>
      </c>
      <c r="E99" s="379">
        <f>E81</f>
        <v>4.3302170790299686</v>
      </c>
      <c r="F99" s="379">
        <f>Q74*(1-$U$118)</f>
        <v>2.0996782148442206</v>
      </c>
      <c r="G99" s="379">
        <f>G81</f>
        <v>8.8757836125478331</v>
      </c>
      <c r="H99" s="379"/>
      <c r="I99" s="379">
        <f t="shared" ref="I99:J101" si="15">I90</f>
        <v>0.59433505502672301</v>
      </c>
      <c r="J99" s="379">
        <f>R113</f>
        <v>3.8314510321037716</v>
      </c>
      <c r="K99" s="379"/>
      <c r="L99" s="287">
        <f>SUM(E99:K99)</f>
        <v>19.731464993552517</v>
      </c>
      <c r="M99" s="378"/>
      <c r="P99" s="4"/>
      <c r="R99" s="370" t="s">
        <v>511</v>
      </c>
      <c r="S99" s="16"/>
      <c r="T99" s="16"/>
      <c r="U99" s="372"/>
      <c r="W99" s="5"/>
    </row>
    <row r="100" spans="2:23" x14ac:dyDescent="0.25">
      <c r="B100" s="377" t="s">
        <v>533</v>
      </c>
      <c r="D100" s="117" t="s">
        <v>172</v>
      </c>
      <c r="E100" s="379">
        <f>E82</f>
        <v>20.596584135938251</v>
      </c>
      <c r="F100" s="379">
        <f>SUM(R73:R74)*(1-U118)</f>
        <v>4.8574938650306745</v>
      </c>
      <c r="G100" s="379">
        <f>G82</f>
        <v>0</v>
      </c>
      <c r="H100" s="379"/>
      <c r="I100" s="379">
        <f t="shared" si="15"/>
        <v>0</v>
      </c>
      <c r="J100" s="379">
        <f>J99</f>
        <v>3.8314510321037716</v>
      </c>
      <c r="K100" s="379"/>
      <c r="L100" s="287">
        <f>SUM(E100:K100)</f>
        <v>29.285529033072699</v>
      </c>
      <c r="M100" s="378"/>
      <c r="P100" s="4" t="s">
        <v>13</v>
      </c>
      <c r="Q100" t="s">
        <v>186</v>
      </c>
      <c r="R100" s="370">
        <v>2.91</v>
      </c>
      <c r="S100" s="266">
        <f>E114/24000</f>
        <v>1.9997765360520332</v>
      </c>
      <c r="T100" s="16">
        <v>2.75</v>
      </c>
      <c r="U100" s="37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77" t="s">
        <v>365</v>
      </c>
      <c r="C101" s="285">
        <v>0.2</v>
      </c>
      <c r="D101" s="117" t="s">
        <v>419</v>
      </c>
      <c r="E101" s="379">
        <f>E83</f>
        <v>0</v>
      </c>
      <c r="F101" s="379">
        <f>T75*(1-C101)</f>
        <v>4.0884341801385684</v>
      </c>
      <c r="G101" s="379">
        <f>G83</f>
        <v>0</v>
      </c>
      <c r="H101" s="379"/>
      <c r="I101" s="379">
        <f t="shared" si="15"/>
        <v>0.70602057094563631</v>
      </c>
      <c r="J101" s="379">
        <f t="shared" si="15"/>
        <v>0.69427752927902087</v>
      </c>
      <c r="K101" s="379"/>
      <c r="L101" s="287">
        <f>SUM(E101:K101)</f>
        <v>5.4887322803632257</v>
      </c>
      <c r="M101" s="378"/>
      <c r="P101" s="4"/>
      <c r="R101" s="370"/>
      <c r="S101" s="16"/>
      <c r="T101" s="16"/>
      <c r="U101" s="372"/>
      <c r="W101" s="5"/>
    </row>
    <row r="102" spans="2:23" x14ac:dyDescent="0.25">
      <c r="B102" s="377" t="s">
        <v>536</v>
      </c>
      <c r="C102" s="285">
        <v>0.6</v>
      </c>
      <c r="D102" s="117" t="s">
        <v>94</v>
      </c>
      <c r="E102" s="379">
        <f>E84</f>
        <v>17.2</v>
      </c>
      <c r="F102" s="379">
        <f>U73*C102</f>
        <v>1.728</v>
      </c>
      <c r="G102" s="379">
        <f>G84</f>
        <v>2.6</v>
      </c>
      <c r="H102" s="379"/>
      <c r="I102" s="379">
        <f>Q56/1000/E76</f>
        <v>0.21697550364662166</v>
      </c>
      <c r="J102" s="379">
        <f>J93</f>
        <v>0.406700668706789</v>
      </c>
      <c r="K102" s="379"/>
      <c r="L102" s="287">
        <f>SUM(E102:K102)</f>
        <v>22.151676172353415</v>
      </c>
      <c r="M102" s="378"/>
      <c r="P102" s="4"/>
      <c r="R102" s="370" t="s">
        <v>512</v>
      </c>
      <c r="S102" s="16"/>
      <c r="T102" s="16"/>
      <c r="U102" s="372"/>
      <c r="W102" s="5"/>
    </row>
    <row r="103" spans="2:23" x14ac:dyDescent="0.25">
      <c r="B103" s="377"/>
      <c r="D103" s="5" t="s">
        <v>18</v>
      </c>
      <c r="E103" s="379">
        <f>I36</f>
        <v>20.61</v>
      </c>
      <c r="F103" s="379">
        <f>I38</f>
        <v>20.61</v>
      </c>
      <c r="G103" s="379"/>
      <c r="H103" s="379"/>
      <c r="I103" s="379"/>
      <c r="J103" s="379">
        <f>I39</f>
        <v>3.4349999999999996</v>
      </c>
      <c r="K103" s="379"/>
      <c r="L103" s="287">
        <f>SUM(E103:K103)</f>
        <v>44.655000000000001</v>
      </c>
      <c r="M103" s="378"/>
      <c r="P103" s="4" t="s">
        <v>521</v>
      </c>
      <c r="Q103" t="s">
        <v>186</v>
      </c>
      <c r="R103" s="370">
        <v>2.7</v>
      </c>
      <c r="S103" s="266"/>
      <c r="T103" s="16"/>
      <c r="U103" s="372"/>
      <c r="V103" s="17"/>
      <c r="W103" s="5"/>
    </row>
    <row r="104" spans="2:23" ht="15.75" thickBot="1" x14ac:dyDescent="0.3">
      <c r="B104" s="380"/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P104" s="4"/>
      <c r="R104" s="370" t="s">
        <v>517</v>
      </c>
      <c r="S104" s="16"/>
      <c r="T104" s="16"/>
      <c r="U104" s="18"/>
      <c r="W104" s="5"/>
    </row>
    <row r="105" spans="2:23" x14ac:dyDescent="0.25">
      <c r="P105" s="4" t="s">
        <v>514</v>
      </c>
      <c r="Q105" t="s">
        <v>186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510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410</v>
      </c>
      <c r="F107" s="135" t="s">
        <v>14</v>
      </c>
      <c r="G107" s="135" t="s">
        <v>12</v>
      </c>
      <c r="H107" s="135" t="s">
        <v>411</v>
      </c>
      <c r="I107" s="135" t="s">
        <v>150</v>
      </c>
      <c r="J107" s="135" t="s">
        <v>412</v>
      </c>
      <c r="K107" s="135" t="s">
        <v>319</v>
      </c>
      <c r="P107" s="4" t="s">
        <v>518</v>
      </c>
      <c r="R107" s="269">
        <f>R105</f>
        <v>2.0936980769230766</v>
      </c>
      <c r="S107" s="16">
        <f>G115</f>
        <v>0.99425904516627739</v>
      </c>
      <c r="T107">
        <v>1.43</v>
      </c>
      <c r="U107" s="37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3">
        <f t="shared" ref="E108:K111" si="16">$E73*E99</f>
        <v>13.133899499379977</v>
      </c>
      <c r="F108" s="323">
        <f t="shared" si="16"/>
        <v>6.3684942698021016</v>
      </c>
      <c r="G108" s="323">
        <f t="shared" si="16"/>
        <v>26.920971354988321</v>
      </c>
      <c r="H108" s="323">
        <f t="shared" si="16"/>
        <v>0</v>
      </c>
      <c r="I108" s="323">
        <f t="shared" si="16"/>
        <v>1.8026664112248365</v>
      </c>
      <c r="J108" s="323">
        <f t="shared" si="16"/>
        <v>11.62110163856253</v>
      </c>
      <c r="K108" s="323">
        <f t="shared" si="16"/>
        <v>0</v>
      </c>
      <c r="P108" s="4"/>
      <c r="R108" s="285"/>
      <c r="W108" s="5"/>
    </row>
    <row r="109" spans="2:23" x14ac:dyDescent="0.25">
      <c r="D109" s="117" t="s">
        <v>172</v>
      </c>
      <c r="E109" s="323">
        <f t="shared" si="16"/>
        <v>15.631137365868813</v>
      </c>
      <c r="F109" s="323">
        <f t="shared" si="16"/>
        <v>3.6864439927043606</v>
      </c>
      <c r="G109" s="323">
        <f t="shared" si="16"/>
        <v>0</v>
      </c>
      <c r="H109" s="323">
        <f t="shared" si="16"/>
        <v>0</v>
      </c>
      <c r="I109" s="323">
        <f t="shared" si="16"/>
        <v>0</v>
      </c>
      <c r="J109" s="323">
        <f t="shared" si="16"/>
        <v>2.9077606751749707</v>
      </c>
      <c r="K109" s="323">
        <f t="shared" si="16"/>
        <v>0</v>
      </c>
      <c r="P109" s="7" t="s">
        <v>412</v>
      </c>
      <c r="Q109" s="8" t="s">
        <v>320</v>
      </c>
      <c r="R109">
        <v>15900</v>
      </c>
      <c r="S109" s="506">
        <f>J114</f>
        <v>15900</v>
      </c>
      <c r="T109" s="8"/>
      <c r="U109" s="37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419</v>
      </c>
      <c r="E110" s="323">
        <f t="shared" si="16"/>
        <v>0</v>
      </c>
      <c r="F110" s="323">
        <f t="shared" si="16"/>
        <v>5.3967331177829116</v>
      </c>
      <c r="G110" s="323">
        <f t="shared" si="16"/>
        <v>0</v>
      </c>
      <c r="H110" s="323">
        <f t="shared" si="16"/>
        <v>0</v>
      </c>
      <c r="I110" s="323">
        <f t="shared" si="16"/>
        <v>0.9319471536482401</v>
      </c>
      <c r="J110" s="323">
        <f>$E75*J101</f>
        <v>0.91644633864830771</v>
      </c>
      <c r="K110" s="323">
        <f t="shared" si="16"/>
        <v>0</v>
      </c>
    </row>
    <row r="111" spans="2:23" x14ac:dyDescent="0.25">
      <c r="D111" s="117" t="s">
        <v>94</v>
      </c>
      <c r="E111" s="323">
        <f t="shared" si="16"/>
        <v>19.229600000000001</v>
      </c>
      <c r="F111" s="323">
        <f t="shared" si="16"/>
        <v>1.9319040000000001</v>
      </c>
      <c r="G111" s="323">
        <f t="shared" si="16"/>
        <v>2.9068000000000005</v>
      </c>
      <c r="H111" s="323">
        <f t="shared" si="16"/>
        <v>0</v>
      </c>
      <c r="I111" s="323">
        <f t="shared" si="16"/>
        <v>0.24257861307692305</v>
      </c>
      <c r="J111" s="323">
        <f t="shared" si="16"/>
        <v>0.45469134761419017</v>
      </c>
      <c r="K111" s="323">
        <f t="shared" si="16"/>
        <v>0</v>
      </c>
      <c r="R111" s="320">
        <f>R109/1000-J110-J111</f>
        <v>14.528862313737502</v>
      </c>
      <c r="S111" t="s">
        <v>1098</v>
      </c>
    </row>
    <row r="112" spans="2:23" x14ac:dyDescent="0.25">
      <c r="R112" s="268">
        <f>SUM(E73:E74)</f>
        <v>3.7919999999999998</v>
      </c>
      <c r="S112" t="s">
        <v>1099</v>
      </c>
    </row>
    <row r="113" spans="1:22" x14ac:dyDescent="0.25">
      <c r="D113" t="s">
        <v>139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0">
        <f>R111/R112</f>
        <v>3.8314510321037716</v>
      </c>
    </row>
    <row r="114" spans="1:22" x14ac:dyDescent="0.25">
      <c r="D114" t="s">
        <v>320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48">
        <f>G113/G106</f>
        <v>0.99425904516627739</v>
      </c>
      <c r="H115" t="s">
        <v>186</v>
      </c>
      <c r="P115" s="340" t="s">
        <v>529</v>
      </c>
    </row>
    <row r="116" spans="1:22" x14ac:dyDescent="0.25">
      <c r="P116" s="385">
        <v>3.26</v>
      </c>
      <c r="Q116" s="15" t="s">
        <v>392</v>
      </c>
      <c r="R116" s="386" t="s">
        <v>524</v>
      </c>
      <c r="S116" s="3"/>
    </row>
    <row r="117" spans="1:22" x14ac:dyDescent="0.25">
      <c r="P117" s="4">
        <f>P116*3.6</f>
        <v>11.735999999999999</v>
      </c>
      <c r="Q117" t="s">
        <v>139</v>
      </c>
      <c r="R117" t="s">
        <v>524</v>
      </c>
      <c r="S117" s="5"/>
    </row>
    <row r="118" spans="1:22" x14ac:dyDescent="0.25">
      <c r="P118" s="387">
        <v>0.28899999999999998</v>
      </c>
      <c r="Q118" s="340" t="s">
        <v>286</v>
      </c>
      <c r="R118" s="340" t="s">
        <v>525</v>
      </c>
      <c r="S118" s="5"/>
      <c r="U118" s="383">
        <f>P118/P116</f>
        <v>8.8650306748466259E-2</v>
      </c>
      <c r="V118" t="s">
        <v>534</v>
      </c>
    </row>
    <row r="119" spans="1:22" x14ac:dyDescent="0.25">
      <c r="P119" s="7">
        <f>P118*3.6</f>
        <v>1.0404</v>
      </c>
      <c r="Q119" s="8" t="s">
        <v>139</v>
      </c>
      <c r="R119" s="8" t="s">
        <v>525</v>
      </c>
      <c r="S119" s="9"/>
      <c r="U119">
        <f>U118/(SUM(E73:E74)/SUM(E73:E74,E76))</f>
        <v>0.11478718516217547</v>
      </c>
      <c r="V119" t="s">
        <v>535</v>
      </c>
    </row>
    <row r="121" spans="1:22" x14ac:dyDescent="0.25">
      <c r="P121">
        <f>P117+P119</f>
        <v>12.776399999999999</v>
      </c>
      <c r="R121" t="s">
        <v>530</v>
      </c>
    </row>
    <row r="122" spans="1:22" x14ac:dyDescent="0.25">
      <c r="P122">
        <f>P117</f>
        <v>11.735999999999999</v>
      </c>
      <c r="R122" t="s">
        <v>526</v>
      </c>
    </row>
    <row r="123" spans="1:22" x14ac:dyDescent="0.25">
      <c r="P123" s="287">
        <f>F110</f>
        <v>5.3967331177829116</v>
      </c>
      <c r="R123" t="s">
        <v>531</v>
      </c>
    </row>
    <row r="124" spans="1:22" x14ac:dyDescent="0.25">
      <c r="P124" s="268">
        <f>SUM(P122:P123)</f>
        <v>17.132733117782912</v>
      </c>
      <c r="R124" t="s">
        <v>527</v>
      </c>
    </row>
    <row r="125" spans="1:22" x14ac:dyDescent="0.25">
      <c r="P125" s="384">
        <f>R97/1000</f>
        <v>17.312000000000001</v>
      </c>
      <c r="R125" t="s">
        <v>532</v>
      </c>
    </row>
    <row r="128" spans="1:22" x14ac:dyDescent="0.25">
      <c r="A128" s="18" t="s">
        <v>1216</v>
      </c>
    </row>
    <row r="130" spans="1:21" x14ac:dyDescent="0.25">
      <c r="B130" s="566" t="s">
        <v>1134</v>
      </c>
      <c r="C130" s="566"/>
      <c r="D130" s="567"/>
      <c r="E130" s="567"/>
      <c r="F130" s="567"/>
      <c r="G130" s="567"/>
      <c r="H130" s="567"/>
      <c r="I130" s="567"/>
      <c r="J130" s="567"/>
    </row>
    <row r="131" spans="1:21" x14ac:dyDescent="0.25">
      <c r="B131" s="568" t="s">
        <v>1135</v>
      </c>
      <c r="C131" s="569" t="s">
        <v>1136</v>
      </c>
      <c r="D131" s="568" t="s">
        <v>1137</v>
      </c>
      <c r="E131" s="568" t="s">
        <v>1138</v>
      </c>
      <c r="F131" s="570" t="s">
        <v>619</v>
      </c>
      <c r="G131" s="570" t="s">
        <v>1139</v>
      </c>
      <c r="H131" s="570" t="s">
        <v>1140</v>
      </c>
      <c r="I131" s="570" t="s">
        <v>1141</v>
      </c>
      <c r="J131" s="570" t="s">
        <v>1142</v>
      </c>
    </row>
    <row r="132" spans="1:21" x14ac:dyDescent="0.25">
      <c r="B132" s="518" t="s">
        <v>1152</v>
      </c>
      <c r="C132" s="518" t="s">
        <v>951</v>
      </c>
      <c r="D132" t="s">
        <v>38</v>
      </c>
      <c r="E132" t="str">
        <f>"Industry - I&amp;S - "&amp;'INPUT Energy and Emissions'!M132</f>
        <v>Industry - I&amp;S - Electricity</v>
      </c>
      <c r="F132" s="518" t="s">
        <v>139</v>
      </c>
      <c r="G132" s="515"/>
      <c r="H132" s="518" t="s">
        <v>953</v>
      </c>
      <c r="I132" s="515"/>
      <c r="J132" s="518" t="s">
        <v>1153</v>
      </c>
      <c r="M132" t="s">
        <v>14</v>
      </c>
    </row>
    <row r="133" spans="1:21" x14ac:dyDescent="0.25">
      <c r="B133" s="518" t="s">
        <v>1152</v>
      </c>
      <c r="C133" s="518" t="s">
        <v>951</v>
      </c>
      <c r="D133" t="s">
        <v>39</v>
      </c>
      <c r="E133" t="str">
        <f>"Industry - I&amp;S - "&amp;'INPUT Energy and Emissions'!M133</f>
        <v>Industry - I&amp;S - Coke</v>
      </c>
      <c r="F133" s="518" t="s">
        <v>139</v>
      </c>
      <c r="G133" s="515"/>
      <c r="H133" s="518" t="s">
        <v>954</v>
      </c>
      <c r="I133" s="515"/>
      <c r="J133" s="515"/>
      <c r="M133" t="s">
        <v>11</v>
      </c>
    </row>
    <row r="134" spans="1:21" x14ac:dyDescent="0.25">
      <c r="B134" s="519" t="s">
        <v>1151</v>
      </c>
      <c r="C134" s="518" t="s">
        <v>951</v>
      </c>
      <c r="D134" s="99" t="s">
        <v>1259</v>
      </c>
      <c r="E134" t="str">
        <f>"Industry - I&amp;S - "&amp;'INPUT Energy and Emissions'!M134</f>
        <v>Industry - I&amp;S - Crude Steel</v>
      </c>
      <c r="F134" s="519" t="s">
        <v>139</v>
      </c>
      <c r="G134" s="515"/>
      <c r="H134" s="520" t="s">
        <v>954</v>
      </c>
      <c r="I134" s="515"/>
      <c r="J134" s="515"/>
      <c r="M134" t="s">
        <v>1260</v>
      </c>
    </row>
    <row r="135" spans="1:21" x14ac:dyDescent="0.25">
      <c r="B135" s="518" t="s">
        <v>1152</v>
      </c>
      <c r="C135" s="518" t="s">
        <v>951</v>
      </c>
      <c r="D135" s="99" t="s">
        <v>1085</v>
      </c>
      <c r="E135" t="str">
        <f>"Industry - I&amp;S - "&amp;'INPUT Energy and Emissions'!M135</f>
        <v>Industry - I&amp;S - BlastFurnace slag</v>
      </c>
      <c r="F135" s="519" t="s">
        <v>139</v>
      </c>
      <c r="G135" s="515"/>
      <c r="H135" s="520" t="s">
        <v>954</v>
      </c>
      <c r="I135" s="515"/>
      <c r="J135" s="515"/>
      <c r="M135" t="s">
        <v>1261</v>
      </c>
    </row>
    <row r="139" spans="1:21" ht="23.25" x14ac:dyDescent="0.35">
      <c r="A139" s="554" t="s">
        <v>1204</v>
      </c>
    </row>
    <row r="140" spans="1:21" x14ac:dyDescent="0.25">
      <c r="M140" s="16" t="s">
        <v>1225</v>
      </c>
    </row>
    <row r="141" spans="1:21" ht="21" x14ac:dyDescent="0.35">
      <c r="B141" s="424" t="s">
        <v>1157</v>
      </c>
      <c r="N141" t="s">
        <v>1188</v>
      </c>
      <c r="O141" t="s">
        <v>38</v>
      </c>
      <c r="P141" t="s">
        <v>39</v>
      </c>
      <c r="R141" t="s">
        <v>1074</v>
      </c>
      <c r="S141" t="s">
        <v>1072</v>
      </c>
    </row>
    <row r="142" spans="1:21" x14ac:dyDescent="0.25">
      <c r="C142" s="18" t="s">
        <v>1215</v>
      </c>
      <c r="J142" s="521"/>
      <c r="N142" s="135" t="s">
        <v>13</v>
      </c>
      <c r="O142" s="135" t="s">
        <v>14</v>
      </c>
      <c r="P142" s="135" t="s">
        <v>11</v>
      </c>
      <c r="Q142" s="135" t="s">
        <v>411</v>
      </c>
      <c r="R142" s="135" t="s">
        <v>150</v>
      </c>
      <c r="S142" s="135" t="s">
        <v>197</v>
      </c>
      <c r="T142" s="135" t="s">
        <v>319</v>
      </c>
      <c r="U142" s="18"/>
    </row>
    <row r="143" spans="1:21" x14ac:dyDescent="0.25">
      <c r="C143" s="18"/>
      <c r="J143" s="521"/>
      <c r="L143" s="287" t="s">
        <v>166</v>
      </c>
      <c r="M143" s="117" t="s">
        <v>7</v>
      </c>
      <c r="N143" s="379">
        <f>'INPUT Energy and Emissions'!E99</f>
        <v>4.3302170790299686</v>
      </c>
      <c r="O143" s="379">
        <f>'INPUT Energy and Emissions'!F99</f>
        <v>2.0996782148442206</v>
      </c>
      <c r="P143" s="379">
        <f>'INPUT Energy and Emissions'!G99</f>
        <v>8.8757836125478331</v>
      </c>
      <c r="Q143" s="379">
        <f>'INPUT Energy and Emissions'!H99</f>
        <v>0</v>
      </c>
      <c r="R143" s="379">
        <f>'INPUT Energy and Emissions'!I99</f>
        <v>0.59433505502672301</v>
      </c>
      <c r="S143" s="379">
        <f>'INPUT Energy and Emissions'!J99</f>
        <v>3.8314510321037716</v>
      </c>
      <c r="T143" s="379">
        <f>'INPUT Energy and Emissions'!K99</f>
        <v>0</v>
      </c>
      <c r="U143" s="18"/>
    </row>
    <row r="144" spans="1:21" x14ac:dyDescent="0.25">
      <c r="C144" s="507"/>
      <c r="D144" s="507"/>
      <c r="E144" s="553" t="s">
        <v>1129</v>
      </c>
      <c r="F144" s="563"/>
      <c r="G144" s="549"/>
      <c r="L144" s="287" t="s">
        <v>171</v>
      </c>
      <c r="M144" s="117" t="s">
        <v>172</v>
      </c>
      <c r="N144" s="379">
        <f>'INPUT Energy and Emissions'!E100</f>
        <v>20.596584135938251</v>
      </c>
      <c r="O144" s="379">
        <f>'INPUT Energy and Emissions'!F100</f>
        <v>4.8574938650306745</v>
      </c>
      <c r="P144" s="379">
        <f>'INPUT Energy and Emissions'!G100</f>
        <v>0</v>
      </c>
      <c r="Q144" s="379">
        <f>'INPUT Energy and Emissions'!H100</f>
        <v>0</v>
      </c>
      <c r="R144" s="379">
        <f>'INPUT Energy and Emissions'!I100</f>
        <v>0</v>
      </c>
      <c r="S144" s="379">
        <f>'INPUT Energy and Emissions'!J100</f>
        <v>3.8314510321037716</v>
      </c>
      <c r="T144" s="379">
        <f>'INPUT Energy and Emissions'!K100</f>
        <v>0</v>
      </c>
      <c r="U144" s="507"/>
    </row>
    <row r="145" spans="3:21" x14ac:dyDescent="0.25">
      <c r="D145" s="509"/>
      <c r="E145" s="553" t="s">
        <v>1109</v>
      </c>
      <c r="F145" s="553" t="s">
        <v>1130</v>
      </c>
      <c r="G145" s="553" t="s">
        <v>1131</v>
      </c>
      <c r="L145" s="287" t="s">
        <v>177</v>
      </c>
      <c r="M145" s="117" t="s">
        <v>419</v>
      </c>
      <c r="N145" s="379">
        <f>'INPUT Energy and Emissions'!E101</f>
        <v>0</v>
      </c>
      <c r="O145" s="379">
        <f>'INPUT Energy and Emissions'!F101</f>
        <v>4.0884341801385684</v>
      </c>
      <c r="P145" s="379">
        <f>'INPUT Energy and Emissions'!G101</f>
        <v>0</v>
      </c>
      <c r="Q145" s="379">
        <f>'INPUT Energy and Emissions'!H101</f>
        <v>0</v>
      </c>
      <c r="R145" s="379">
        <f>'INPUT Energy and Emissions'!I101</f>
        <v>0.70602057094563631</v>
      </c>
      <c r="S145" s="379">
        <f>'INPUT Energy and Emissions'!J101</f>
        <v>0.69427752927902087</v>
      </c>
      <c r="T145" s="379">
        <f>'INPUT Energy and Emissions'!K101</f>
        <v>0</v>
      </c>
      <c r="U145" s="508"/>
    </row>
    <row r="146" spans="3:21" x14ac:dyDescent="0.25">
      <c r="C146" t="s">
        <v>0</v>
      </c>
      <c r="D146" s="507"/>
      <c r="E146" t="s">
        <v>166</v>
      </c>
      <c r="F146" t="s">
        <v>1188</v>
      </c>
      <c r="G146" s="510"/>
      <c r="I146" s="287"/>
      <c r="J146" s="287"/>
      <c r="K146" s="287"/>
      <c r="L146" s="287" t="s">
        <v>168</v>
      </c>
      <c r="M146" s="117" t="s">
        <v>94</v>
      </c>
      <c r="N146" s="379">
        <f>'INPUT Energy and Emissions'!E102</f>
        <v>17.2</v>
      </c>
      <c r="O146" s="379">
        <f>'INPUT Energy and Emissions'!F102</f>
        <v>1.728</v>
      </c>
      <c r="P146" s="379">
        <f>'INPUT Energy and Emissions'!G102</f>
        <v>2.6</v>
      </c>
      <c r="Q146" s="379">
        <f>'INPUT Energy and Emissions'!H102</f>
        <v>0</v>
      </c>
      <c r="R146" s="379">
        <f>'INPUT Energy and Emissions'!I102</f>
        <v>0.21697550364662166</v>
      </c>
      <c r="S146" s="379">
        <f>'INPUT Energy and Emissions'!J102</f>
        <v>0.406700668706789</v>
      </c>
      <c r="T146" s="379">
        <f>'INPUT Energy and Emissions'!K102</f>
        <v>0</v>
      </c>
      <c r="U146" s="507"/>
    </row>
    <row r="147" spans="3:21" x14ac:dyDescent="0.25">
      <c r="D147" s="507"/>
      <c r="F147" t="s">
        <v>38</v>
      </c>
      <c r="G147" s="510"/>
      <c r="I147" s="287"/>
      <c r="J147" s="287"/>
      <c r="K147" s="287"/>
      <c r="L147" s="287" t="s">
        <v>175</v>
      </c>
      <c r="M147" s="5" t="s">
        <v>18</v>
      </c>
      <c r="N147" s="379">
        <f>'INPUT Energy and Emissions'!E103</f>
        <v>20.61</v>
      </c>
      <c r="O147" s="379">
        <f>'INPUT Energy and Emissions'!F103</f>
        <v>20.61</v>
      </c>
      <c r="P147" s="379">
        <f>'INPUT Energy and Emissions'!G103</f>
        <v>0</v>
      </c>
      <c r="Q147" s="379">
        <f>'INPUT Energy and Emissions'!H103</f>
        <v>0</v>
      </c>
      <c r="R147" s="379">
        <f>'INPUT Energy and Emissions'!I103</f>
        <v>0</v>
      </c>
      <c r="S147" s="379">
        <f>'INPUT Energy and Emissions'!J103</f>
        <v>3.4349999999999996</v>
      </c>
      <c r="T147" s="379">
        <f>'INPUT Energy and Emissions'!K103</f>
        <v>0</v>
      </c>
    </row>
    <row r="148" spans="3:21" x14ac:dyDescent="0.25">
      <c r="D148" s="507"/>
      <c r="F148" t="s">
        <v>39</v>
      </c>
      <c r="G148" s="510"/>
      <c r="I148" s="287"/>
      <c r="J148" s="287"/>
      <c r="K148" s="287"/>
    </row>
    <row r="149" spans="3:21" x14ac:dyDescent="0.25">
      <c r="D149" s="507"/>
      <c r="F149" t="s">
        <v>1074</v>
      </c>
      <c r="G149" s="510"/>
      <c r="I149" s="287"/>
      <c r="J149" s="287"/>
      <c r="K149" s="287"/>
    </row>
    <row r="150" spans="3:21" x14ac:dyDescent="0.25">
      <c r="F150" t="s">
        <v>1072</v>
      </c>
      <c r="G150" s="510"/>
      <c r="I150" s="287"/>
      <c r="J150" s="287"/>
      <c r="K150" s="287"/>
      <c r="L150" s="287"/>
      <c r="M150" s="287"/>
      <c r="N150" t="s">
        <v>1223</v>
      </c>
      <c r="O150" s="287"/>
      <c r="P150" t="s">
        <v>1223</v>
      </c>
      <c r="R150" s="287"/>
      <c r="S150" s="287" t="s">
        <v>1221</v>
      </c>
      <c r="T150" t="s">
        <v>1224</v>
      </c>
    </row>
    <row r="151" spans="3:21" x14ac:dyDescent="0.25">
      <c r="F151" s="485" t="s">
        <v>950</v>
      </c>
      <c r="G151" s="510"/>
      <c r="I151" s="287"/>
      <c r="J151" s="287"/>
      <c r="K151" s="287"/>
      <c r="L151" s="571" t="s">
        <v>1129</v>
      </c>
      <c r="M151" s="572"/>
      <c r="N151" s="572"/>
      <c r="O151" s="572"/>
      <c r="P151" s="572"/>
      <c r="Q151" s="572"/>
      <c r="R151" s="572"/>
      <c r="S151" s="572"/>
      <c r="T151" s="572"/>
    </row>
    <row r="152" spans="3:21" x14ac:dyDescent="0.25">
      <c r="F152" s="510"/>
      <c r="G152" s="99" t="s">
        <v>1259</v>
      </c>
      <c r="I152" s="287"/>
      <c r="J152" s="287"/>
      <c r="K152" s="287"/>
      <c r="L152" s="571" t="s">
        <v>1158</v>
      </c>
      <c r="M152" s="571" t="s">
        <v>1109</v>
      </c>
      <c r="N152" s="572" t="s">
        <v>1188</v>
      </c>
      <c r="O152" s="572" t="s">
        <v>38</v>
      </c>
      <c r="P152" s="572" t="s">
        <v>39</v>
      </c>
      <c r="Q152" s="572" t="s">
        <v>1074</v>
      </c>
      <c r="R152" s="572" t="s">
        <v>1072</v>
      </c>
      <c r="S152" s="572" t="s">
        <v>950</v>
      </c>
      <c r="T152" s="572" t="s">
        <v>1085</v>
      </c>
    </row>
    <row r="153" spans="3:21" x14ac:dyDescent="0.25">
      <c r="F153" s="514"/>
      <c r="G153" s="99" t="s">
        <v>1085</v>
      </c>
      <c r="I153" s="287"/>
      <c r="J153" s="287"/>
      <c r="K153" s="287"/>
      <c r="L153" s="287" t="s">
        <v>841</v>
      </c>
      <c r="M153" s="287" t="s">
        <v>166</v>
      </c>
      <c r="N153" s="319">
        <f>IF(INDEX($N$143:$T$147,MATCH($M153,$L$143:$L$147,0),MATCH(N$152,$N$141:$T$141,0))=0,"",INDEX($N$143:$T$147,MATCH($M153,$L$143:$L$147,0),MATCH(N$152,$N$141:$T$141,0)))</f>
        <v>4.3302170790299686</v>
      </c>
      <c r="O153" s="319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19">
        <f t="shared" si="19"/>
        <v>8.8757836125478331</v>
      </c>
      <c r="Q153" s="319">
        <f t="shared" si="19"/>
        <v>0.59433505502672301</v>
      </c>
      <c r="R153" s="319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1119</v>
      </c>
      <c r="E154" t="s">
        <v>171</v>
      </c>
      <c r="F154" t="s">
        <v>1188</v>
      </c>
      <c r="G154" s="510"/>
      <c r="I154" s="287"/>
      <c r="J154" s="287"/>
      <c r="K154" s="287"/>
      <c r="L154" s="287" t="s">
        <v>841</v>
      </c>
      <c r="M154" s="287" t="s">
        <v>168</v>
      </c>
      <c r="N154" s="319">
        <f t="shared" ref="N154:N157" si="20">IF(INDEX($N$143:$T$147,MATCH($M154,$L$143:$L$147,0),MATCH(N$152,$N$141:$T$141,0))=0,"",INDEX($N$143:$T$147,MATCH($M154,$L$143:$L$147,0),MATCH(N$152,$N$141:$T$141,0)))</f>
        <v>17.2</v>
      </c>
      <c r="O154" s="319">
        <f t="shared" si="19"/>
        <v>1.728</v>
      </c>
      <c r="P154" s="319">
        <f t="shared" si="19"/>
        <v>2.6</v>
      </c>
      <c r="Q154" s="319">
        <f t="shared" si="19"/>
        <v>0.21697550364662166</v>
      </c>
      <c r="R154" s="319">
        <f t="shared" si="19"/>
        <v>0.406700668706789</v>
      </c>
      <c r="S154" s="287">
        <v>1.5</v>
      </c>
      <c r="T154" s="323"/>
    </row>
    <row r="155" spans="3:21" x14ac:dyDescent="0.25">
      <c r="F155" t="s">
        <v>38</v>
      </c>
      <c r="G155" s="510"/>
      <c r="I155" s="287"/>
      <c r="J155" s="287"/>
      <c r="K155" s="287"/>
      <c r="L155" s="287" t="s">
        <v>841</v>
      </c>
      <c r="M155" s="287" t="s">
        <v>171</v>
      </c>
      <c r="N155" s="319">
        <f t="shared" si="20"/>
        <v>20.596584135938251</v>
      </c>
      <c r="O155" s="319">
        <f t="shared" si="19"/>
        <v>4.8574938650306745</v>
      </c>
      <c r="P155" s="319" t="str">
        <f t="shared" si="19"/>
        <v/>
      </c>
      <c r="Q155" s="319" t="str">
        <f t="shared" si="19"/>
        <v/>
      </c>
      <c r="R155" s="319">
        <f t="shared" si="19"/>
        <v>3.8314510321037716</v>
      </c>
      <c r="S155" s="287">
        <v>1.5</v>
      </c>
    </row>
    <row r="156" spans="3:21" x14ac:dyDescent="0.25">
      <c r="F156" t="s">
        <v>1072</v>
      </c>
      <c r="G156" s="510"/>
      <c r="I156" s="287"/>
      <c r="J156" s="287"/>
      <c r="K156" s="287"/>
      <c r="L156" s="287" t="s">
        <v>841</v>
      </c>
      <c r="M156" s="287" t="s">
        <v>175</v>
      </c>
      <c r="N156" s="319">
        <f t="shared" si="20"/>
        <v>20.61</v>
      </c>
      <c r="O156" s="319">
        <f t="shared" si="19"/>
        <v>20.61</v>
      </c>
      <c r="P156" s="319" t="str">
        <f t="shared" si="19"/>
        <v/>
      </c>
      <c r="Q156" s="319" t="str">
        <f t="shared" si="19"/>
        <v/>
      </c>
      <c r="R156" s="319">
        <f t="shared" si="19"/>
        <v>3.4349999999999996</v>
      </c>
      <c r="S156" s="287">
        <v>1.5</v>
      </c>
    </row>
    <row r="157" spans="3:21" x14ac:dyDescent="0.25">
      <c r="F157" s="485" t="s">
        <v>950</v>
      </c>
      <c r="G157" s="510"/>
      <c r="I157" s="287"/>
      <c r="J157" s="287"/>
      <c r="K157" s="287"/>
      <c r="L157" s="287" t="s">
        <v>841</v>
      </c>
      <c r="M157" s="287" t="s">
        <v>177</v>
      </c>
      <c r="N157" s="319" t="str">
        <f t="shared" si="20"/>
        <v/>
      </c>
      <c r="O157" s="319">
        <f t="shared" si="19"/>
        <v>4.0884341801385684</v>
      </c>
      <c r="P157" s="319" t="str">
        <f t="shared" si="19"/>
        <v/>
      </c>
      <c r="Q157" s="319">
        <f t="shared" si="19"/>
        <v>0.70602057094563631</v>
      </c>
      <c r="R157" s="319">
        <f t="shared" si="19"/>
        <v>0.69427752927902087</v>
      </c>
      <c r="S157" s="287"/>
    </row>
    <row r="158" spans="3:21" x14ac:dyDescent="0.25">
      <c r="F158" s="510"/>
      <c r="G158" s="99" t="s">
        <v>1259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1118</v>
      </c>
      <c r="D159" s="511"/>
      <c r="E159" t="s">
        <v>168</v>
      </c>
      <c r="F159" t="s">
        <v>1188</v>
      </c>
      <c r="G159" s="510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10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39</v>
      </c>
      <c r="G161" s="510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1074</v>
      </c>
      <c r="G162" s="510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1072</v>
      </c>
      <c r="G163" s="510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85" t="s">
        <v>950</v>
      </c>
      <c r="G164" s="510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10"/>
      <c r="G165" s="99" t="s">
        <v>1259</v>
      </c>
      <c r="I165" s="287"/>
      <c r="J165" s="287"/>
      <c r="K165" s="287"/>
    </row>
    <row r="166" spans="3:19" x14ac:dyDescent="0.25">
      <c r="C166" t="s">
        <v>1117</v>
      </c>
      <c r="D166" s="511"/>
      <c r="E166" t="s">
        <v>175</v>
      </c>
      <c r="F166" t="s">
        <v>1188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1072</v>
      </c>
      <c r="I168" s="287"/>
      <c r="J168" s="287"/>
      <c r="K168" s="287"/>
    </row>
    <row r="169" spans="3:19" x14ac:dyDescent="0.25">
      <c r="F169" s="485" t="s">
        <v>950</v>
      </c>
      <c r="I169" s="287"/>
      <c r="J169" s="287"/>
      <c r="K169" s="287"/>
    </row>
    <row r="170" spans="3:19" x14ac:dyDescent="0.25">
      <c r="G170" s="99" t="s">
        <v>1259</v>
      </c>
      <c r="I170" s="287"/>
      <c r="J170" s="287"/>
      <c r="K170" s="287"/>
    </row>
    <row r="171" spans="3:19" x14ac:dyDescent="0.25">
      <c r="C171" t="s">
        <v>1116</v>
      </c>
      <c r="E171" t="s">
        <v>177</v>
      </c>
      <c r="F171" t="s">
        <v>38</v>
      </c>
      <c r="I171" s="287"/>
      <c r="J171" s="287"/>
      <c r="K171" s="287"/>
    </row>
    <row r="172" spans="3:19" x14ac:dyDescent="0.25">
      <c r="F172" t="s">
        <v>1074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07"/>
      <c r="F173" t="s">
        <v>1072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1259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24" t="s">
        <v>1154</v>
      </c>
      <c r="I178" s="18"/>
      <c r="J178" s="18"/>
      <c r="K178" s="18"/>
      <c r="N178" t="s">
        <v>1223</v>
      </c>
      <c r="P178" t="s">
        <v>1223</v>
      </c>
      <c r="S178" t="s">
        <v>1221</v>
      </c>
      <c r="T178" t="s">
        <v>1223</v>
      </c>
      <c r="U178" t="s">
        <v>1224</v>
      </c>
    </row>
    <row r="179" spans="2:27" x14ac:dyDescent="0.25">
      <c r="E179" s="553" t="s">
        <v>1129</v>
      </c>
      <c r="F179" s="563"/>
      <c r="G179" s="549"/>
      <c r="I179" s="18"/>
      <c r="J179" s="18"/>
      <c r="K179" s="18"/>
      <c r="L179" s="571" t="s">
        <v>1129</v>
      </c>
      <c r="M179" s="572"/>
      <c r="N179" s="572"/>
      <c r="O179" s="572"/>
      <c r="P179" s="572"/>
      <c r="Q179" s="572"/>
      <c r="R179" s="572"/>
      <c r="S179" s="572"/>
      <c r="T179" s="547"/>
      <c r="U179" s="572"/>
      <c r="X179" s="18" t="s">
        <v>1220</v>
      </c>
    </row>
    <row r="180" spans="2:27" x14ac:dyDescent="0.25">
      <c r="E180" s="553" t="s">
        <v>1109</v>
      </c>
      <c r="F180" s="553" t="s">
        <v>1130</v>
      </c>
      <c r="G180" s="553" t="s">
        <v>1131</v>
      </c>
      <c r="I180" s="18"/>
      <c r="J180" s="18"/>
      <c r="K180" s="18"/>
      <c r="L180" s="571" t="s">
        <v>1158</v>
      </c>
      <c r="M180" s="571" t="s">
        <v>1109</v>
      </c>
      <c r="N180" s="572" t="s">
        <v>1188</v>
      </c>
      <c r="O180" s="572" t="s">
        <v>38</v>
      </c>
      <c r="P180" s="572" t="s">
        <v>39</v>
      </c>
      <c r="Q180" s="572" t="s">
        <v>1074</v>
      </c>
      <c r="R180" s="572" t="s">
        <v>1072</v>
      </c>
      <c r="S180" s="572" t="s">
        <v>950</v>
      </c>
      <c r="T180" s="547" t="s">
        <v>1222</v>
      </c>
      <c r="U180" s="572" t="s">
        <v>1085</v>
      </c>
    </row>
    <row r="181" spans="2:27" x14ac:dyDescent="0.25">
      <c r="E181" t="s">
        <v>490</v>
      </c>
      <c r="F181" t="s">
        <v>1188</v>
      </c>
      <c r="G181" s="510"/>
      <c r="I181" s="18"/>
      <c r="J181" s="18"/>
      <c r="K181" s="18"/>
      <c r="L181" s="287" t="s">
        <v>841</v>
      </c>
      <c r="M181" s="287" t="str">
        <f>E181</f>
        <v>IISBFBOF-N</v>
      </c>
      <c r="N181" s="319">
        <f>N153</f>
        <v>4.3302170790299686</v>
      </c>
      <c r="O181" s="319">
        <f t="shared" ref="O181:R181" si="21">O153</f>
        <v>2.0996782148442206</v>
      </c>
      <c r="P181" s="319">
        <f t="shared" si="21"/>
        <v>8.8757836125478331</v>
      </c>
      <c r="Q181" s="319">
        <f t="shared" si="21"/>
        <v>0.59433505502672301</v>
      </c>
      <c r="R181" s="319">
        <f t="shared" si="21"/>
        <v>3.8314510321037716</v>
      </c>
      <c r="S181">
        <v>1.5</v>
      </c>
      <c r="U181">
        <v>0.3</v>
      </c>
      <c r="X181" t="s">
        <v>1217</v>
      </c>
    </row>
    <row r="182" spans="2:27" x14ac:dyDescent="0.25">
      <c r="F182" t="s">
        <v>38</v>
      </c>
      <c r="G182" s="510"/>
      <c r="I182" s="18"/>
      <c r="J182" s="18"/>
      <c r="K182" s="18"/>
      <c r="L182" s="287" t="s">
        <v>841</v>
      </c>
      <c r="M182" t="str">
        <f>E189</f>
        <v>IISDRIEAF-NG</v>
      </c>
      <c r="N182" s="507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39</v>
      </c>
      <c r="G183" s="510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24" t="str">
        <f>N157</f>
        <v/>
      </c>
      <c r="O183" s="524">
        <f t="shared" ref="O183:R183" si="22">O157</f>
        <v>4.0884341801385684</v>
      </c>
      <c r="P183" s="524" t="str">
        <f t="shared" si="22"/>
        <v/>
      </c>
      <c r="Q183" s="524">
        <f t="shared" si="22"/>
        <v>0.70602057094563631</v>
      </c>
      <c r="R183" s="524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1074</v>
      </c>
      <c r="G184" s="510"/>
      <c r="I184" s="18"/>
      <c r="J184" s="18"/>
      <c r="K184" s="18"/>
      <c r="N184" s="507"/>
      <c r="X184" t="s">
        <v>1218</v>
      </c>
      <c r="Y184">
        <v>0.61</v>
      </c>
      <c r="AA184">
        <f>Y184*$Y$182</f>
        <v>14.291323999999999</v>
      </c>
    </row>
    <row r="185" spans="2:27" x14ac:dyDescent="0.25">
      <c r="F185" t="s">
        <v>1072</v>
      </c>
      <c r="G185" s="510"/>
      <c r="I185" s="18"/>
      <c r="J185" s="18"/>
      <c r="K185" s="18"/>
      <c r="N185" s="511"/>
      <c r="X185" t="s">
        <v>1219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10"/>
      <c r="I186" s="18"/>
      <c r="J186" s="18"/>
      <c r="K186" s="18"/>
      <c r="N186" s="511"/>
    </row>
    <row r="187" spans="2:27" x14ac:dyDescent="0.25">
      <c r="F187" s="510"/>
      <c r="G187" s="99" t="s">
        <v>1259</v>
      </c>
      <c r="I187" s="18"/>
      <c r="J187" s="18"/>
      <c r="K187" s="18"/>
      <c r="N187" s="507"/>
    </row>
    <row r="188" spans="2:27" x14ac:dyDescent="0.25">
      <c r="F188" s="514"/>
      <c r="G188" s="99" t="s">
        <v>1085</v>
      </c>
      <c r="I188" s="18"/>
      <c r="J188" s="18"/>
      <c r="K188" s="18"/>
    </row>
    <row r="189" spans="2:27" x14ac:dyDescent="0.25">
      <c r="E189" t="s">
        <v>492</v>
      </c>
      <c r="F189" t="s">
        <v>38</v>
      </c>
      <c r="G189" s="510"/>
      <c r="I189" s="18"/>
      <c r="J189" s="18"/>
      <c r="K189" s="18"/>
      <c r="N189" s="507"/>
    </row>
    <row r="190" spans="2:27" x14ac:dyDescent="0.25">
      <c r="F190" t="s">
        <v>1222</v>
      </c>
      <c r="G190" s="510"/>
      <c r="I190" s="18"/>
      <c r="J190" s="18"/>
      <c r="K190" s="18"/>
      <c r="N190" s="507"/>
    </row>
    <row r="191" spans="2:27" x14ac:dyDescent="0.25">
      <c r="F191" t="s">
        <v>1074</v>
      </c>
      <c r="G191" s="510"/>
      <c r="I191" s="18"/>
      <c r="J191" s="18"/>
      <c r="K191" s="18"/>
    </row>
    <row r="192" spans="2:27" x14ac:dyDescent="0.25">
      <c r="F192" t="str">
        <f>F186</f>
        <v>IISFEORE</v>
      </c>
      <c r="G192" s="510"/>
      <c r="I192" s="18"/>
      <c r="J192" s="18"/>
      <c r="K192" s="18"/>
    </row>
    <row r="193" spans="1:26" x14ac:dyDescent="0.25">
      <c r="F193" s="510"/>
      <c r="G193" s="99" t="s">
        <v>1259</v>
      </c>
      <c r="I193" s="18"/>
      <c r="J193" s="18"/>
      <c r="K193" s="18"/>
    </row>
    <row r="194" spans="1:26" x14ac:dyDescent="0.25">
      <c r="E194" s="99" t="s">
        <v>493</v>
      </c>
      <c r="F194" t="s">
        <v>38</v>
      </c>
      <c r="I194" s="18"/>
      <c r="J194" s="18"/>
      <c r="K194" s="18"/>
    </row>
    <row r="195" spans="1:26" x14ac:dyDescent="0.25">
      <c r="F195" t="s">
        <v>1074</v>
      </c>
      <c r="I195" s="18"/>
      <c r="J195" s="18"/>
      <c r="K195" s="18"/>
    </row>
    <row r="196" spans="1:26" x14ac:dyDescent="0.25">
      <c r="F196" t="s">
        <v>1072</v>
      </c>
      <c r="I196" s="18"/>
      <c r="J196" s="18"/>
      <c r="K196" s="18"/>
    </row>
    <row r="197" spans="1:26" x14ac:dyDescent="0.25">
      <c r="G197" s="99" t="s">
        <v>1259</v>
      </c>
      <c r="I197" s="18"/>
      <c r="J197" s="18"/>
      <c r="K197" s="18"/>
    </row>
    <row r="198" spans="1:26" x14ac:dyDescent="0.25">
      <c r="G198" s="510"/>
      <c r="I198" s="18"/>
      <c r="J198" s="18"/>
      <c r="K198" s="18"/>
    </row>
    <row r="199" spans="1:26" x14ac:dyDescent="0.25">
      <c r="F199" s="510"/>
      <c r="G199" s="99"/>
      <c r="I199" s="18"/>
      <c r="J199" s="18"/>
      <c r="K199" s="18"/>
    </row>
    <row r="200" spans="1:26" x14ac:dyDescent="0.25">
      <c r="I200" s="18"/>
      <c r="J200" s="18"/>
      <c r="K200" s="18"/>
    </row>
    <row r="201" spans="1:26" x14ac:dyDescent="0.25">
      <c r="I201" s="18"/>
      <c r="J201" s="18"/>
      <c r="K201" s="18"/>
    </row>
    <row r="202" spans="1:26" x14ac:dyDescent="0.25">
      <c r="I202" s="18"/>
      <c r="J202" s="18"/>
      <c r="K202" s="18"/>
    </row>
    <row r="203" spans="1:26" ht="23.25" x14ac:dyDescent="0.35">
      <c r="A203" s="554" t="s">
        <v>351</v>
      </c>
    </row>
    <row r="206" spans="1:26" x14ac:dyDescent="0.25">
      <c r="K206" s="14"/>
      <c r="L206" s="305" t="s">
        <v>1254</v>
      </c>
      <c r="M206" s="15"/>
      <c r="N206" s="15"/>
      <c r="O206" s="15"/>
      <c r="P206" s="15"/>
      <c r="Q206" s="15"/>
      <c r="R206" s="15"/>
      <c r="S206" s="3"/>
      <c r="U206" s="14" t="s">
        <v>592</v>
      </c>
      <c r="V206" s="15"/>
      <c r="W206" s="15"/>
      <c r="X206" s="15"/>
      <c r="Y206" s="15"/>
      <c r="Z206" s="3"/>
    </row>
    <row r="207" spans="1:26" x14ac:dyDescent="0.25">
      <c r="B207" s="18" t="s">
        <v>489</v>
      </c>
      <c r="K207" s="4"/>
      <c r="L207" t="s">
        <v>1255</v>
      </c>
      <c r="S207" s="5"/>
      <c r="U207" s="333" t="s">
        <v>363</v>
      </c>
      <c r="V207" s="15"/>
      <c r="W207" s="15"/>
      <c r="X207" s="3"/>
      <c r="Z207" s="5"/>
    </row>
    <row r="208" spans="1:26" x14ac:dyDescent="0.25">
      <c r="D208" t="s">
        <v>487</v>
      </c>
      <c r="K208" s="4"/>
      <c r="L208">
        <v>1.46</v>
      </c>
      <c r="M208" t="s">
        <v>1246</v>
      </c>
      <c r="S208" s="5"/>
      <c r="U208" s="4"/>
      <c r="V208" t="s">
        <v>352</v>
      </c>
      <c r="X208" s="5"/>
      <c r="Z208" s="5"/>
    </row>
    <row r="209" spans="2:26" x14ac:dyDescent="0.25">
      <c r="B209" t="s">
        <v>7</v>
      </c>
      <c r="C209" t="s">
        <v>166</v>
      </c>
      <c r="D209">
        <f>L208</f>
        <v>1.46</v>
      </c>
      <c r="K209" s="4"/>
      <c r="L209">
        <v>0.08</v>
      </c>
      <c r="M209" t="s">
        <v>1247</v>
      </c>
      <c r="S209" s="5"/>
      <c r="U209" s="4" t="s">
        <v>24</v>
      </c>
      <c r="V209" s="1">
        <v>7251928</v>
      </c>
      <c r="W209" t="s">
        <v>591</v>
      </c>
      <c r="X209" s="5" t="s">
        <v>593</v>
      </c>
      <c r="Z209" s="5"/>
    </row>
    <row r="210" spans="2:26" x14ac:dyDescent="0.25">
      <c r="B210" t="s">
        <v>169</v>
      </c>
      <c r="C210" t="s">
        <v>168</v>
      </c>
      <c r="D210" s="268">
        <f>L224+L223</f>
        <v>1.7495714285714286</v>
      </c>
      <c r="F210" t="s">
        <v>1257</v>
      </c>
      <c r="K210" s="4"/>
      <c r="M210" t="s">
        <v>1248</v>
      </c>
      <c r="S210" s="5"/>
      <c r="U210" s="4" t="s">
        <v>1</v>
      </c>
      <c r="V210" s="1">
        <v>0</v>
      </c>
      <c r="W210" t="s">
        <v>591</v>
      </c>
      <c r="X210" s="5" t="s">
        <v>593</v>
      </c>
      <c r="Z210" s="5"/>
    </row>
    <row r="211" spans="2:26" x14ac:dyDescent="0.25">
      <c r="B211" t="s">
        <v>9</v>
      </c>
      <c r="C211" t="s">
        <v>171</v>
      </c>
      <c r="D211" s="268">
        <f>L209+L212</f>
        <v>0.77999999999999992</v>
      </c>
      <c r="F211" t="s">
        <v>1258</v>
      </c>
      <c r="K211" s="4"/>
      <c r="L211">
        <v>1.35</v>
      </c>
      <c r="M211" t="s">
        <v>1249</v>
      </c>
      <c r="S211" s="5"/>
      <c r="U211" s="4" t="s">
        <v>356</v>
      </c>
      <c r="V211" s="1">
        <v>812005</v>
      </c>
      <c r="W211" t="s">
        <v>591</v>
      </c>
      <c r="X211" s="5" t="s">
        <v>593</v>
      </c>
      <c r="Z211" s="5"/>
    </row>
    <row r="212" spans="2:26" x14ac:dyDescent="0.25">
      <c r="B212" t="s">
        <v>10</v>
      </c>
      <c r="C212" t="s">
        <v>175</v>
      </c>
      <c r="D212">
        <f>L208+L209</f>
        <v>1.54</v>
      </c>
      <c r="K212" s="4"/>
      <c r="L212">
        <v>0.7</v>
      </c>
      <c r="M212" t="s">
        <v>1250</v>
      </c>
      <c r="S212" s="5"/>
      <c r="U212" s="4" t="s">
        <v>20</v>
      </c>
      <c r="V212" s="1">
        <v>586261</v>
      </c>
      <c r="W212" t="s">
        <v>591</v>
      </c>
      <c r="X212" s="5" t="s">
        <v>593</v>
      </c>
      <c r="Z212" s="5"/>
    </row>
    <row r="213" spans="2:26" x14ac:dyDescent="0.25">
      <c r="B213" t="s">
        <v>8</v>
      </c>
      <c r="C213" t="s">
        <v>177</v>
      </c>
      <c r="D213">
        <f>L209</f>
        <v>0.08</v>
      </c>
      <c r="K213" s="4"/>
      <c r="L213">
        <v>0.2</v>
      </c>
      <c r="M213" t="s">
        <v>1251</v>
      </c>
      <c r="S213" s="5"/>
      <c r="U213" s="4"/>
      <c r="V213" s="19">
        <f>SUM(V209:V212)</f>
        <v>8650194</v>
      </c>
      <c r="X213" s="5"/>
      <c r="Z213" s="5"/>
    </row>
    <row r="214" spans="2:26" x14ac:dyDescent="0.25">
      <c r="K214" s="4"/>
      <c r="M214" t="s">
        <v>1252</v>
      </c>
      <c r="S214" s="5"/>
      <c r="U214" s="7"/>
      <c r="V214" s="8"/>
      <c r="W214" s="8"/>
      <c r="X214" s="9"/>
      <c r="Z214" s="5"/>
    </row>
    <row r="215" spans="2:26" x14ac:dyDescent="0.25">
      <c r="B215" s="16" t="s">
        <v>1214</v>
      </c>
      <c r="K215" s="4"/>
      <c r="L215">
        <v>1.06</v>
      </c>
      <c r="M215" t="s">
        <v>1253</v>
      </c>
      <c r="S215" s="5"/>
      <c r="U215" s="4"/>
      <c r="Z215" s="5"/>
    </row>
    <row r="216" spans="2:26" x14ac:dyDescent="0.25">
      <c r="K216" s="4"/>
      <c r="S216" s="5"/>
      <c r="U216" s="4"/>
      <c r="Z216" s="5"/>
    </row>
    <row r="217" spans="2:26" x14ac:dyDescent="0.25">
      <c r="B217" s="553" t="s">
        <v>1129</v>
      </c>
      <c r="C217" s="562"/>
      <c r="K217" s="7"/>
      <c r="L217" s="8"/>
      <c r="M217" s="8"/>
      <c r="N217" s="8"/>
      <c r="O217" s="8"/>
      <c r="P217" s="8"/>
      <c r="Q217" s="8"/>
      <c r="R217" s="8"/>
      <c r="S217" s="9"/>
      <c r="U217" s="4"/>
      <c r="Z217" s="5"/>
    </row>
    <row r="218" spans="2:26" x14ac:dyDescent="0.25">
      <c r="B218" s="562" t="s">
        <v>1109</v>
      </c>
      <c r="C218" s="562" t="str">
        <f>"ENV_ACT~"&amp;E218</f>
        <v>ENV_ACT~CO2SPIIS</v>
      </c>
      <c r="E218" t="s">
        <v>1266</v>
      </c>
      <c r="U218" s="4"/>
      <c r="V218" t="s">
        <v>362</v>
      </c>
      <c r="Z218" s="5"/>
    </row>
    <row r="219" spans="2:26" x14ac:dyDescent="0.25">
      <c r="B219" t="s">
        <v>166</v>
      </c>
      <c r="C219">
        <f>D209*1000</f>
        <v>1460</v>
      </c>
      <c r="U219" s="4" t="s">
        <v>7</v>
      </c>
      <c r="V219">
        <v>2.81</v>
      </c>
      <c r="Z219" s="5"/>
    </row>
    <row r="220" spans="2:26" x14ac:dyDescent="0.25">
      <c r="B220" t="s">
        <v>490</v>
      </c>
      <c r="C220">
        <f>C219</f>
        <v>1460</v>
      </c>
      <c r="U220" s="4" t="s">
        <v>9</v>
      </c>
      <c r="V220">
        <v>1.605</v>
      </c>
      <c r="Z220" s="5"/>
    </row>
    <row r="221" spans="2:26" x14ac:dyDescent="0.25">
      <c r="B221" t="s">
        <v>168</v>
      </c>
      <c r="C221" s="418">
        <f>D210*1000</f>
        <v>1749.5714285714284</v>
      </c>
      <c r="L221" s="18" t="s">
        <v>1256</v>
      </c>
      <c r="U221" s="4" t="s">
        <v>8</v>
      </c>
      <c r="V221">
        <v>0.08</v>
      </c>
      <c r="Z221" s="5"/>
    </row>
    <row r="222" spans="2:26" x14ac:dyDescent="0.25">
      <c r="B222" t="s">
        <v>171</v>
      </c>
      <c r="C222" s="418">
        <f>D211*1000</f>
        <v>779.99999999999989</v>
      </c>
      <c r="L222" t="s">
        <v>487</v>
      </c>
      <c r="U222" s="4" t="s">
        <v>169</v>
      </c>
      <c r="V222">
        <v>2.1267142857142858</v>
      </c>
      <c r="Z222" s="5"/>
    </row>
    <row r="223" spans="2:26" x14ac:dyDescent="0.25">
      <c r="B223" t="s">
        <v>491</v>
      </c>
      <c r="C223" s="418">
        <f>C222</f>
        <v>779.99999999999989</v>
      </c>
      <c r="L223">
        <f>L208*0.5+L209*0.5</f>
        <v>0.77</v>
      </c>
      <c r="M223" t="s">
        <v>361</v>
      </c>
      <c r="U223" s="4" t="s">
        <v>10</v>
      </c>
      <c r="V223">
        <v>1.54</v>
      </c>
      <c r="W223" t="s">
        <v>486</v>
      </c>
      <c r="Z223" s="5"/>
    </row>
    <row r="224" spans="2:26" x14ac:dyDescent="0.25">
      <c r="B224" t="s">
        <v>492</v>
      </c>
      <c r="C224" s="418">
        <f>C223</f>
        <v>779.99999999999989</v>
      </c>
      <c r="L224" s="268">
        <f>L228*L211*'AMSA - Saldanha'!I54+L212*'AMSA - Saldanha'!I55</f>
        <v>0.97957142857142854</v>
      </c>
      <c r="M224" t="s">
        <v>360</v>
      </c>
      <c r="U224" s="4"/>
      <c r="Z224" s="5"/>
    </row>
    <row r="225" spans="2:26" x14ac:dyDescent="0.25">
      <c r="B225" t="s">
        <v>175</v>
      </c>
      <c r="C225">
        <f>D212*1000</f>
        <v>1540</v>
      </c>
      <c r="L225">
        <f>SUM(L223:L224)</f>
        <v>1.7495714285714286</v>
      </c>
      <c r="M225" t="s">
        <v>460</v>
      </c>
      <c r="U225" s="7"/>
      <c r="V225" s="8"/>
      <c r="W225" s="8"/>
      <c r="X225" s="8"/>
      <c r="Y225" s="8"/>
      <c r="Z225" s="9"/>
    </row>
    <row r="226" spans="2:26" x14ac:dyDescent="0.25">
      <c r="B226" t="s">
        <v>177</v>
      </c>
      <c r="C226">
        <f>D213*1000</f>
        <v>80</v>
      </c>
      <c r="L226" t="s">
        <v>365</v>
      </c>
    </row>
    <row r="227" spans="2:26" x14ac:dyDescent="0.25">
      <c r="B227" t="s">
        <v>493</v>
      </c>
      <c r="C227">
        <f>C226</f>
        <v>80</v>
      </c>
      <c r="L227" s="285">
        <v>0.1</v>
      </c>
      <c r="M227" t="s">
        <v>488</v>
      </c>
    </row>
    <row r="228" spans="2:26" x14ac:dyDescent="0.25">
      <c r="L228" s="285">
        <f>1-L227</f>
        <v>0.9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L339"/>
  <sheetViews>
    <sheetView topLeftCell="F83" zoomScaleNormal="100" workbookViewId="0">
      <selection activeCell="AL78" sqref="AL78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156</v>
      </c>
      <c r="D5" s="94" t="s">
        <v>346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181</v>
      </c>
      <c r="I7" s="13"/>
      <c r="J7" s="13"/>
      <c r="K7" s="13"/>
      <c r="L7" s="13"/>
      <c r="M7" s="255" t="s">
        <v>182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158</v>
      </c>
      <c r="C8" s="105" t="s">
        <v>159</v>
      </c>
      <c r="D8" s="105" t="s">
        <v>160</v>
      </c>
      <c r="E8" s="105" t="s">
        <v>161</v>
      </c>
      <c r="F8" s="105" t="s">
        <v>188</v>
      </c>
      <c r="I8" s="13"/>
      <c r="M8" s="256" t="s">
        <v>162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163</v>
      </c>
      <c r="C9" s="106"/>
      <c r="D9" s="106"/>
      <c r="E9" s="106"/>
      <c r="G9" s="602" t="s">
        <v>557</v>
      </c>
      <c r="H9" s="602"/>
      <c r="I9" s="602"/>
      <c r="J9" s="602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164</v>
      </c>
      <c r="C10" s="100" t="s">
        <v>165</v>
      </c>
      <c r="D10" s="100" t="s">
        <v>16</v>
      </c>
      <c r="E10" s="100" t="s">
        <v>24</v>
      </c>
      <c r="F10" t="s">
        <v>7</v>
      </c>
      <c r="G10" s="342" t="s">
        <v>456</v>
      </c>
      <c r="H10" s="393">
        <f>(110+150)*12/1000</f>
        <v>3.12</v>
      </c>
      <c r="I10" s="396" t="s">
        <v>457</v>
      </c>
      <c r="J10" s="395">
        <f>250*12/1000</f>
        <v>3</v>
      </c>
      <c r="K10" s="13" t="s">
        <v>476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164</v>
      </c>
      <c r="C11" s="100" t="s">
        <v>165</v>
      </c>
      <c r="D11" s="100" t="s">
        <v>167</v>
      </c>
      <c r="E11" s="100" t="s">
        <v>1</v>
      </c>
      <c r="F11" t="s">
        <v>9</v>
      </c>
      <c r="G11" s="343" t="s">
        <v>480</v>
      </c>
      <c r="H11" s="394">
        <f>(87.5+29.2)*12/1000</f>
        <v>1.4004000000000001</v>
      </c>
      <c r="I11" s="396" t="s">
        <v>458</v>
      </c>
      <c r="J11" s="393">
        <f>120*12/1000</f>
        <v>1.44</v>
      </c>
      <c r="K11" s="13" t="s">
        <v>476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164</v>
      </c>
      <c r="C12" s="100" t="s">
        <v>170</v>
      </c>
      <c r="D12" s="100" t="s">
        <v>16</v>
      </c>
      <c r="E12" s="100" t="s">
        <v>24</v>
      </c>
      <c r="F12" t="s">
        <v>7</v>
      </c>
      <c r="G12" s="342" t="s">
        <v>459</v>
      </c>
      <c r="I12" s="342" t="s">
        <v>457</v>
      </c>
      <c r="K12" s="13" t="s">
        <v>475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164</v>
      </c>
      <c r="C13" s="100" t="s">
        <v>173</v>
      </c>
      <c r="D13" s="100" t="s">
        <v>174</v>
      </c>
      <c r="E13" s="100" t="s">
        <v>1</v>
      </c>
      <c r="F13" t="s">
        <v>8</v>
      </c>
      <c r="K13" s="13" t="s">
        <v>475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712</v>
      </c>
      <c r="X13" s="13"/>
      <c r="Y13" s="13"/>
      <c r="Z13" s="13"/>
      <c r="AD13" s="13"/>
    </row>
    <row r="14" spans="1:30" x14ac:dyDescent="0.25">
      <c r="B14" s="109" t="s">
        <v>164</v>
      </c>
      <c r="C14" s="100" t="s">
        <v>176</v>
      </c>
      <c r="D14" s="100" t="s">
        <v>92</v>
      </c>
      <c r="E14" s="100" t="s">
        <v>94</v>
      </c>
      <c r="F14" s="116" t="s">
        <v>169</v>
      </c>
      <c r="K14" s="13" t="s">
        <v>476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164</v>
      </c>
      <c r="C15" s="100" t="s">
        <v>176</v>
      </c>
      <c r="D15" s="100" t="s">
        <v>167</v>
      </c>
      <c r="E15" s="101" t="s">
        <v>94</v>
      </c>
      <c r="F15" s="116" t="s">
        <v>169</v>
      </c>
      <c r="K15" s="13" t="s">
        <v>476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178</v>
      </c>
      <c r="C16" s="100" t="s">
        <v>179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26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554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180</v>
      </c>
      <c r="C17" s="100"/>
      <c r="D17" s="100" t="s">
        <v>174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26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1207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1122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55" t="s">
        <v>1108</v>
      </c>
      <c r="D26" s="556"/>
      <c r="E26" s="556"/>
      <c r="F26" s="556"/>
      <c r="G26" s="556"/>
      <c r="H26" s="556"/>
      <c r="I26" s="556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57" t="s">
        <v>1109</v>
      </c>
      <c r="D27" s="557" t="s">
        <v>1110</v>
      </c>
      <c r="E27" s="557" t="s">
        <v>1111</v>
      </c>
      <c r="F27" s="557" t="s">
        <v>1112</v>
      </c>
      <c r="G27" s="557" t="s">
        <v>1113</v>
      </c>
      <c r="H27" s="557" t="s">
        <v>1114</v>
      </c>
      <c r="I27" s="557" t="s">
        <v>1115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166</v>
      </c>
      <c r="D28" t="str">
        <f>"Industry - I&amp;S - "&amp;J28&amp;"-Existing"</f>
        <v>Industry - I&amp;S - BFBOF-Existing</v>
      </c>
      <c r="E28" t="s">
        <v>139</v>
      </c>
      <c r="F28" t="s">
        <v>1120</v>
      </c>
      <c r="G28" t="s">
        <v>954</v>
      </c>
      <c r="H28" t="s">
        <v>1121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171</v>
      </c>
      <c r="D29" t="str">
        <f t="shared" ref="D29:D32" si="4">"Industry - I&amp;S - "&amp;J29&amp;"-Existing"</f>
        <v>Industry - I&amp;S - DRIEAF-Existing</v>
      </c>
      <c r="E29" t="s">
        <v>139</v>
      </c>
      <c r="F29" t="s">
        <v>1120</v>
      </c>
      <c r="G29" t="s">
        <v>954</v>
      </c>
      <c r="H29" t="s">
        <v>1121</v>
      </c>
      <c r="J29" t="s">
        <v>1119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168</v>
      </c>
      <c r="D30" t="str">
        <f t="shared" si="4"/>
        <v>Industry - I&amp;S - Corex EAF-Existing</v>
      </c>
      <c r="E30" t="s">
        <v>139</v>
      </c>
      <c r="F30" t="s">
        <v>1120</v>
      </c>
      <c r="G30" t="s">
        <v>954</v>
      </c>
      <c r="H30" t="s">
        <v>1121</v>
      </c>
      <c r="J30" t="s">
        <v>1118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175</v>
      </c>
      <c r="D31" t="str">
        <f t="shared" si="4"/>
        <v>Industry - I&amp;S - Other EAF-Existing</v>
      </c>
      <c r="E31" t="s">
        <v>139</v>
      </c>
      <c r="F31" t="s">
        <v>1120</v>
      </c>
      <c r="G31" t="s">
        <v>954</v>
      </c>
      <c r="H31" t="s">
        <v>1121</v>
      </c>
      <c r="J31" t="s">
        <v>1117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177</v>
      </c>
      <c r="D32" t="str">
        <f t="shared" si="4"/>
        <v>Industry - I&amp;S - Scrap EAF-Existing</v>
      </c>
      <c r="E32" t="s">
        <v>139</v>
      </c>
      <c r="F32" t="s">
        <v>1120</v>
      </c>
      <c r="G32" t="s">
        <v>954</v>
      </c>
      <c r="H32" t="s">
        <v>1121</v>
      </c>
      <c r="J32" t="s">
        <v>1116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1071</v>
      </c>
      <c r="D33" s="99" t="s">
        <v>1127</v>
      </c>
      <c r="E33" t="s">
        <v>139</v>
      </c>
      <c r="F33" t="s">
        <v>1120</v>
      </c>
      <c r="G33" t="s">
        <v>954</v>
      </c>
      <c r="H33" t="s">
        <v>1121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1123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55" t="s">
        <v>1108</v>
      </c>
      <c r="D39" s="556"/>
      <c r="E39" s="556"/>
      <c r="F39" s="556"/>
      <c r="G39" s="556"/>
      <c r="H39" s="556"/>
      <c r="I39" s="556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57" t="s">
        <v>1109</v>
      </c>
      <c r="D40" s="557" t="s">
        <v>1110</v>
      </c>
      <c r="E40" s="557" t="s">
        <v>1111</v>
      </c>
      <c r="F40" s="557" t="s">
        <v>1112</v>
      </c>
      <c r="G40" s="557" t="s">
        <v>1113</v>
      </c>
      <c r="H40" s="557" t="s">
        <v>1114</v>
      </c>
      <c r="I40" s="557" t="s">
        <v>1115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490</v>
      </c>
      <c r="D41" s="99" t="s">
        <v>1206</v>
      </c>
      <c r="E41" t="s">
        <v>139</v>
      </c>
      <c r="F41" t="s">
        <v>1120</v>
      </c>
      <c r="G41" t="s">
        <v>954</v>
      </c>
      <c r="H41" t="s">
        <v>1121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1155</v>
      </c>
      <c r="D42" s="99" t="s">
        <v>1124</v>
      </c>
      <c r="E42" t="s">
        <v>139</v>
      </c>
      <c r="F42" t="s">
        <v>1120</v>
      </c>
      <c r="G42" t="s">
        <v>954</v>
      </c>
      <c r="H42" t="s">
        <v>1121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492</v>
      </c>
      <c r="D43" s="99" t="s">
        <v>1125</v>
      </c>
      <c r="E43" t="s">
        <v>139</v>
      </c>
      <c r="F43" t="s">
        <v>1120</v>
      </c>
      <c r="G43" t="s">
        <v>954</v>
      </c>
      <c r="H43" t="s">
        <v>1121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493</v>
      </c>
      <c r="D44" s="99" t="s">
        <v>1126</v>
      </c>
      <c r="E44" t="s">
        <v>139</v>
      </c>
      <c r="F44" t="s">
        <v>1120</v>
      </c>
      <c r="G44" t="s">
        <v>954</v>
      </c>
      <c r="H44" t="s">
        <v>1121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55" t="s">
        <v>1129</v>
      </c>
      <c r="D47" s="557"/>
      <c r="E47" s="557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57" t="s">
        <v>1109</v>
      </c>
      <c r="D48" s="557" t="s">
        <v>1242</v>
      </c>
      <c r="E48" s="557" t="s">
        <v>956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1128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183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185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22"/>
      <c r="Y63" s="422">
        <v>2012</v>
      </c>
      <c r="Z63" s="422">
        <v>2013</v>
      </c>
      <c r="AA63" s="422">
        <v>2014</v>
      </c>
      <c r="AB63" s="422">
        <v>2015</v>
      </c>
      <c r="AC63" s="422">
        <v>2016</v>
      </c>
      <c r="AD63" s="42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22" t="s">
        <v>7</v>
      </c>
      <c r="Y64" s="422">
        <v>4.9000000000000004</v>
      </c>
      <c r="Z64" s="422">
        <v>4.9000000000000004</v>
      </c>
      <c r="AA64" s="422">
        <v>4.9000000000000004</v>
      </c>
      <c r="AB64" s="422">
        <v>4.9000000000000004</v>
      </c>
      <c r="AC64" s="422">
        <v>4.9000000000000004</v>
      </c>
      <c r="AD64" s="42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8" x14ac:dyDescent="0.25">
      <c r="B65" s="127" t="s">
        <v>169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22" t="s">
        <v>169</v>
      </c>
      <c r="Y65" s="422">
        <v>1.2400000000000002</v>
      </c>
      <c r="Z65" s="422">
        <v>1.2400000000000002</v>
      </c>
      <c r="AA65" s="422">
        <v>1.2400000000000002</v>
      </c>
      <c r="AB65" s="422">
        <v>1.2400000000000002</v>
      </c>
      <c r="AC65" s="422">
        <v>1.2400000000000002</v>
      </c>
      <c r="AD65" s="42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8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22" t="s">
        <v>9</v>
      </c>
      <c r="Y66" s="422">
        <v>1.44</v>
      </c>
      <c r="Z66" s="422">
        <v>1.44</v>
      </c>
      <c r="AA66" s="422">
        <v>1.44</v>
      </c>
      <c r="AB66" s="422">
        <v>1.44</v>
      </c>
      <c r="AC66" s="422">
        <v>1.44</v>
      </c>
      <c r="AD66" s="422">
        <v>1.44</v>
      </c>
      <c r="AE66" s="117">
        <v>1.44</v>
      </c>
      <c r="AF66" s="117">
        <v>1.44</v>
      </c>
      <c r="AG66" s="117">
        <v>1.44</v>
      </c>
    </row>
    <row r="67" spans="1:38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22" t="s">
        <v>10</v>
      </c>
      <c r="Y67" s="422">
        <v>1</v>
      </c>
      <c r="Z67" s="422">
        <v>1</v>
      </c>
      <c r="AA67" s="422">
        <v>1</v>
      </c>
      <c r="AB67" s="422">
        <v>1</v>
      </c>
      <c r="AC67" s="422">
        <v>1</v>
      </c>
      <c r="AD67" s="422">
        <v>1</v>
      </c>
      <c r="AE67" s="117">
        <v>1</v>
      </c>
      <c r="AF67" s="117">
        <v>1</v>
      </c>
      <c r="AG67" s="117">
        <v>1</v>
      </c>
    </row>
    <row r="68" spans="1:38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22" t="s">
        <v>8</v>
      </c>
      <c r="Y68" s="422">
        <v>1.7200000000000002</v>
      </c>
      <c r="Z68" s="422">
        <v>1.7200000000000002</v>
      </c>
      <c r="AA68" s="422">
        <v>1.7200000000000002</v>
      </c>
      <c r="AB68" s="422">
        <v>1.7200000000000002</v>
      </c>
      <c r="AC68" s="422">
        <v>1.3200000000000003</v>
      </c>
      <c r="AD68" s="42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8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22" t="s">
        <v>3</v>
      </c>
      <c r="Y69" s="422">
        <v>10.3</v>
      </c>
      <c r="Z69" s="422">
        <v>10.3</v>
      </c>
      <c r="AA69" s="422">
        <v>10.3</v>
      </c>
      <c r="AB69" s="422">
        <v>10.3</v>
      </c>
      <c r="AC69" s="422">
        <v>9.9</v>
      </c>
      <c r="AD69" s="422">
        <v>9.9</v>
      </c>
      <c r="AE69" s="117">
        <v>9.9</v>
      </c>
      <c r="AF69" s="117">
        <v>9.9</v>
      </c>
      <c r="AG69" s="117">
        <v>9.9</v>
      </c>
    </row>
    <row r="70" spans="1:38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8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8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8" ht="26.25" x14ac:dyDescent="0.4">
      <c r="A73" s="2" t="s">
        <v>481</v>
      </c>
      <c r="J73" s="549" t="s">
        <v>1129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8" x14ac:dyDescent="0.25">
      <c r="J74" s="548" t="s">
        <v>1109</v>
      </c>
      <c r="K74" s="548" t="s">
        <v>1209</v>
      </c>
      <c r="L74" s="547" t="s">
        <v>1203</v>
      </c>
      <c r="M74" s="547" t="s">
        <v>1203</v>
      </c>
      <c r="N74" s="547" t="s">
        <v>1203</v>
      </c>
      <c r="O74" s="547" t="s">
        <v>1203</v>
      </c>
      <c r="P74" s="547" t="s">
        <v>1203</v>
      </c>
      <c r="Q74" s="547" t="s">
        <v>1203</v>
      </c>
      <c r="R74" s="548">
        <f>R1</f>
        <v>2017</v>
      </c>
      <c r="S74" s="548">
        <f t="shared" ref="S74:U74" si="8">S1</f>
        <v>2018</v>
      </c>
      <c r="T74" s="548">
        <f t="shared" si="8"/>
        <v>2019</v>
      </c>
      <c r="U74" s="548">
        <f t="shared" si="8"/>
        <v>2020</v>
      </c>
      <c r="V74" s="548">
        <f>U74+1</f>
        <v>2021</v>
      </c>
      <c r="W74" s="548">
        <f t="shared" ref="W74:AI74" si="9">V74+1</f>
        <v>2022</v>
      </c>
      <c r="X74" s="548">
        <f t="shared" si="9"/>
        <v>2023</v>
      </c>
      <c r="Y74" s="548">
        <f t="shared" si="9"/>
        <v>2024</v>
      </c>
      <c r="Z74" s="548">
        <f t="shared" si="9"/>
        <v>2025</v>
      </c>
      <c r="AA74" s="548">
        <f t="shared" si="9"/>
        <v>2026</v>
      </c>
      <c r="AB74" s="548">
        <f t="shared" si="9"/>
        <v>2027</v>
      </c>
      <c r="AC74" s="548">
        <f t="shared" si="9"/>
        <v>2028</v>
      </c>
      <c r="AD74" s="548">
        <f t="shared" si="9"/>
        <v>2029</v>
      </c>
      <c r="AE74" s="548">
        <f t="shared" si="9"/>
        <v>2030</v>
      </c>
      <c r="AF74" s="548">
        <f t="shared" si="9"/>
        <v>2031</v>
      </c>
      <c r="AG74" s="548">
        <f t="shared" si="9"/>
        <v>2032</v>
      </c>
      <c r="AH74" s="548">
        <f t="shared" si="9"/>
        <v>2033</v>
      </c>
      <c r="AI74" s="548">
        <f t="shared" si="9"/>
        <v>2034</v>
      </c>
      <c r="AK74" s="13"/>
    </row>
    <row r="75" spans="1:38" x14ac:dyDescent="0.25">
      <c r="J75" t="s">
        <v>939</v>
      </c>
      <c r="L75" s="18" t="s">
        <v>1205</v>
      </c>
      <c r="M75"/>
      <c r="R75"/>
      <c r="V75" s="18" t="s">
        <v>482</v>
      </c>
      <c r="AC75" s="18" t="s">
        <v>1202</v>
      </c>
      <c r="AK75" s="13"/>
    </row>
    <row r="76" spans="1:38" x14ac:dyDescent="0.25">
      <c r="I76" s="18" t="s">
        <v>7</v>
      </c>
      <c r="J76" t="str">
        <f>C28</f>
        <v>IISBFBOF-E</v>
      </c>
      <c r="K76" t="s">
        <v>1210</v>
      </c>
      <c r="L76" s="321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8" x14ac:dyDescent="0.25">
      <c r="I77" s="18" t="s">
        <v>169</v>
      </c>
      <c r="J77" t="str">
        <f>C30</f>
        <v>IISCOREAF-E</v>
      </c>
      <c r="K77" t="s">
        <v>1210</v>
      </c>
      <c r="L77" s="321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v>0</v>
      </c>
      <c r="W77">
        <f t="shared" ref="V77:AI80" si="13">IF(W$74&lt;$L77,V77,0)</f>
        <v>0</v>
      </c>
      <c r="X77">
        <f t="shared" si="13"/>
        <v>0</v>
      </c>
      <c r="Y77">
        <f t="shared" si="13"/>
        <v>0</v>
      </c>
      <c r="Z77">
        <f t="shared" si="13"/>
        <v>0</v>
      </c>
      <c r="AA77">
        <f t="shared" si="13"/>
        <v>0</v>
      </c>
      <c r="AB77">
        <f t="shared" si="13"/>
        <v>0</v>
      </c>
      <c r="AC77">
        <f t="shared" si="13"/>
        <v>0</v>
      </c>
      <c r="AD77">
        <f t="shared" si="13"/>
        <v>0</v>
      </c>
      <c r="AE77">
        <f t="shared" si="13"/>
        <v>0</v>
      </c>
      <c r="AF77">
        <f t="shared" si="13"/>
        <v>0</v>
      </c>
      <c r="AG77">
        <f t="shared" si="13"/>
        <v>0</v>
      </c>
      <c r="AH77">
        <f t="shared" si="13"/>
        <v>0</v>
      </c>
      <c r="AI77">
        <f t="shared" si="13"/>
        <v>0</v>
      </c>
      <c r="AK77" s="13"/>
      <c r="AL77" t="s">
        <v>1262</v>
      </c>
    </row>
    <row r="78" spans="1:38" x14ac:dyDescent="0.25">
      <c r="I78" s="18" t="s">
        <v>9</v>
      </c>
      <c r="J78" t="str">
        <f>C29</f>
        <v>IISDRIEAF-E</v>
      </c>
      <c r="K78" t="s">
        <v>1210</v>
      </c>
      <c r="L78" s="321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8" x14ac:dyDescent="0.25">
      <c r="I79" s="18" t="s">
        <v>10</v>
      </c>
      <c r="J79" t="str">
        <f>C31</f>
        <v>IISOTHEAF-E</v>
      </c>
      <c r="K79" t="s">
        <v>1210</v>
      </c>
      <c r="L79" s="42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8" x14ac:dyDescent="0.25">
      <c r="I80" s="18" t="s">
        <v>8</v>
      </c>
      <c r="J80" t="str">
        <f>C32</f>
        <v>IISSCREAF-E</v>
      </c>
      <c r="K80" t="s">
        <v>1210</v>
      </c>
      <c r="L80" s="321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1"/>
      <c r="M81"/>
      <c r="R81"/>
      <c r="AK81" s="13"/>
    </row>
    <row r="82" spans="1:37" x14ac:dyDescent="0.25">
      <c r="I82" s="18" t="s">
        <v>1208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9.06</v>
      </c>
      <c r="W82" s="268">
        <f t="shared" si="14"/>
        <v>9.06</v>
      </c>
      <c r="X82" s="268">
        <f t="shared" si="14"/>
        <v>9.06</v>
      </c>
      <c r="Y82" s="268">
        <f t="shared" si="14"/>
        <v>9.06</v>
      </c>
      <c r="Z82" s="268">
        <f t="shared" si="14"/>
        <v>9.06</v>
      </c>
      <c r="AA82" s="268">
        <f t="shared" si="14"/>
        <v>9.06</v>
      </c>
      <c r="AB82" s="268">
        <f t="shared" si="14"/>
        <v>9.06</v>
      </c>
      <c r="AC82" s="268">
        <f t="shared" si="14"/>
        <v>7.16</v>
      </c>
      <c r="AD82" s="268">
        <f t="shared" si="14"/>
        <v>7.16</v>
      </c>
      <c r="AE82" s="268">
        <f t="shared" si="14"/>
        <v>4.4399999999999995</v>
      </c>
      <c r="AF82" s="268">
        <f t="shared" si="14"/>
        <v>4.4399999999999995</v>
      </c>
      <c r="AG82" s="268">
        <f t="shared" si="14"/>
        <v>4.4399999999999995</v>
      </c>
      <c r="AH82" s="268">
        <f t="shared" si="14"/>
        <v>4.4399999999999995</v>
      </c>
      <c r="AI82" s="268">
        <f t="shared" si="14"/>
        <v>0</v>
      </c>
      <c r="AK82" s="13"/>
    </row>
    <row r="83" spans="1:37" x14ac:dyDescent="0.25">
      <c r="J83" s="18"/>
      <c r="L83" s="321"/>
      <c r="M83"/>
      <c r="R83"/>
      <c r="AK83" s="13"/>
    </row>
    <row r="86" spans="1:37" ht="26.25" x14ac:dyDescent="0.4">
      <c r="A86" s="2" t="s">
        <v>5</v>
      </c>
      <c r="X86" s="18" t="s">
        <v>683</v>
      </c>
    </row>
    <row r="87" spans="1:37" x14ac:dyDescent="0.25">
      <c r="Y87" t="s">
        <v>0</v>
      </c>
      <c r="Z87">
        <v>20</v>
      </c>
      <c r="AA87" t="s">
        <v>685</v>
      </c>
      <c r="AB87" t="s">
        <v>684</v>
      </c>
    </row>
    <row r="88" spans="1:37" x14ac:dyDescent="0.25">
      <c r="B88" s="13" t="s">
        <v>1104</v>
      </c>
      <c r="Z88">
        <v>15</v>
      </c>
      <c r="AA88" t="s">
        <v>687</v>
      </c>
      <c r="AB88" t="s">
        <v>686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19" t="s">
        <v>696</v>
      </c>
      <c r="AA89" t="s">
        <v>697</v>
      </c>
      <c r="AB89" t="s">
        <v>698</v>
      </c>
    </row>
    <row r="90" spans="1:37" ht="18" customHeight="1" x14ac:dyDescent="0.25">
      <c r="B90" s="4"/>
      <c r="P90" s="5"/>
    </row>
    <row r="91" spans="1:37" ht="21" customHeight="1" x14ac:dyDescent="0.25">
      <c r="B91" s="603" t="s">
        <v>2</v>
      </c>
      <c r="C91" s="596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699</v>
      </c>
      <c r="AB91" t="s">
        <v>700</v>
      </c>
    </row>
    <row r="92" spans="1:37" x14ac:dyDescent="0.25">
      <c r="B92" s="603"/>
      <c r="C92" s="596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603"/>
      <c r="C93" s="596"/>
      <c r="D93" t="s">
        <v>187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701</v>
      </c>
    </row>
    <row r="94" spans="1:37" x14ac:dyDescent="0.25">
      <c r="B94" s="603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703</v>
      </c>
    </row>
    <row r="95" spans="1:37" x14ac:dyDescent="0.25">
      <c r="B95" s="603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702</v>
      </c>
      <c r="AB95" s="18"/>
    </row>
    <row r="96" spans="1:37" x14ac:dyDescent="0.25">
      <c r="B96" s="603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604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705</v>
      </c>
      <c r="AB97" t="s">
        <v>704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706</v>
      </c>
      <c r="AB98" s="18"/>
      <c r="AC98" s="18"/>
    </row>
    <row r="99" spans="2:29" x14ac:dyDescent="0.25">
      <c r="B99" s="605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605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606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605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605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606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205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219</v>
      </c>
      <c r="C113" t="s">
        <v>165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219</v>
      </c>
      <c r="C114" t="s">
        <v>165</v>
      </c>
      <c r="D114" t="s">
        <v>167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219</v>
      </c>
      <c r="C115" t="s">
        <v>170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219</v>
      </c>
      <c r="C116" t="s">
        <v>173</v>
      </c>
      <c r="D116" t="s">
        <v>174</v>
      </c>
      <c r="E116" t="s">
        <v>1</v>
      </c>
      <c r="P116" s="5"/>
    </row>
    <row r="117" spans="2:20" x14ac:dyDescent="0.25">
      <c r="B117" s="4" t="s">
        <v>219</v>
      </c>
      <c r="C117" t="s">
        <v>176</v>
      </c>
      <c r="D117" t="s">
        <v>92</v>
      </c>
      <c r="E117" t="s">
        <v>94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219</v>
      </c>
      <c r="C118" t="s">
        <v>176</v>
      </c>
      <c r="D118" t="s">
        <v>167</v>
      </c>
      <c r="E118" t="s">
        <v>94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178</v>
      </c>
      <c r="C119" t="s">
        <v>179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180</v>
      </c>
      <c r="D120" t="s">
        <v>174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219</v>
      </c>
      <c r="C125" t="s">
        <v>165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219</v>
      </c>
      <c r="C126" t="s">
        <v>165</v>
      </c>
      <c r="D126" t="s">
        <v>167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219</v>
      </c>
      <c r="C127" t="s">
        <v>170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349</v>
      </c>
      <c r="S127" s="306"/>
      <c r="T127" s="306"/>
    </row>
    <row r="128" spans="2:20" x14ac:dyDescent="0.25">
      <c r="B128" s="4" t="s">
        <v>219</v>
      </c>
      <c r="C128" t="s">
        <v>173</v>
      </c>
      <c r="D128" t="s">
        <v>174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219</v>
      </c>
      <c r="C129" t="s">
        <v>176</v>
      </c>
      <c r="D129" t="s">
        <v>92</v>
      </c>
      <c r="E129" t="s">
        <v>94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219</v>
      </c>
      <c r="C130" t="s">
        <v>176</v>
      </c>
      <c r="D130" t="s">
        <v>167</v>
      </c>
      <c r="E130" t="s">
        <v>94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178</v>
      </c>
      <c r="C131" t="s">
        <v>179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180</v>
      </c>
      <c r="D132" t="s">
        <v>174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157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339</v>
      </c>
      <c r="P153" s="5"/>
    </row>
    <row r="154" spans="2:16" x14ac:dyDescent="0.25">
      <c r="B154" s="4"/>
      <c r="M154" s="239" t="s">
        <v>186</v>
      </c>
      <c r="P154" s="5"/>
    </row>
    <row r="155" spans="2:16" x14ac:dyDescent="0.25">
      <c r="B155" s="107" t="s">
        <v>158</v>
      </c>
      <c r="C155" s="105" t="s">
        <v>159</v>
      </c>
      <c r="D155" s="105" t="s">
        <v>160</v>
      </c>
      <c r="E155" s="105" t="s">
        <v>161</v>
      </c>
      <c r="M155" s="242">
        <v>2012</v>
      </c>
      <c r="P155" s="5"/>
    </row>
    <row r="156" spans="2:16" x14ac:dyDescent="0.25">
      <c r="B156" s="108" t="s">
        <v>163</v>
      </c>
      <c r="C156" s="106"/>
      <c r="D156" s="106"/>
      <c r="E156" s="106"/>
      <c r="M156" s="244"/>
      <c r="P156" s="5"/>
    </row>
    <row r="157" spans="2:16" x14ac:dyDescent="0.25">
      <c r="B157" s="109" t="s">
        <v>164</v>
      </c>
      <c r="C157" s="100" t="s">
        <v>165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164</v>
      </c>
      <c r="C158" s="100" t="s">
        <v>165</v>
      </c>
      <c r="D158" s="100" t="s">
        <v>167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164</v>
      </c>
      <c r="C159" s="100" t="s">
        <v>170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164</v>
      </c>
      <c r="C160" s="100" t="s">
        <v>173</v>
      </c>
      <c r="D160" s="100" t="s">
        <v>174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164</v>
      </c>
      <c r="C161" s="100" t="s">
        <v>176</v>
      </c>
      <c r="D161" s="100" t="s">
        <v>92</v>
      </c>
      <c r="E161" s="100" t="s">
        <v>94</v>
      </c>
      <c r="F161" s="116" t="s">
        <v>169</v>
      </c>
      <c r="M161" s="243">
        <v>0.67</v>
      </c>
      <c r="P161" s="5"/>
    </row>
    <row r="162" spans="2:19" x14ac:dyDescent="0.25">
      <c r="B162" s="109" t="s">
        <v>164</v>
      </c>
      <c r="C162" s="100" t="s">
        <v>176</v>
      </c>
      <c r="D162" s="100" t="s">
        <v>167</v>
      </c>
      <c r="E162" s="101" t="s">
        <v>94</v>
      </c>
      <c r="F162" s="116" t="s">
        <v>169</v>
      </c>
      <c r="M162" s="243">
        <v>0.54</v>
      </c>
      <c r="P162" s="5"/>
    </row>
    <row r="163" spans="2:19" x14ac:dyDescent="0.25">
      <c r="B163" s="109" t="s">
        <v>178</v>
      </c>
      <c r="C163" s="100" t="s">
        <v>179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180</v>
      </c>
      <c r="C164" s="100"/>
      <c r="D164" s="100" t="s">
        <v>174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291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292</v>
      </c>
      <c r="C171" s="8" t="s">
        <v>293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27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294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295</v>
      </c>
      <c r="Q173" s="266">
        <f>Q172/Q171</f>
        <v>2.9134146341463412</v>
      </c>
      <c r="R173" s="528">
        <f>R172/R171</f>
        <v>2.8888888888888884</v>
      </c>
      <c r="S173" s="267">
        <f>S172/S171</f>
        <v>2.9117647058823533</v>
      </c>
    </row>
    <row r="174" spans="2:19" x14ac:dyDescent="0.25">
      <c r="B174" s="4" t="s">
        <v>135</v>
      </c>
      <c r="C174" s="8" t="s">
        <v>293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27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294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295</v>
      </c>
      <c r="Q176" s="16">
        <f>Q175/Q174</f>
        <v>1.2799999999999998</v>
      </c>
      <c r="R176" s="528">
        <f>R175/R174</f>
        <v>1.3</v>
      </c>
      <c r="S176" s="267">
        <f>S175/S174</f>
        <v>1.2928571428571429</v>
      </c>
    </row>
    <row r="177" spans="2:22" x14ac:dyDescent="0.25">
      <c r="B177" s="4" t="s">
        <v>241</v>
      </c>
      <c r="C177" s="8" t="s">
        <v>293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27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294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295</v>
      </c>
      <c r="Q179" s="266">
        <f>Q178/Q177</f>
        <v>1.9135802469135801</v>
      </c>
      <c r="R179" s="528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28"/>
      <c r="S180" s="267"/>
    </row>
    <row r="181" spans="2:22" x14ac:dyDescent="0.25">
      <c r="B181" s="4"/>
      <c r="C181" t="s">
        <v>300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296</v>
      </c>
      <c r="Q182" s="268">
        <f>Q173+Q176+Q179</f>
        <v>6.1069948810599213</v>
      </c>
      <c r="R182" s="529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297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30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299</v>
      </c>
      <c r="Q185" s="17"/>
      <c r="R185" s="250"/>
      <c r="S185" s="17"/>
    </row>
    <row r="186" spans="2:22" x14ac:dyDescent="0.25">
      <c r="B186" s="280" t="s">
        <v>158</v>
      </c>
      <c r="C186" s="281" t="s">
        <v>159</v>
      </c>
      <c r="D186" s="281" t="s">
        <v>160</v>
      </c>
      <c r="E186" s="281" t="s">
        <v>161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31"/>
      <c r="S186" s="282"/>
      <c r="T186" s="15"/>
      <c r="U186" s="3"/>
    </row>
    <row r="187" spans="2:22" ht="30" x14ac:dyDescent="0.25">
      <c r="B187" s="108" t="s">
        <v>163</v>
      </c>
      <c r="C187" s="106"/>
      <c r="D187" s="106"/>
      <c r="E187" s="106"/>
      <c r="P187" s="304" t="s">
        <v>318</v>
      </c>
      <c r="Q187" s="17"/>
      <c r="R187" s="250"/>
      <c r="S187" s="17"/>
      <c r="U187" s="5"/>
    </row>
    <row r="188" spans="2:22" x14ac:dyDescent="0.25">
      <c r="B188" s="109" t="s">
        <v>164</v>
      </c>
      <c r="C188" s="100" t="s">
        <v>165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7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164</v>
      </c>
      <c r="C189" s="100" t="s">
        <v>165</v>
      </c>
      <c r="D189" s="100" t="s">
        <v>167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7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164</v>
      </c>
      <c r="C190" s="100" t="s">
        <v>170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7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164</v>
      </c>
      <c r="C191" s="100" t="s">
        <v>173</v>
      </c>
      <c r="D191" s="100" t="s">
        <v>174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79">
        <v>0</v>
      </c>
      <c r="S191" s="272">
        <v>0</v>
      </c>
      <c r="U191" s="5"/>
      <c r="V191" t="s">
        <v>302</v>
      </c>
    </row>
    <row r="192" spans="2:22" x14ac:dyDescent="0.25">
      <c r="B192" s="109" t="s">
        <v>164</v>
      </c>
      <c r="C192" s="100" t="s">
        <v>176</v>
      </c>
      <c r="D192" s="100" t="s">
        <v>92</v>
      </c>
      <c r="E192" s="100" t="s">
        <v>94</v>
      </c>
      <c r="F192" s="116" t="s">
        <v>169</v>
      </c>
      <c r="P192" s="303">
        <f>P129/1000</f>
        <v>0.48149999999999998</v>
      </c>
      <c r="Q192" s="272">
        <f>Q175/2</f>
        <v>0.41599999999999998</v>
      </c>
      <c r="R192" s="37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164</v>
      </c>
      <c r="C193" s="100" t="s">
        <v>176</v>
      </c>
      <c r="D193" s="100" t="s">
        <v>167</v>
      </c>
      <c r="E193" s="101" t="s">
        <v>94</v>
      </c>
      <c r="F193" s="116" t="s">
        <v>169</v>
      </c>
      <c r="P193" s="303">
        <f>P130/1000</f>
        <v>0.48149999999999998</v>
      </c>
      <c r="Q193" s="272">
        <f>Q192</f>
        <v>0.41599999999999998</v>
      </c>
      <c r="R193" s="37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178</v>
      </c>
      <c r="C194" s="100" t="s">
        <v>179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79">
        <v>0</v>
      </c>
      <c r="S194" s="272">
        <v>0</v>
      </c>
      <c r="U194" s="5"/>
      <c r="V194" t="s">
        <v>559</v>
      </c>
    </row>
    <row r="195" spans="2:22" x14ac:dyDescent="0.25">
      <c r="B195" s="109" t="s">
        <v>180</v>
      </c>
      <c r="C195" s="100"/>
      <c r="D195" s="100" t="s">
        <v>174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32">
        <f>MIN(R17,R201-SUM(R188:R194))</f>
        <v>1.3200000000000003</v>
      </c>
      <c r="S195" s="283">
        <f>MIN(S17,S201-SUM(S188:S194))</f>
        <v>1.2079999999999993</v>
      </c>
      <c r="U195" s="5"/>
      <c r="V195" s="18" t="s">
        <v>309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33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79"/>
      <c r="S197" s="272"/>
    </row>
    <row r="198" spans="2:22" x14ac:dyDescent="0.25">
      <c r="B198" s="100"/>
      <c r="C198" s="100"/>
      <c r="D198" s="100"/>
      <c r="E198" s="100"/>
      <c r="Q198" s="272"/>
      <c r="R198" s="379"/>
      <c r="S198" s="272"/>
    </row>
    <row r="199" spans="2:22" x14ac:dyDescent="0.25">
      <c r="B199" s="100" t="s">
        <v>345</v>
      </c>
      <c r="C199" s="100"/>
      <c r="D199" s="100"/>
      <c r="E199" s="100"/>
      <c r="Q199" s="272"/>
      <c r="R199" s="379"/>
      <c r="S199" s="272"/>
    </row>
    <row r="200" spans="2:22" x14ac:dyDescent="0.25">
      <c r="B200" s="275" t="s">
        <v>301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34"/>
      <c r="S200" s="277"/>
      <c r="T200" s="15"/>
      <c r="U200" s="3"/>
    </row>
    <row r="201" spans="2:22" x14ac:dyDescent="0.25">
      <c r="B201" s="109"/>
      <c r="C201" s="396" t="s">
        <v>5</v>
      </c>
      <c r="D201" s="396" t="s">
        <v>344</v>
      </c>
      <c r="E201" s="396"/>
      <c r="F201" s="389"/>
      <c r="G201" s="389"/>
      <c r="H201" s="389"/>
      <c r="I201" s="389"/>
      <c r="J201" s="389"/>
      <c r="K201" s="389"/>
      <c r="L201" s="389"/>
      <c r="M201" s="390"/>
      <c r="N201" s="389"/>
      <c r="O201" s="389"/>
      <c r="P201" s="389"/>
      <c r="Q201" s="398">
        <v>6.1</v>
      </c>
      <c r="R201" s="535">
        <v>6.3</v>
      </c>
      <c r="S201" s="398">
        <v>6.3</v>
      </c>
      <c r="U201" s="5"/>
    </row>
    <row r="202" spans="2:22" x14ac:dyDescent="0.25">
      <c r="B202" s="109"/>
      <c r="C202" s="388" t="s">
        <v>5</v>
      </c>
      <c r="D202" s="388" t="s">
        <v>317</v>
      </c>
      <c r="E202" s="388"/>
      <c r="F202" s="389"/>
      <c r="G202" s="389"/>
      <c r="H202" s="389"/>
      <c r="I202" s="389"/>
      <c r="J202" s="389"/>
      <c r="K202" s="389"/>
      <c r="L202" s="389"/>
      <c r="M202" s="390"/>
      <c r="N202" s="389"/>
      <c r="O202" s="389"/>
      <c r="P202" s="389">
        <v>6.4</v>
      </c>
      <c r="Q202" s="391"/>
      <c r="R202" s="536"/>
      <c r="S202" s="391"/>
      <c r="U202" s="5"/>
    </row>
    <row r="203" spans="2:22" x14ac:dyDescent="0.25">
      <c r="B203" s="109"/>
      <c r="C203" s="388"/>
      <c r="D203" s="388" t="s">
        <v>343</v>
      </c>
      <c r="E203" s="388"/>
      <c r="F203" s="389"/>
      <c r="G203" s="389"/>
      <c r="H203" s="389"/>
      <c r="I203" s="389"/>
      <c r="J203" s="389"/>
      <c r="K203" s="389"/>
      <c r="L203" s="389"/>
      <c r="M203" s="390">
        <v>6.9</v>
      </c>
      <c r="N203" s="389">
        <v>7.1</v>
      </c>
      <c r="O203" s="389">
        <v>6.5</v>
      </c>
      <c r="P203" s="389"/>
      <c r="Q203" s="391"/>
      <c r="R203" s="536"/>
      <c r="S203" s="391"/>
      <c r="U203" s="5"/>
    </row>
    <row r="204" spans="2:22" x14ac:dyDescent="0.25">
      <c r="B204" s="109"/>
      <c r="C204" s="392" t="s">
        <v>556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72">
        <f t="shared" si="32"/>
        <v>6.1</v>
      </c>
      <c r="R204" s="537">
        <f t="shared" si="32"/>
        <v>6.3</v>
      </c>
      <c r="S204" s="37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88" t="s">
        <v>547</v>
      </c>
      <c r="D206" s="388" t="s">
        <v>548</v>
      </c>
      <c r="E206" s="388" t="s">
        <v>553</v>
      </c>
      <c r="F206" s="389"/>
      <c r="G206" s="389"/>
      <c r="H206" s="389"/>
      <c r="I206" s="389"/>
      <c r="J206" s="389"/>
      <c r="K206" s="389"/>
      <c r="L206" s="389"/>
      <c r="M206" s="390"/>
      <c r="N206" s="389"/>
      <c r="O206" s="389"/>
      <c r="P206" s="389"/>
      <c r="Q206" s="400">
        <v>0.622</v>
      </c>
      <c r="R206" s="538">
        <v>0.59</v>
      </c>
      <c r="S206" s="397">
        <v>0.61599999999999999</v>
      </c>
      <c r="U206" s="5"/>
    </row>
    <row r="207" spans="2:22" x14ac:dyDescent="0.25">
      <c r="B207" s="109"/>
      <c r="C207" s="388" t="s">
        <v>355</v>
      </c>
      <c r="D207" s="388" t="s">
        <v>549</v>
      </c>
      <c r="E207" s="388" t="s">
        <v>553</v>
      </c>
      <c r="F207" s="389"/>
      <c r="G207" s="389"/>
      <c r="H207" s="389"/>
      <c r="I207" s="389"/>
      <c r="J207" s="389"/>
      <c r="K207" s="389"/>
      <c r="L207" s="389"/>
      <c r="M207" s="390"/>
      <c r="N207" s="389"/>
      <c r="O207" s="389"/>
      <c r="P207" s="389"/>
      <c r="Q207" s="391">
        <v>4.3</v>
      </c>
      <c r="R207" s="539">
        <v>4.4000000000000004</v>
      </c>
      <c r="S207" s="398">
        <v>4.5999999999999996</v>
      </c>
      <c r="U207" s="5"/>
    </row>
    <row r="208" spans="2:22" x14ac:dyDescent="0.25">
      <c r="B208" s="109"/>
      <c r="C208" s="388" t="s">
        <v>20</v>
      </c>
      <c r="D208" s="388" t="s">
        <v>549</v>
      </c>
      <c r="E208" s="388" t="s">
        <v>553</v>
      </c>
      <c r="F208" s="389"/>
      <c r="G208" s="389"/>
      <c r="H208" s="389"/>
      <c r="I208" s="389"/>
      <c r="J208" s="389"/>
      <c r="K208" s="389"/>
      <c r="L208" s="389"/>
      <c r="M208" s="390"/>
      <c r="N208" s="389"/>
      <c r="O208" s="389"/>
      <c r="P208" s="389">
        <v>1.1000000000000001</v>
      </c>
      <c r="Q208" s="391">
        <v>0.7</v>
      </c>
      <c r="R208" s="536">
        <v>0.9</v>
      </c>
      <c r="S208" s="399">
        <v>0.8</v>
      </c>
      <c r="U208" s="5"/>
    </row>
    <row r="209" spans="2:21" x14ac:dyDescent="0.25">
      <c r="B209" s="109"/>
      <c r="C209" s="392" t="s">
        <v>550</v>
      </c>
      <c r="D209" s="392" t="s">
        <v>549</v>
      </c>
      <c r="E209" s="392" t="s">
        <v>551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392" t="s">
        <v>555</v>
      </c>
      <c r="D210" s="392"/>
      <c r="E210" s="39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549</v>
      </c>
      <c r="E211" s="100" t="s">
        <v>551</v>
      </c>
      <c r="Q211" s="272">
        <f>Q206*Q204</f>
        <v>3.7941999999999996</v>
      </c>
      <c r="R211" s="37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549</v>
      </c>
      <c r="E212" s="110" t="s">
        <v>551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33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79"/>
      <c r="S213" s="272"/>
    </row>
    <row r="214" spans="2:21" x14ac:dyDescent="0.25">
      <c r="B214" s="100"/>
      <c r="C214" s="392" t="s">
        <v>586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392" t="s">
        <v>590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4">
        <f>Q204-Q214</f>
        <v>1.3289999999999997</v>
      </c>
      <c r="R215" s="540">
        <f>R204-R214</f>
        <v>1.3899999999999997</v>
      </c>
      <c r="S215" s="324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392" t="s">
        <v>571</v>
      </c>
      <c r="E218" s="100"/>
      <c r="Q218" s="372">
        <f>SUM(Q219:Q223,Q226:Q227)</f>
        <v>4.7709999999999999</v>
      </c>
      <c r="R218" s="537">
        <f>SUM(R219:R223,R226:R227)</f>
        <v>4.91</v>
      </c>
      <c r="S218" s="372">
        <f>SUM(S219:S223,S226:S227)</f>
        <v>5.0920000000000005</v>
      </c>
    </row>
    <row r="219" spans="2:21" x14ac:dyDescent="0.25">
      <c r="B219" s="100" t="s">
        <v>164</v>
      </c>
      <c r="C219" s="100" t="s">
        <v>165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79">
        <f>R172</f>
        <v>2.34</v>
      </c>
      <c r="S219" s="272">
        <f>S172</f>
        <v>2.4750000000000001</v>
      </c>
      <c r="T219" t="s">
        <v>574</v>
      </c>
    </row>
    <row r="220" spans="2:21" x14ac:dyDescent="0.25">
      <c r="B220" s="100" t="s">
        <v>164</v>
      </c>
      <c r="C220" s="100" t="s">
        <v>165</v>
      </c>
      <c r="D220" s="100" t="s">
        <v>167</v>
      </c>
      <c r="E220" s="100" t="s">
        <v>1</v>
      </c>
      <c r="G220" t="s">
        <v>9</v>
      </c>
      <c r="Q220" s="272">
        <v>0</v>
      </c>
      <c r="R220" s="379">
        <v>0</v>
      </c>
      <c r="S220" s="272">
        <v>0</v>
      </c>
      <c r="U220" t="s">
        <v>566</v>
      </c>
    </row>
    <row r="221" spans="2:21" x14ac:dyDescent="0.25">
      <c r="B221" s="100" t="s">
        <v>164</v>
      </c>
      <c r="C221" s="100" t="s">
        <v>170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79">
        <f>R178</f>
        <v>1.452</v>
      </c>
      <c r="S221" s="272">
        <f>S178</f>
        <v>1.5309999999999999</v>
      </c>
      <c r="T221" t="s">
        <v>574</v>
      </c>
    </row>
    <row r="222" spans="2:21" x14ac:dyDescent="0.25">
      <c r="B222" s="100" t="s">
        <v>164</v>
      </c>
      <c r="C222" s="100" t="s">
        <v>173</v>
      </c>
      <c r="D222" s="100" t="s">
        <v>174</v>
      </c>
      <c r="E222" s="100" t="s">
        <v>1</v>
      </c>
      <c r="G222" t="s">
        <v>8</v>
      </c>
      <c r="Q222" s="272">
        <v>0</v>
      </c>
      <c r="R222" s="379">
        <v>0</v>
      </c>
      <c r="S222" s="272">
        <v>0</v>
      </c>
      <c r="U222" t="s">
        <v>570</v>
      </c>
    </row>
    <row r="223" spans="2:21" x14ac:dyDescent="0.25">
      <c r="B223" s="100" t="s">
        <v>164</v>
      </c>
      <c r="C223" s="100" t="s">
        <v>176</v>
      </c>
      <c r="D223" s="100" t="s">
        <v>560</v>
      </c>
      <c r="E223" s="100" t="s">
        <v>560</v>
      </c>
      <c r="F223" s="116"/>
      <c r="G223" s="116" t="s">
        <v>560</v>
      </c>
      <c r="Q223" s="272">
        <f>Q175</f>
        <v>0.83199999999999996</v>
      </c>
      <c r="R223" s="379">
        <f>R175</f>
        <v>1.1180000000000001</v>
      </c>
      <c r="S223" s="272">
        <f>S175</f>
        <v>1.0860000000000001</v>
      </c>
      <c r="T223" t="s">
        <v>574</v>
      </c>
    </row>
    <row r="224" spans="2:21" x14ac:dyDescent="0.25">
      <c r="B224" s="100" t="s">
        <v>164</v>
      </c>
      <c r="C224" s="100" t="s">
        <v>176</v>
      </c>
      <c r="D224" s="100" t="s">
        <v>92</v>
      </c>
      <c r="E224" s="100" t="s">
        <v>94</v>
      </c>
      <c r="F224" s="116"/>
      <c r="G224" s="116" t="s">
        <v>169</v>
      </c>
      <c r="Q224" s="272">
        <f t="shared" ref="Q224:S225" si="33">Q$223*(Q235/Q$234)</f>
        <v>0.45165714285714281</v>
      </c>
      <c r="R224" s="379">
        <f t="shared" si="33"/>
        <v>0.60691428571428574</v>
      </c>
      <c r="S224" s="272">
        <f t="shared" si="33"/>
        <v>0.58954285714285715</v>
      </c>
      <c r="T224" t="s">
        <v>581</v>
      </c>
    </row>
    <row r="225" spans="2:21" x14ac:dyDescent="0.25">
      <c r="B225" s="100" t="s">
        <v>164</v>
      </c>
      <c r="C225" s="100" t="s">
        <v>176</v>
      </c>
      <c r="D225" s="100" t="s">
        <v>167</v>
      </c>
      <c r="E225" s="101" t="s">
        <v>94</v>
      </c>
      <c r="F225" s="116"/>
      <c r="G225" s="116" t="s">
        <v>169</v>
      </c>
      <c r="Q225" s="272">
        <f t="shared" si="33"/>
        <v>0.38034285714285715</v>
      </c>
      <c r="R225" s="379">
        <f t="shared" si="33"/>
        <v>0.51108571428571437</v>
      </c>
      <c r="S225" s="272">
        <f t="shared" si="33"/>
        <v>0.49645714285714293</v>
      </c>
      <c r="T225" t="s">
        <v>582</v>
      </c>
    </row>
    <row r="226" spans="2:21" x14ac:dyDescent="0.25">
      <c r="B226" s="100" t="s">
        <v>178</v>
      </c>
      <c r="C226" s="100" t="s">
        <v>179</v>
      </c>
      <c r="D226" s="100" t="s">
        <v>17</v>
      </c>
      <c r="E226" s="100" t="s">
        <v>24</v>
      </c>
      <c r="G226" t="s">
        <v>10</v>
      </c>
      <c r="Q226" s="272">
        <v>0</v>
      </c>
      <c r="R226" s="379">
        <v>0</v>
      </c>
      <c r="S226" s="272">
        <v>0</v>
      </c>
      <c r="U226" t="s">
        <v>558</v>
      </c>
    </row>
    <row r="227" spans="2:21" x14ac:dyDescent="0.25">
      <c r="B227" s="100" t="s">
        <v>180</v>
      </c>
      <c r="C227" s="100"/>
      <c r="D227" s="100" t="s">
        <v>174</v>
      </c>
      <c r="E227" s="100" t="s">
        <v>1</v>
      </c>
      <c r="G227" t="s">
        <v>8</v>
      </c>
      <c r="Q227" s="272"/>
      <c r="R227" s="379"/>
      <c r="S227" s="272"/>
    </row>
    <row r="228" spans="2:21" x14ac:dyDescent="0.25">
      <c r="B228" s="100"/>
      <c r="C228" s="100"/>
      <c r="D228" s="100"/>
      <c r="E228" s="100"/>
      <c r="Q228" s="272"/>
      <c r="R228" s="379"/>
      <c r="S228" s="272"/>
    </row>
    <row r="229" spans="2:21" x14ac:dyDescent="0.25">
      <c r="B229" s="100"/>
      <c r="C229" s="392" t="s">
        <v>575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72">
        <f>SUM(Q230:Q234)</f>
        <v>4.7709999999999999</v>
      </c>
      <c r="R229" s="537">
        <f>SUM(R230:R234)</f>
        <v>4.91</v>
      </c>
      <c r="S229" s="372">
        <f>SUM(S230:S234)</f>
        <v>5.0920000000000005</v>
      </c>
    </row>
    <row r="230" spans="2:21" x14ac:dyDescent="0.25">
      <c r="B230" s="100" t="s">
        <v>164</v>
      </c>
      <c r="C230" s="100" t="s">
        <v>165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79">
        <f>R172-R231</f>
        <v>1.9510857142857141</v>
      </c>
      <c r="S230" s="272">
        <f>S172-S231</f>
        <v>2.1714571428571432</v>
      </c>
      <c r="U230" t="s">
        <v>569</v>
      </c>
    </row>
    <row r="231" spans="2:21" x14ac:dyDescent="0.25">
      <c r="B231" s="100" t="s">
        <v>164</v>
      </c>
      <c r="C231" s="100" t="s">
        <v>165</v>
      </c>
      <c r="D231" s="100" t="s">
        <v>167</v>
      </c>
      <c r="E231" s="100" t="s">
        <v>1</v>
      </c>
      <c r="G231" s="100" t="s">
        <v>167</v>
      </c>
      <c r="Q231" s="272">
        <f>Q208-Q236</f>
        <v>0.31965714285714281</v>
      </c>
      <c r="R231" s="379">
        <f>R208-R236</f>
        <v>0.38891428571428566</v>
      </c>
      <c r="S231" s="272">
        <f>S208-S236</f>
        <v>0.30354285714285711</v>
      </c>
      <c r="T231" t="s">
        <v>568</v>
      </c>
      <c r="U231" t="s">
        <v>567</v>
      </c>
    </row>
    <row r="232" spans="2:21" x14ac:dyDescent="0.25">
      <c r="B232" s="100" t="s">
        <v>164</v>
      </c>
      <c r="C232" s="100" t="s">
        <v>170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79">
        <f>R178</f>
        <v>1.452</v>
      </c>
      <c r="S232" s="272">
        <f>S178</f>
        <v>1.5309999999999999</v>
      </c>
      <c r="T232" t="s">
        <v>574</v>
      </c>
      <c r="U232" t="s">
        <v>219</v>
      </c>
    </row>
    <row r="233" spans="2:21" x14ac:dyDescent="0.25">
      <c r="B233" s="100" t="s">
        <v>164</v>
      </c>
      <c r="C233" s="100" t="s">
        <v>173</v>
      </c>
      <c r="D233" s="100" t="s">
        <v>174</v>
      </c>
      <c r="E233" s="100" t="s">
        <v>1</v>
      </c>
      <c r="G233" s="100" t="s">
        <v>174</v>
      </c>
      <c r="Q233" s="272"/>
      <c r="R233" s="379"/>
      <c r="S233" s="272"/>
    </row>
    <row r="234" spans="2:21" x14ac:dyDescent="0.25">
      <c r="B234" s="100" t="s">
        <v>164</v>
      </c>
      <c r="C234" s="100" t="s">
        <v>176</v>
      </c>
      <c r="D234" s="100" t="s">
        <v>560</v>
      </c>
      <c r="E234" s="100" t="s">
        <v>560</v>
      </c>
      <c r="F234" s="116"/>
      <c r="G234" s="100" t="s">
        <v>560</v>
      </c>
      <c r="Q234" s="272">
        <f>SUM(Q235:Q236)</f>
        <v>0.83199999999999996</v>
      </c>
      <c r="R234" s="37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164</v>
      </c>
      <c r="C235" s="100" t="s">
        <v>176</v>
      </c>
      <c r="D235" s="100" t="s">
        <v>92</v>
      </c>
      <c r="E235" s="100" t="s">
        <v>94</v>
      </c>
      <c r="F235" s="116"/>
      <c r="G235" s="100" t="s">
        <v>92</v>
      </c>
      <c r="Q235" s="272">
        <f>'AMSA - Saldanha'!$I54*(Q$223)</f>
        <v>0.45165714285714281</v>
      </c>
      <c r="R235" s="37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164</v>
      </c>
      <c r="C236" s="100" t="s">
        <v>176</v>
      </c>
      <c r="D236" s="100" t="s">
        <v>167</v>
      </c>
      <c r="E236" s="101" t="s">
        <v>94</v>
      </c>
      <c r="F236" s="116"/>
      <c r="G236" s="100" t="s">
        <v>167</v>
      </c>
      <c r="Q236" s="272">
        <f>'AMSA - Saldanha'!$I55*(Q$223)</f>
        <v>0.38034285714285715</v>
      </c>
      <c r="R236" s="37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178</v>
      </c>
      <c r="C237" s="100" t="s">
        <v>179</v>
      </c>
      <c r="D237" s="100" t="s">
        <v>17</v>
      </c>
      <c r="E237" s="100" t="s">
        <v>24</v>
      </c>
      <c r="G237" s="100" t="s">
        <v>17</v>
      </c>
      <c r="Q237" s="272"/>
      <c r="R237" s="379"/>
      <c r="S237" s="272"/>
    </row>
    <row r="238" spans="2:21" x14ac:dyDescent="0.25">
      <c r="B238" s="100" t="s">
        <v>180</v>
      </c>
      <c r="C238" s="100"/>
      <c r="D238" s="100" t="s">
        <v>174</v>
      </c>
      <c r="E238" s="100" t="s">
        <v>1</v>
      </c>
      <c r="G238" s="100" t="s">
        <v>174</v>
      </c>
      <c r="Q238" s="272"/>
      <c r="R238" s="37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79"/>
      <c r="S239" s="272"/>
    </row>
    <row r="240" spans="2:21" x14ac:dyDescent="0.25">
      <c r="B240" s="100"/>
      <c r="C240" s="100" t="s">
        <v>576</v>
      </c>
      <c r="D240" s="100"/>
      <c r="E240" s="100"/>
      <c r="G240" s="100"/>
      <c r="Q240" s="272"/>
      <c r="R240" s="379"/>
      <c r="S240" s="272"/>
    </row>
    <row r="241" spans="2:20" x14ac:dyDescent="0.25">
      <c r="B241" s="100" t="s">
        <v>164</v>
      </c>
      <c r="C241" s="100" t="s">
        <v>165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79">
        <v>0.39</v>
      </c>
      <c r="S241" s="272">
        <v>0.31</v>
      </c>
      <c r="T241" t="s">
        <v>577</v>
      </c>
    </row>
    <row r="242" spans="2:20" x14ac:dyDescent="0.25">
      <c r="B242" s="100"/>
      <c r="C242" s="100" t="s">
        <v>583</v>
      </c>
      <c r="D242" s="100"/>
      <c r="E242" s="100"/>
      <c r="G242" s="100"/>
      <c r="Q242" s="272"/>
      <c r="R242" s="379"/>
      <c r="S242" s="272"/>
    </row>
    <row r="243" spans="2:20" x14ac:dyDescent="0.25">
      <c r="B243" s="100" t="s">
        <v>180</v>
      </c>
      <c r="C243" s="100"/>
      <c r="D243" s="100" t="s">
        <v>174</v>
      </c>
      <c r="E243" s="100" t="s">
        <v>1</v>
      </c>
      <c r="G243" t="s">
        <v>8</v>
      </c>
      <c r="Q243" s="272">
        <f>Q213+0.24</f>
        <v>0.24</v>
      </c>
      <c r="R243" s="379">
        <f>R213+0.39</f>
        <v>0.39</v>
      </c>
      <c r="S243" s="272">
        <f>S213+0.31</f>
        <v>0.31</v>
      </c>
      <c r="T243" t="s">
        <v>577</v>
      </c>
    </row>
    <row r="244" spans="2:20" x14ac:dyDescent="0.25">
      <c r="B244" s="100"/>
      <c r="C244" s="100"/>
      <c r="D244" s="100"/>
      <c r="E244" s="100"/>
      <c r="G244" s="100"/>
      <c r="Q244" s="272"/>
      <c r="R244" s="379"/>
      <c r="S244" s="272"/>
    </row>
    <row r="245" spans="2:20" x14ac:dyDescent="0.25">
      <c r="B245" s="100"/>
      <c r="C245" s="392" t="s">
        <v>578</v>
      </c>
      <c r="D245" s="100"/>
      <c r="E245" s="100"/>
      <c r="Q245" s="272"/>
      <c r="R245" s="379"/>
      <c r="S245" s="272"/>
    </row>
    <row r="246" spans="2:20" x14ac:dyDescent="0.25">
      <c r="B246" s="100"/>
      <c r="C246" s="100" t="s">
        <v>572</v>
      </c>
      <c r="D246" s="100"/>
      <c r="E246" s="100"/>
      <c r="Q246" s="272">
        <f>Q230+Q232+Q235+Q241</f>
        <v>4.3010000000000002</v>
      </c>
      <c r="R246" s="37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573</v>
      </c>
      <c r="D247" s="100"/>
      <c r="E247" s="100"/>
      <c r="Q247" s="272">
        <f>Q231+Q236</f>
        <v>0.7</v>
      </c>
      <c r="R247" s="379">
        <f>R231+R236</f>
        <v>0.9</v>
      </c>
      <c r="S247" s="272">
        <f>S231+S236</f>
        <v>0.8</v>
      </c>
    </row>
    <row r="248" spans="2:20" x14ac:dyDescent="0.25">
      <c r="B248" s="100"/>
      <c r="C248" s="392" t="s">
        <v>589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5">
        <f>SUM(Q246:Q247)</f>
        <v>5.0010000000000003</v>
      </c>
      <c r="R248" s="541">
        <f>SUM(R246:R247)</f>
        <v>5.3</v>
      </c>
      <c r="S248" s="325">
        <f>SUM(S246:S247)</f>
        <v>5.4019999999999992</v>
      </c>
    </row>
    <row r="249" spans="2:20" x14ac:dyDescent="0.25">
      <c r="B249" s="100"/>
      <c r="C249" s="100" t="s">
        <v>580</v>
      </c>
      <c r="D249" s="100"/>
      <c r="E249" s="100"/>
      <c r="Q249" s="272">
        <f>Q219+Q221+Q224</f>
        <v>4.390657142857143</v>
      </c>
      <c r="R249" s="37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579</v>
      </c>
      <c r="D250" s="100"/>
      <c r="E250" s="100"/>
      <c r="Q250" s="272">
        <f>Q220+Q222+Q225+Q226+Q227+Q243</f>
        <v>0.62034285714285708</v>
      </c>
      <c r="R250" s="37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392" t="s">
        <v>587</v>
      </c>
      <c r="D251" s="392"/>
      <c r="E251" s="39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72">
        <f>SUM(Q249:Q250)</f>
        <v>5.0110000000000001</v>
      </c>
      <c r="R251" s="537">
        <f>SUM(R249:R250)</f>
        <v>5.3</v>
      </c>
      <c r="S251" s="372">
        <f>SUM(S249:S250)</f>
        <v>5.4020000000000001</v>
      </c>
    </row>
    <row r="252" spans="2:20" x14ac:dyDescent="0.25">
      <c r="B252" s="100"/>
      <c r="C252" s="100" t="s">
        <v>584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585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392" t="s">
        <v>588</v>
      </c>
      <c r="D254" s="100"/>
      <c r="E254" s="100"/>
      <c r="Q254" s="17"/>
      <c r="R254" s="250"/>
      <c r="S254" s="17"/>
    </row>
    <row r="255" spans="2:20" x14ac:dyDescent="0.25">
      <c r="B255" s="100" t="s">
        <v>164</v>
      </c>
      <c r="C255" s="100" t="s">
        <v>165</v>
      </c>
      <c r="D255" s="100" t="s">
        <v>16</v>
      </c>
      <c r="E255" s="100" t="s">
        <v>24</v>
      </c>
      <c r="G255" t="s">
        <v>7</v>
      </c>
      <c r="Q255" s="401"/>
      <c r="R255" s="542"/>
      <c r="S255" s="401"/>
    </row>
    <row r="256" spans="2:20" x14ac:dyDescent="0.25">
      <c r="B256" s="100" t="s">
        <v>164</v>
      </c>
      <c r="C256" s="100" t="s">
        <v>165</v>
      </c>
      <c r="D256" s="100" t="s">
        <v>167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164</v>
      </c>
      <c r="C257" s="100" t="s">
        <v>170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164</v>
      </c>
      <c r="C258" s="100" t="s">
        <v>173</v>
      </c>
      <c r="D258" s="100" t="s">
        <v>174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164</v>
      </c>
      <c r="C259" s="100" t="s">
        <v>176</v>
      </c>
      <c r="D259" s="100" t="s">
        <v>560</v>
      </c>
      <c r="E259" s="100" t="s">
        <v>560</v>
      </c>
      <c r="F259" s="116"/>
      <c r="G259" s="116" t="s">
        <v>560</v>
      </c>
      <c r="Q259" s="17"/>
      <c r="R259" s="250"/>
      <c r="S259" s="17"/>
    </row>
    <row r="260" spans="2:22" x14ac:dyDescent="0.25">
      <c r="B260" s="100" t="s">
        <v>164</v>
      </c>
      <c r="C260" s="100" t="s">
        <v>176</v>
      </c>
      <c r="D260" s="100" t="s">
        <v>92</v>
      </c>
      <c r="E260" s="100" t="s">
        <v>94</v>
      </c>
      <c r="F260" s="116"/>
      <c r="G260" s="116" t="s">
        <v>169</v>
      </c>
      <c r="Q260" s="17"/>
      <c r="R260" s="250"/>
      <c r="S260" s="17"/>
    </row>
    <row r="261" spans="2:22" x14ac:dyDescent="0.25">
      <c r="B261" s="100" t="s">
        <v>164</v>
      </c>
      <c r="C261" s="100" t="s">
        <v>176</v>
      </c>
      <c r="D261" s="100" t="s">
        <v>167</v>
      </c>
      <c r="E261" s="101" t="s">
        <v>94</v>
      </c>
      <c r="F261" s="116"/>
      <c r="G261" s="116" t="s">
        <v>169</v>
      </c>
      <c r="Q261" s="17"/>
      <c r="R261" s="250"/>
      <c r="S261" s="17"/>
    </row>
    <row r="262" spans="2:22" x14ac:dyDescent="0.25">
      <c r="B262" s="100" t="s">
        <v>178</v>
      </c>
      <c r="C262" s="100" t="s">
        <v>179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180</v>
      </c>
      <c r="C263" s="100"/>
      <c r="D263" s="100" t="s">
        <v>174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79"/>
      <c r="S265" s="272"/>
    </row>
    <row r="266" spans="2:22" ht="15.75" x14ac:dyDescent="0.25">
      <c r="B266" s="289" t="s">
        <v>303</v>
      </c>
      <c r="C266" s="100"/>
      <c r="D266" s="100"/>
      <c r="E266" s="100"/>
      <c r="Q266" s="272"/>
      <c r="R266" s="379"/>
      <c r="S266" s="272"/>
    </row>
    <row r="267" spans="2:22" x14ac:dyDescent="0.25">
      <c r="B267" s="275" t="s">
        <v>164</v>
      </c>
      <c r="C267" s="276" t="s">
        <v>165</v>
      </c>
      <c r="D267" s="276" t="s">
        <v>16</v>
      </c>
      <c r="E267" s="276" t="s">
        <v>24</v>
      </c>
      <c r="F267" s="15"/>
      <c r="G267" s="15"/>
      <c r="H267" s="276" t="s">
        <v>306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43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307</v>
      </c>
    </row>
    <row r="268" spans="2:22" x14ac:dyDescent="0.25">
      <c r="B268" s="109" t="s">
        <v>164</v>
      </c>
      <c r="C268" s="100" t="s">
        <v>165</v>
      </c>
      <c r="D268" s="100" t="s">
        <v>167</v>
      </c>
      <c r="E268" s="100" t="s">
        <v>1</v>
      </c>
      <c r="H268" s="100" t="s">
        <v>306</v>
      </c>
      <c r="Q268" s="286">
        <f>Q267</f>
        <v>0.82</v>
      </c>
      <c r="R268" s="544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307</v>
      </c>
    </row>
    <row r="269" spans="2:22" x14ac:dyDescent="0.25">
      <c r="B269" s="109" t="s">
        <v>164</v>
      </c>
      <c r="C269" s="100" t="s">
        <v>170</v>
      </c>
      <c r="D269" s="100" t="s">
        <v>16</v>
      </c>
      <c r="E269" s="100" t="s">
        <v>24</v>
      </c>
      <c r="H269" s="100" t="s">
        <v>306</v>
      </c>
      <c r="Q269" s="286">
        <f>Q177</f>
        <v>0.81</v>
      </c>
      <c r="R269" s="544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307</v>
      </c>
    </row>
    <row r="270" spans="2:22" x14ac:dyDescent="0.25">
      <c r="B270" s="109" t="s">
        <v>164</v>
      </c>
      <c r="C270" s="100" t="s">
        <v>173</v>
      </c>
      <c r="D270" s="100" t="s">
        <v>174</v>
      </c>
      <c r="E270" s="100" t="s">
        <v>1</v>
      </c>
      <c r="Q270" s="272"/>
      <c r="R270" s="379"/>
      <c r="S270" s="272"/>
      <c r="U270" s="5"/>
    </row>
    <row r="271" spans="2:22" x14ac:dyDescent="0.25">
      <c r="B271" s="109" t="s">
        <v>164</v>
      </c>
      <c r="C271" s="100" t="s">
        <v>176</v>
      </c>
      <c r="D271" s="100" t="s">
        <v>92</v>
      </c>
      <c r="E271" s="100" t="s">
        <v>94</v>
      </c>
      <c r="G271" s="116"/>
      <c r="H271" s="100" t="s">
        <v>304</v>
      </c>
      <c r="Q271" s="272"/>
      <c r="R271" s="379"/>
      <c r="S271" s="272"/>
      <c r="U271" s="5">
        <v>0</v>
      </c>
      <c r="V271" t="s">
        <v>305</v>
      </c>
    </row>
    <row r="272" spans="2:22" x14ac:dyDescent="0.25">
      <c r="B272" s="109" t="s">
        <v>164</v>
      </c>
      <c r="C272" s="100" t="s">
        <v>176</v>
      </c>
      <c r="D272" s="100" t="s">
        <v>167</v>
      </c>
      <c r="E272" s="101" t="s">
        <v>94</v>
      </c>
      <c r="G272" s="116"/>
      <c r="H272" t="s">
        <v>304</v>
      </c>
      <c r="Q272" s="272"/>
      <c r="R272" s="379"/>
      <c r="S272" s="272"/>
      <c r="U272" s="5">
        <v>0</v>
      </c>
      <c r="V272" t="s">
        <v>305</v>
      </c>
    </row>
    <row r="273" spans="2:21" x14ac:dyDescent="0.25">
      <c r="B273" s="109" t="s">
        <v>178</v>
      </c>
      <c r="C273" s="100" t="s">
        <v>179</v>
      </c>
      <c r="D273" s="100" t="s">
        <v>17</v>
      </c>
      <c r="E273" s="100" t="s">
        <v>24</v>
      </c>
      <c r="H273" s="100" t="s">
        <v>304</v>
      </c>
      <c r="Q273" s="272"/>
      <c r="R273" s="379"/>
      <c r="S273" s="272"/>
      <c r="U273" s="5">
        <v>0</v>
      </c>
    </row>
    <row r="274" spans="2:21" x14ac:dyDescent="0.25">
      <c r="B274" s="109" t="s">
        <v>180</v>
      </c>
      <c r="C274" s="100"/>
      <c r="D274" s="100" t="s">
        <v>174</v>
      </c>
      <c r="E274" s="100" t="s">
        <v>1</v>
      </c>
      <c r="H274" s="100" t="s">
        <v>306</v>
      </c>
      <c r="Q274" s="272"/>
      <c r="R274" s="37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7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79"/>
      <c r="S276" s="272"/>
      <c r="U276" s="5"/>
    </row>
    <row r="277" spans="2:21" ht="15.75" x14ac:dyDescent="0.25">
      <c r="B277" s="327" t="s">
        <v>308</v>
      </c>
      <c r="C277" s="100"/>
      <c r="D277" s="100"/>
      <c r="E277" s="100"/>
      <c r="Q277" s="272"/>
      <c r="R277" s="379"/>
      <c r="S277" s="272"/>
      <c r="U277" s="5"/>
    </row>
    <row r="278" spans="2:21" x14ac:dyDescent="0.25">
      <c r="B278" s="109" t="s">
        <v>164</v>
      </c>
      <c r="C278" s="100" t="s">
        <v>165</v>
      </c>
      <c r="D278" s="100" t="s">
        <v>16</v>
      </c>
      <c r="E278" s="100" t="s">
        <v>24</v>
      </c>
      <c r="F278" t="s">
        <v>7</v>
      </c>
      <c r="H278" s="100" t="s">
        <v>304</v>
      </c>
      <c r="Q278" s="272"/>
      <c r="R278" s="37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164</v>
      </c>
      <c r="C279" s="100" t="s">
        <v>165</v>
      </c>
      <c r="D279" s="100" t="s">
        <v>167</v>
      </c>
      <c r="E279" s="100" t="s">
        <v>1</v>
      </c>
      <c r="F279" t="s">
        <v>9</v>
      </c>
      <c r="H279" s="100" t="s">
        <v>304</v>
      </c>
      <c r="Q279" s="272"/>
      <c r="R279" s="37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164</v>
      </c>
      <c r="C280" s="100" t="s">
        <v>170</v>
      </c>
      <c r="D280" s="100" t="s">
        <v>16</v>
      </c>
      <c r="E280" s="100" t="s">
        <v>24</v>
      </c>
      <c r="F280" t="s">
        <v>7</v>
      </c>
      <c r="H280" s="100" t="s">
        <v>304</v>
      </c>
      <c r="Q280" s="272"/>
      <c r="R280" s="37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164</v>
      </c>
      <c r="C281" s="100" t="s">
        <v>173</v>
      </c>
      <c r="D281" s="100" t="s">
        <v>174</v>
      </c>
      <c r="E281" s="100" t="s">
        <v>1</v>
      </c>
      <c r="F281" t="s">
        <v>8</v>
      </c>
      <c r="H281" s="100" t="s">
        <v>304</v>
      </c>
      <c r="Q281" s="272"/>
      <c r="R281" s="379"/>
      <c r="S281" s="272"/>
      <c r="T281">
        <v>0</v>
      </c>
      <c r="U281" s="5">
        <v>0</v>
      </c>
    </row>
    <row r="282" spans="2:21" x14ac:dyDescent="0.25">
      <c r="B282" s="109" t="s">
        <v>164</v>
      </c>
      <c r="C282" s="100" t="s">
        <v>176</v>
      </c>
      <c r="D282" s="100" t="s">
        <v>92</v>
      </c>
      <c r="E282" s="100" t="s">
        <v>94</v>
      </c>
      <c r="F282" s="116" t="s">
        <v>169</v>
      </c>
      <c r="H282" s="100" t="s">
        <v>304</v>
      </c>
      <c r="Q282" s="272"/>
      <c r="R282" s="37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164</v>
      </c>
      <c r="C283" s="100" t="s">
        <v>176</v>
      </c>
      <c r="D283" s="100" t="s">
        <v>167</v>
      </c>
      <c r="E283" s="101" t="s">
        <v>94</v>
      </c>
      <c r="F283" s="116" t="s">
        <v>169</v>
      </c>
      <c r="H283" s="100" t="s">
        <v>304</v>
      </c>
      <c r="Q283" s="272"/>
      <c r="R283" s="37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178</v>
      </c>
      <c r="C284" s="100" t="s">
        <v>179</v>
      </c>
      <c r="D284" s="100" t="s">
        <v>17</v>
      </c>
      <c r="E284" s="100" t="s">
        <v>24</v>
      </c>
      <c r="F284" t="s">
        <v>10</v>
      </c>
      <c r="H284" s="100" t="s">
        <v>304</v>
      </c>
      <c r="Q284" s="272"/>
      <c r="R284" s="379"/>
      <c r="S284" s="272"/>
      <c r="T284" s="287">
        <v>0</v>
      </c>
      <c r="U284" s="294">
        <v>0</v>
      </c>
    </row>
    <row r="285" spans="2:21" x14ac:dyDescent="0.25">
      <c r="B285" s="278" t="s">
        <v>180</v>
      </c>
      <c r="C285" s="110"/>
      <c r="D285" s="110" t="s">
        <v>174</v>
      </c>
      <c r="E285" s="110" t="s">
        <v>1</v>
      </c>
      <c r="F285" s="8" t="s">
        <v>8</v>
      </c>
      <c r="G285" s="8"/>
      <c r="H285" s="110" t="s">
        <v>304</v>
      </c>
      <c r="I285" s="8"/>
      <c r="J285" s="8"/>
      <c r="K285" s="8"/>
      <c r="L285" s="8"/>
      <c r="M285" s="251"/>
      <c r="N285" s="8"/>
      <c r="O285" s="8"/>
      <c r="P285" s="8"/>
      <c r="Q285" s="279"/>
      <c r="R285" s="533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79"/>
      <c r="S286" s="272"/>
    </row>
    <row r="287" spans="2:21" x14ac:dyDescent="0.25">
      <c r="Q287" s="272"/>
      <c r="R287" s="379"/>
      <c r="S287" s="272"/>
    </row>
    <row r="288" spans="2:21" ht="18.75" x14ac:dyDescent="0.3">
      <c r="B288" s="112" t="s">
        <v>316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204</v>
      </c>
      <c r="N290" s="558"/>
      <c r="O290" s="559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64">
        <f t="shared" ref="N291:O295" si="34">M291*(N$296/M$296)</f>
        <v>3.3760806916426511</v>
      </c>
      <c r="O291" s="36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45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169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64">
        <f t="shared" si="34"/>
        <v>1.2378962536023055</v>
      </c>
      <c r="O292" s="36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45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64">
        <f>M293*(N$296/M$296)</f>
        <v>0.97190201729106618</v>
      </c>
      <c r="O293" s="36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45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64">
        <f t="shared" si="34"/>
        <v>0.63429394812680118</v>
      </c>
      <c r="O294" s="36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45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64">
        <f t="shared" si="34"/>
        <v>0.87982708933717579</v>
      </c>
      <c r="O295" s="36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45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298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5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5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1211</v>
      </c>
    </row>
    <row r="301" spans="2:22" x14ac:dyDescent="0.25">
      <c r="V301" s="507"/>
    </row>
    <row r="302" spans="2:22" x14ac:dyDescent="0.25">
      <c r="O302" s="562" t="s">
        <v>1129</v>
      </c>
      <c r="P302" s="562"/>
      <c r="Q302" s="562"/>
      <c r="R302" s="547"/>
      <c r="S302" s="547"/>
      <c r="T302" s="547"/>
      <c r="U302" s="547"/>
      <c r="V302" s="507"/>
    </row>
    <row r="303" spans="2:22" x14ac:dyDescent="0.25">
      <c r="O303" s="562" t="s">
        <v>1158</v>
      </c>
      <c r="P303" s="562" t="s">
        <v>1137</v>
      </c>
      <c r="Q303" s="562" t="s">
        <v>1159</v>
      </c>
      <c r="R303" s="548">
        <v>2017</v>
      </c>
      <c r="S303" s="547">
        <v>2018</v>
      </c>
      <c r="T303" s="548">
        <v>2019</v>
      </c>
      <c r="U303" s="547">
        <v>2020</v>
      </c>
      <c r="V303" s="507"/>
    </row>
    <row r="304" spans="2:22" x14ac:dyDescent="0.25">
      <c r="O304" s="522" t="s">
        <v>939</v>
      </c>
      <c r="P304" s="522" t="s">
        <v>1160</v>
      </c>
      <c r="Q304" s="522" t="s">
        <v>1161</v>
      </c>
      <c r="R304" s="239" t="s">
        <v>1162</v>
      </c>
      <c r="V304" s="511"/>
    </row>
    <row r="305" spans="14:27" x14ac:dyDescent="0.25">
      <c r="O305" s="523" t="s">
        <v>1163</v>
      </c>
      <c r="P305" s="522" t="str">
        <f>'INPUT Energy and Emissions'!D134</f>
        <v>IISCRS</v>
      </c>
      <c r="Q305" s="522" t="s">
        <v>139</v>
      </c>
      <c r="R305" s="239">
        <f>R296</f>
        <v>6.23</v>
      </c>
      <c r="S305" s="319">
        <f>S296</f>
        <v>6.3</v>
      </c>
      <c r="T305" s="319">
        <f>T296</f>
        <v>6.1267974837582679</v>
      </c>
      <c r="U305" s="319">
        <f>U296</f>
        <v>5.0030232389251985</v>
      </c>
      <c r="V305" s="511"/>
    </row>
    <row r="306" spans="14:27" x14ac:dyDescent="0.25">
      <c r="O306" s="523"/>
      <c r="P306" s="522"/>
      <c r="Q306" s="522"/>
      <c r="V306" s="511"/>
    </row>
    <row r="307" spans="14:27" x14ac:dyDescent="0.25">
      <c r="N307" s="18" t="s">
        <v>1213</v>
      </c>
      <c r="V307" s="511"/>
    </row>
    <row r="308" spans="14:27" x14ac:dyDescent="0.25">
      <c r="V308" s="511"/>
    </row>
    <row r="309" spans="14:27" x14ac:dyDescent="0.25">
      <c r="O309" s="562" t="s">
        <v>1129</v>
      </c>
      <c r="P309" s="562"/>
      <c r="Q309" s="562"/>
      <c r="R309" s="547"/>
      <c r="S309" s="547"/>
      <c r="T309" s="547"/>
      <c r="U309" s="547"/>
      <c r="V309" s="547"/>
      <c r="W309" s="547"/>
      <c r="X309" s="547"/>
      <c r="Y309" s="547"/>
      <c r="Z309" s="547"/>
      <c r="AA309" s="547"/>
    </row>
    <row r="310" spans="14:27" x14ac:dyDescent="0.25">
      <c r="O310" s="562" t="s">
        <v>1158</v>
      </c>
      <c r="P310" s="562" t="s">
        <v>1109</v>
      </c>
      <c r="Q310" s="562">
        <v>0</v>
      </c>
      <c r="R310" s="547">
        <f>R303</f>
        <v>2017</v>
      </c>
      <c r="S310" s="547">
        <f t="shared" ref="S310:U310" si="37">S303</f>
        <v>2018</v>
      </c>
      <c r="T310" s="547">
        <f t="shared" si="37"/>
        <v>2019</v>
      </c>
      <c r="U310" s="547">
        <f t="shared" si="37"/>
        <v>2020</v>
      </c>
      <c r="V310" s="547">
        <v>2021</v>
      </c>
      <c r="W310" s="547">
        <v>2022</v>
      </c>
      <c r="X310" s="547">
        <v>2023</v>
      </c>
      <c r="Y310" s="547">
        <v>2024</v>
      </c>
      <c r="Z310" s="547">
        <v>2025</v>
      </c>
      <c r="AA310" s="547">
        <v>2026</v>
      </c>
    </row>
    <row r="311" spans="14:27" x14ac:dyDescent="0.25">
      <c r="O311" t="s">
        <v>1212</v>
      </c>
      <c r="P311" t="str">
        <f>D291</f>
        <v>IISBFBOF-E</v>
      </c>
      <c r="Q311">
        <v>-1</v>
      </c>
      <c r="R311" s="560">
        <f>R291</f>
        <v>3.0330810810810807</v>
      </c>
      <c r="S311" s="319">
        <f>S291</f>
        <v>3.2032972972972971</v>
      </c>
      <c r="T311" s="319">
        <f t="shared" ref="T311:U311" si="38">T291</f>
        <v>3.0300947810555652</v>
      </c>
      <c r="U311" s="319">
        <f t="shared" si="38"/>
        <v>3.0300947810555652</v>
      </c>
      <c r="V311" s="511"/>
    </row>
    <row r="312" spans="14:27" x14ac:dyDescent="0.25">
      <c r="O312" t="s">
        <v>1212</v>
      </c>
      <c r="P312" t="str">
        <f t="shared" ref="P312:P314" si="39">D292</f>
        <v>IISCOREAF-E</v>
      </c>
      <c r="Q312">
        <v>-1</v>
      </c>
      <c r="R312" s="560">
        <f t="shared" ref="R312:U312" si="40">R292</f>
        <v>1.1180000000000001</v>
      </c>
      <c r="S312" s="319">
        <f t="shared" si="40"/>
        <v>1.0860000000000001</v>
      </c>
      <c r="T312" s="319">
        <f t="shared" si="40"/>
        <v>1.0860000000000001</v>
      </c>
      <c r="U312" s="319">
        <f t="shared" si="40"/>
        <v>0</v>
      </c>
      <c r="V312" s="319">
        <f>U312</f>
        <v>0</v>
      </c>
      <c r="W312" s="319">
        <f>V312</f>
        <v>0</v>
      </c>
      <c r="X312" s="319">
        <f>W312</f>
        <v>0</v>
      </c>
      <c r="Y312" s="319">
        <f t="shared" ref="Y312:AA312" si="41">X312</f>
        <v>0</v>
      </c>
      <c r="Z312" s="319">
        <f t="shared" si="41"/>
        <v>0</v>
      </c>
      <c r="AA312" s="319">
        <f t="shared" si="41"/>
        <v>0</v>
      </c>
    </row>
    <row r="313" spans="14:27" x14ac:dyDescent="0.25">
      <c r="O313" t="s">
        <v>1212</v>
      </c>
      <c r="P313" t="str">
        <f t="shared" si="39"/>
        <v>IISDRIEAF-E</v>
      </c>
      <c r="Q313">
        <v>-1</v>
      </c>
      <c r="R313" s="560">
        <f t="shared" ref="R313:U313" si="42">R293</f>
        <v>0.75891891891891894</v>
      </c>
      <c r="S313" s="319">
        <f t="shared" si="42"/>
        <v>0.80270270270270283</v>
      </c>
      <c r="T313" s="319">
        <f t="shared" si="42"/>
        <v>0.80270270270270283</v>
      </c>
      <c r="U313" s="319">
        <f t="shared" si="42"/>
        <v>0.76492845786963448</v>
      </c>
    </row>
    <row r="314" spans="14:27" x14ac:dyDescent="0.25">
      <c r="O314" t="s">
        <v>1212</v>
      </c>
      <c r="P314" t="str">
        <f t="shared" si="39"/>
        <v>IISOTHEAF-E</v>
      </c>
      <c r="Q314">
        <v>-1</v>
      </c>
      <c r="R314" s="560">
        <f t="shared" ref="R314:U315" si="43">R294</f>
        <v>0</v>
      </c>
      <c r="S314" s="319">
        <f t="shared" si="43"/>
        <v>0</v>
      </c>
      <c r="T314" s="319">
        <f t="shared" si="43"/>
        <v>0</v>
      </c>
      <c r="U314" s="319">
        <f t="shared" si="43"/>
        <v>0</v>
      </c>
      <c r="V314" s="319">
        <f>U314</f>
        <v>0</v>
      </c>
      <c r="W314" s="319">
        <f t="shared" ref="W314:X314" si="44">V314</f>
        <v>0</v>
      </c>
      <c r="X314" s="319">
        <f t="shared" si="44"/>
        <v>0</v>
      </c>
      <c r="Y314" s="319">
        <f t="shared" ref="Y314" si="45">X314</f>
        <v>0</v>
      </c>
      <c r="Z314" s="319">
        <f t="shared" ref="Z314" si="46">Y314</f>
        <v>0</v>
      </c>
      <c r="AA314" s="319">
        <f t="shared" ref="AA314" si="47">Z314</f>
        <v>0</v>
      </c>
    </row>
    <row r="315" spans="14:27" x14ac:dyDescent="0.25">
      <c r="O315" t="s">
        <v>1212</v>
      </c>
      <c r="P315" t="str">
        <f>D295</f>
        <v>IISSCREAF-E</v>
      </c>
      <c r="Q315">
        <v>-1</v>
      </c>
      <c r="R315" s="560">
        <f>R295</f>
        <v>1.3200000000000003</v>
      </c>
      <c r="S315" s="319">
        <f>S295</f>
        <v>1.2079999999999993</v>
      </c>
      <c r="T315" s="319">
        <f t="shared" si="43"/>
        <v>1.2079999999999993</v>
      </c>
      <c r="U315" s="319">
        <f t="shared" si="43"/>
        <v>1.2079999999999993</v>
      </c>
    </row>
    <row r="317" spans="14:27" x14ac:dyDescent="0.25">
      <c r="O317" t="s">
        <v>460</v>
      </c>
      <c r="R317" s="561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61"/>
    </row>
    <row r="319" spans="14:27" x14ac:dyDescent="0.25">
      <c r="R319" s="561"/>
    </row>
    <row r="320" spans="14:27" x14ac:dyDescent="0.25">
      <c r="R320" s="561"/>
    </row>
    <row r="321" spans="2:24" x14ac:dyDescent="0.25">
      <c r="R321" s="561"/>
    </row>
    <row r="322" spans="2:24" x14ac:dyDescent="0.25">
      <c r="R322" s="561"/>
    </row>
    <row r="325" spans="2:24" x14ac:dyDescent="0.25">
      <c r="B325" t="s">
        <v>313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310</v>
      </c>
      <c r="C327" t="s">
        <v>304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311</v>
      </c>
      <c r="C328" t="s">
        <v>304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233</v>
      </c>
      <c r="C329" t="s">
        <v>261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350</v>
      </c>
    </row>
    <row r="330" spans="2:24" x14ac:dyDescent="0.25">
      <c r="B330" s="4" t="s">
        <v>314</v>
      </c>
      <c r="C330" t="s">
        <v>315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312</v>
      </c>
      <c r="V332" s="5"/>
    </row>
    <row r="333" spans="2:24" x14ac:dyDescent="0.25">
      <c r="B333" s="4" t="s">
        <v>24</v>
      </c>
      <c r="C333" t="s">
        <v>186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46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186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46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261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261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483</v>
      </c>
      <c r="C338" t="s">
        <v>261</v>
      </c>
      <c r="M338" s="360">
        <f>M295/M296</f>
        <v>0.1239193083573487</v>
      </c>
      <c r="N338" s="361"/>
      <c r="O338" s="361"/>
      <c r="P338" s="362">
        <f t="shared" ref="P338:U338" si="57">P295/P296</f>
        <v>0.21281250000000002</v>
      </c>
      <c r="Q338" s="362">
        <f t="shared" si="57"/>
        <v>0.21671318338532264</v>
      </c>
      <c r="R338" s="360">
        <f t="shared" si="57"/>
        <v>0.21187800963081865</v>
      </c>
      <c r="S338" s="362">
        <f t="shared" si="57"/>
        <v>0.19174603174603164</v>
      </c>
      <c r="T338" s="363">
        <f t="shared" si="57"/>
        <v>0.19716662794915726</v>
      </c>
      <c r="U338" s="36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93" zoomScale="85" zoomScaleNormal="85" workbookViewId="0">
      <selection activeCell="H110" sqref="H110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377</v>
      </c>
      <c r="J2" t="s">
        <v>383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390</v>
      </c>
    </row>
    <row r="5" spans="1:12" x14ac:dyDescent="0.25">
      <c r="A5" s="4" t="s">
        <v>379</v>
      </c>
      <c r="B5" s="340">
        <v>220000</v>
      </c>
      <c r="C5" t="s">
        <v>380</v>
      </c>
      <c r="H5" s="5"/>
      <c r="J5">
        <v>30</v>
      </c>
      <c r="K5" t="s">
        <v>391</v>
      </c>
    </row>
    <row r="6" spans="1:12" x14ac:dyDescent="0.25">
      <c r="A6" s="4" t="s">
        <v>420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378</v>
      </c>
      <c r="C8">
        <v>195000</v>
      </c>
      <c r="D8">
        <v>190000</v>
      </c>
      <c r="E8">
        <v>184000</v>
      </c>
      <c r="G8" t="s">
        <v>285</v>
      </c>
      <c r="H8" s="5"/>
      <c r="J8" t="s">
        <v>387</v>
      </c>
    </row>
    <row r="9" spans="1:12" x14ac:dyDescent="0.25">
      <c r="A9" s="4" t="s">
        <v>381</v>
      </c>
      <c r="C9">
        <v>1.4</v>
      </c>
      <c r="D9">
        <v>1.4</v>
      </c>
      <c r="E9">
        <v>1.4</v>
      </c>
      <c r="G9" t="s">
        <v>382</v>
      </c>
      <c r="H9" s="5"/>
      <c r="J9" t="s">
        <v>388</v>
      </c>
    </row>
    <row r="10" spans="1:12" x14ac:dyDescent="0.25">
      <c r="A10" s="4"/>
      <c r="H10" s="5"/>
    </row>
    <row r="11" spans="1:12" x14ac:dyDescent="0.25">
      <c r="A11" s="4" t="s">
        <v>386</v>
      </c>
      <c r="H11" s="5"/>
    </row>
    <row r="12" spans="1:12" x14ac:dyDescent="0.25">
      <c r="A12" s="4" t="s">
        <v>384</v>
      </c>
      <c r="C12">
        <v>367</v>
      </c>
      <c r="D12">
        <v>193</v>
      </c>
      <c r="E12">
        <v>158</v>
      </c>
      <c r="G12" t="s">
        <v>385</v>
      </c>
      <c r="H12" s="5"/>
      <c r="J12" t="s">
        <v>421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504</v>
      </c>
    </row>
    <row r="15" spans="1:12" x14ac:dyDescent="0.25">
      <c r="A15" s="4" t="s">
        <v>389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503</v>
      </c>
      <c r="L16" s="5"/>
    </row>
    <row r="17" spans="1:12" x14ac:dyDescent="0.25">
      <c r="J17" s="4" t="s">
        <v>202</v>
      </c>
      <c r="K17">
        <v>2.91</v>
      </c>
      <c r="L17" s="5"/>
    </row>
    <row r="18" spans="1:12" x14ac:dyDescent="0.25">
      <c r="J18" s="4" t="s">
        <v>502</v>
      </c>
      <c r="K18">
        <v>2.7</v>
      </c>
      <c r="L18" s="5"/>
    </row>
    <row r="19" spans="1:12" x14ac:dyDescent="0.25">
      <c r="A19" t="s">
        <v>435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39">
        <v>695000</v>
      </c>
      <c r="C21" t="s">
        <v>436</v>
      </c>
      <c r="H21" s="5"/>
    </row>
    <row r="22" spans="1:12" x14ac:dyDescent="0.25">
      <c r="A22" s="4" t="s">
        <v>437</v>
      </c>
      <c r="B22" s="1">
        <v>190000</v>
      </c>
      <c r="C22" t="s">
        <v>438</v>
      </c>
      <c r="H22" s="5"/>
      <c r="J22">
        <v>30</v>
      </c>
      <c r="K22" t="s">
        <v>391</v>
      </c>
    </row>
    <row r="23" spans="1:12" x14ac:dyDescent="0.25">
      <c r="A23" s="4"/>
      <c r="H23" s="5"/>
      <c r="J23" s="19">
        <f>B21*1000*J22/1000000000</f>
        <v>20.85</v>
      </c>
      <c r="K23" t="s">
        <v>1184</v>
      </c>
    </row>
    <row r="24" spans="1:12" x14ac:dyDescent="0.25">
      <c r="A24" s="4" t="s">
        <v>381</v>
      </c>
      <c r="B24">
        <v>1.4</v>
      </c>
      <c r="C24" t="s">
        <v>439</v>
      </c>
      <c r="H24" s="5"/>
    </row>
    <row r="25" spans="1:12" x14ac:dyDescent="0.25">
      <c r="A25" s="4"/>
      <c r="H25" s="5"/>
    </row>
    <row r="26" spans="1:12" x14ac:dyDescent="0.25">
      <c r="A26" s="4"/>
      <c r="B26" s="320">
        <f>B24*1000000000/B22</f>
        <v>7368.4210526315792</v>
      </c>
      <c r="C26" t="s">
        <v>440</v>
      </c>
      <c r="H26" s="5"/>
      <c r="J26" s="320">
        <f>J22</f>
        <v>30</v>
      </c>
      <c r="K26" t="s">
        <v>145</v>
      </c>
    </row>
    <row r="27" spans="1:12" x14ac:dyDescent="0.25">
      <c r="A27" s="4"/>
      <c r="H27" s="5"/>
      <c r="J27" s="301">
        <f>B26/J26</f>
        <v>245.61403508771932</v>
      </c>
      <c r="K27" t="s">
        <v>608</v>
      </c>
      <c r="L27" t="s">
        <v>1185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403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404</v>
      </c>
      <c r="H37" s="5"/>
    </row>
    <row r="38" spans="1:8" x14ac:dyDescent="0.25">
      <c r="A38" s="4" t="s">
        <v>405</v>
      </c>
      <c r="H38" s="5"/>
    </row>
    <row r="39" spans="1:8" x14ac:dyDescent="0.25">
      <c r="A39" s="4"/>
      <c r="H39" s="5"/>
    </row>
    <row r="40" spans="1:8" x14ac:dyDescent="0.25">
      <c r="A40" s="4" t="s">
        <v>406</v>
      </c>
      <c r="H40" s="5"/>
    </row>
    <row r="41" spans="1:8" x14ac:dyDescent="0.25">
      <c r="A41" s="4"/>
      <c r="B41" t="s">
        <v>5</v>
      </c>
      <c r="C41" t="s">
        <v>408</v>
      </c>
      <c r="H41" s="5"/>
    </row>
    <row r="42" spans="1:8" x14ac:dyDescent="0.25">
      <c r="A42" s="4" t="s">
        <v>407</v>
      </c>
      <c r="B42">
        <v>0.4</v>
      </c>
      <c r="C42">
        <v>1.8</v>
      </c>
      <c r="D42" t="s">
        <v>186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422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538</v>
      </c>
    </row>
    <row r="50" spans="1:14" x14ac:dyDescent="0.25">
      <c r="A50" s="4"/>
      <c r="C50" t="s">
        <v>430</v>
      </c>
      <c r="H50" s="5"/>
    </row>
    <row r="51" spans="1:14" x14ac:dyDescent="0.25">
      <c r="A51" s="4" t="s">
        <v>424</v>
      </c>
      <c r="B51" t="s">
        <v>426</v>
      </c>
      <c r="C51" s="1">
        <v>1088723</v>
      </c>
      <c r="D51" t="s">
        <v>423</v>
      </c>
      <c r="F51" t="s">
        <v>428</v>
      </c>
      <c r="H51" s="5"/>
      <c r="J51" s="119">
        <f>C51/0.52</f>
        <v>2093698.0769230768</v>
      </c>
      <c r="K51" t="s">
        <v>431</v>
      </c>
      <c r="M51" s="19">
        <f>C51/1000</f>
        <v>1088.723</v>
      </c>
      <c r="N51" t="s">
        <v>539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432</v>
      </c>
      <c r="M52" s="320">
        <f>J52/1000</f>
        <v>62.810942307692308</v>
      </c>
      <c r="N52" t="s">
        <v>540</v>
      </c>
    </row>
    <row r="53" spans="1:14" x14ac:dyDescent="0.25">
      <c r="A53" s="4" t="s">
        <v>427</v>
      </c>
      <c r="B53" t="s">
        <v>425</v>
      </c>
      <c r="C53" s="1">
        <v>317799</v>
      </c>
      <c r="D53" t="s">
        <v>423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594</v>
      </c>
    </row>
    <row r="55" spans="1:14" x14ac:dyDescent="0.25">
      <c r="A55" s="4" t="s">
        <v>23</v>
      </c>
      <c r="B55" t="s">
        <v>429</v>
      </c>
      <c r="C55" s="1">
        <v>8569232</v>
      </c>
      <c r="D55" t="s">
        <v>423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433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434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444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445</v>
      </c>
      <c r="B74">
        <v>1.1499999999999999</v>
      </c>
      <c r="C74" t="s">
        <v>446</v>
      </c>
      <c r="H74" s="5"/>
    </row>
    <row r="75" spans="1:12" x14ac:dyDescent="0.25">
      <c r="A75" s="4"/>
      <c r="H75" s="5"/>
    </row>
    <row r="76" spans="1:12" x14ac:dyDescent="0.25">
      <c r="A76" s="4" t="s">
        <v>447</v>
      </c>
      <c r="B76" s="285">
        <v>0.65</v>
      </c>
      <c r="C76" t="s">
        <v>516</v>
      </c>
      <c r="H76" s="5"/>
    </row>
    <row r="77" spans="1:12" x14ac:dyDescent="0.25">
      <c r="A77" s="4" t="s">
        <v>448</v>
      </c>
      <c r="B77" s="285">
        <v>0.35</v>
      </c>
      <c r="C77" t="s">
        <v>1094</v>
      </c>
      <c r="H77" s="5"/>
    </row>
    <row r="78" spans="1:12" x14ac:dyDescent="0.25">
      <c r="A78" s="4"/>
      <c r="H78" s="5"/>
    </row>
    <row r="79" spans="1:12" x14ac:dyDescent="0.25">
      <c r="A79" s="4" t="s">
        <v>451</v>
      </c>
      <c r="H79" s="5"/>
    </row>
    <row r="80" spans="1:12" x14ac:dyDescent="0.25">
      <c r="A80" s="4"/>
      <c r="B80" t="s">
        <v>450</v>
      </c>
      <c r="H80" s="5"/>
      <c r="J80" t="s">
        <v>391</v>
      </c>
      <c r="L80" t="s">
        <v>452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449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460</v>
      </c>
      <c r="L84" s="341">
        <f>SUM(L81:L83)</f>
        <v>15570</v>
      </c>
      <c r="M84" s="18" t="s">
        <v>453</v>
      </c>
    </row>
    <row r="85" spans="1:15" x14ac:dyDescent="0.25">
      <c r="A85" s="4"/>
      <c r="H85" s="5"/>
      <c r="K85" t="s">
        <v>11</v>
      </c>
      <c r="L85" s="344">
        <f>L81+L82</f>
        <v>11730</v>
      </c>
      <c r="M85" s="18" t="s">
        <v>453</v>
      </c>
    </row>
    <row r="86" spans="1:15" x14ac:dyDescent="0.25">
      <c r="A86" s="4" t="s">
        <v>454</v>
      </c>
      <c r="B86">
        <v>1.8</v>
      </c>
      <c r="C86" t="s">
        <v>455</v>
      </c>
      <c r="H86" s="5"/>
      <c r="K86" t="s">
        <v>13</v>
      </c>
      <c r="L86" s="344">
        <f>L83</f>
        <v>3840</v>
      </c>
      <c r="M86" s="18" t="s">
        <v>453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0"/>
    </row>
    <row r="93" spans="1:15" x14ac:dyDescent="0.25">
      <c r="O93" s="320"/>
    </row>
    <row r="94" spans="1:15" x14ac:dyDescent="0.25">
      <c r="B94" t="s">
        <v>595</v>
      </c>
      <c r="J94" s="285"/>
      <c r="O94" s="320"/>
    </row>
    <row r="95" spans="1:15" x14ac:dyDescent="0.25">
      <c r="B95" t="s">
        <v>607</v>
      </c>
      <c r="J95" s="285"/>
    </row>
    <row r="96" spans="1:15" ht="15.75" thickBot="1" x14ac:dyDescent="0.3">
      <c r="B96" s="402"/>
      <c r="C96" s="402" t="s">
        <v>596</v>
      </c>
      <c r="D96" s="402" t="s">
        <v>597</v>
      </c>
      <c r="E96" s="402" t="s">
        <v>598</v>
      </c>
      <c r="F96" s="402" t="s">
        <v>599</v>
      </c>
      <c r="G96" s="402" t="s">
        <v>600</v>
      </c>
      <c r="J96" s="119"/>
    </row>
    <row r="97" spans="2:14" ht="29.25" thickBot="1" x14ac:dyDescent="0.3">
      <c r="B97" s="403" t="s">
        <v>601</v>
      </c>
      <c r="C97" s="404" t="s">
        <v>602</v>
      </c>
      <c r="D97" s="404" t="s">
        <v>603</v>
      </c>
      <c r="E97" s="404" t="s">
        <v>604</v>
      </c>
      <c r="F97" s="404" t="s">
        <v>605</v>
      </c>
      <c r="G97" s="404">
        <v>179.47</v>
      </c>
      <c r="H97" s="405" t="s">
        <v>606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440</v>
      </c>
      <c r="J100" s="319">
        <v>29</v>
      </c>
      <c r="K100" t="s">
        <v>145</v>
      </c>
    </row>
    <row r="101" spans="2:14" x14ac:dyDescent="0.25">
      <c r="G101" s="320">
        <f>G100/J100</f>
        <v>99.017931034482757</v>
      </c>
      <c r="H101" t="s">
        <v>608</v>
      </c>
    </row>
    <row r="103" spans="2:14" x14ac:dyDescent="0.25">
      <c r="N103" s="285"/>
    </row>
    <row r="107" spans="2:14" x14ac:dyDescent="0.25">
      <c r="B107" s="563"/>
      <c r="C107" s="563"/>
      <c r="D107" s="549" t="s">
        <v>1129</v>
      </c>
      <c r="E107" s="547"/>
      <c r="F107" s="547"/>
      <c r="G107" s="563"/>
      <c r="H107" s="564"/>
      <c r="I107" s="550" t="s">
        <v>1073</v>
      </c>
      <c r="J107" s="550"/>
      <c r="K107" s="550"/>
      <c r="L107" s="550"/>
      <c r="N107" s="285"/>
    </row>
    <row r="108" spans="2:14" ht="23.25" x14ac:dyDescent="0.25">
      <c r="B108" s="551" t="s">
        <v>1109</v>
      </c>
      <c r="C108" s="553" t="s">
        <v>1130</v>
      </c>
      <c r="D108" s="553" t="s">
        <v>1131</v>
      </c>
      <c r="E108" s="565" t="s">
        <v>1132</v>
      </c>
      <c r="F108" s="565" t="s">
        <v>1133</v>
      </c>
      <c r="G108" s="565" t="s">
        <v>1186</v>
      </c>
      <c r="H108" s="552" t="s">
        <v>858</v>
      </c>
      <c r="I108" s="552" t="str">
        <f>"ENV_ACT~"&amp;I107</f>
        <v>ENV_ACT~CO2SP</v>
      </c>
      <c r="J108" s="550" t="s">
        <v>952</v>
      </c>
      <c r="K108" s="550" t="s">
        <v>877</v>
      </c>
      <c r="L108" s="550" t="s">
        <v>1194</v>
      </c>
    </row>
    <row r="109" spans="2:14" x14ac:dyDescent="0.25">
      <c r="B109" s="99" t="s">
        <v>1071</v>
      </c>
      <c r="C109" t="s">
        <v>1189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G113</f>
        <v>0.65</v>
      </c>
      <c r="I109">
        <f>M54</f>
        <v>17.333333333333332</v>
      </c>
      <c r="J109" s="507">
        <v>1000</v>
      </c>
      <c r="K109" s="507">
        <v>10</v>
      </c>
      <c r="L109" s="507">
        <v>0</v>
      </c>
    </row>
    <row r="113" spans="7:8" x14ac:dyDescent="0.25">
      <c r="G113">
        <v>0.65</v>
      </c>
      <c r="H113" t="s">
        <v>1187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92" zoomScale="85" zoomScaleNormal="85" workbookViewId="0">
      <selection activeCell="D123" sqref="D123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615</v>
      </c>
    </row>
    <row r="3" spans="1:10" ht="16.5" thickTop="1" x14ac:dyDescent="0.25"/>
    <row r="4" spans="1:10" x14ac:dyDescent="0.25">
      <c r="B4" s="58" t="s">
        <v>616</v>
      </c>
      <c r="C4" s="60" t="s">
        <v>617</v>
      </c>
      <c r="D4" s="21" t="s">
        <v>678</v>
      </c>
      <c r="E4" s="43">
        <v>1.3012729844413011</v>
      </c>
      <c r="F4" s="21" t="s">
        <v>679</v>
      </c>
    </row>
    <row r="5" spans="1:10" x14ac:dyDescent="0.25">
      <c r="B5" s="58" t="s">
        <v>618</v>
      </c>
      <c r="C5" s="60">
        <v>2010</v>
      </c>
    </row>
    <row r="7" spans="1:10" ht="18" thickBot="1" x14ac:dyDescent="0.35">
      <c r="B7" s="22" t="s">
        <v>675</v>
      </c>
    </row>
    <row r="8" spans="1:10" ht="16.5" thickTop="1" x14ac:dyDescent="0.25">
      <c r="B8" s="407"/>
      <c r="C8" s="408"/>
      <c r="D8" s="408" t="s">
        <v>619</v>
      </c>
      <c r="E8" s="408" t="s">
        <v>620</v>
      </c>
      <c r="F8" s="408" t="s">
        <v>621</v>
      </c>
      <c r="G8" s="408" t="s">
        <v>622</v>
      </c>
      <c r="H8" s="408" t="s">
        <v>623</v>
      </c>
      <c r="I8" s="408" t="s">
        <v>676</v>
      </c>
      <c r="J8" s="409" t="s">
        <v>515</v>
      </c>
    </row>
    <row r="9" spans="1:10" x14ac:dyDescent="0.25">
      <c r="B9" s="70"/>
      <c r="C9" s="81"/>
      <c r="D9" s="81" t="s">
        <v>624</v>
      </c>
      <c r="E9" s="81" t="s">
        <v>625</v>
      </c>
      <c r="F9" s="81"/>
      <c r="G9" s="81"/>
      <c r="H9" s="81"/>
      <c r="I9" s="81"/>
      <c r="J9" s="410"/>
    </row>
    <row r="10" spans="1:10" x14ac:dyDescent="0.25">
      <c r="B10" s="80" t="s">
        <v>228</v>
      </c>
      <c r="C10" s="59" t="s">
        <v>243</v>
      </c>
      <c r="D10" s="59" t="s">
        <v>626</v>
      </c>
      <c r="E10" s="59">
        <v>98</v>
      </c>
      <c r="F10" s="59" t="s">
        <v>627</v>
      </c>
      <c r="G10" s="411">
        <v>2011</v>
      </c>
      <c r="H10" s="59">
        <v>7.5574381672222009</v>
      </c>
      <c r="I10" s="416">
        <f>H10*E10</f>
        <v>740.62894038777563</v>
      </c>
      <c r="J10" s="412" t="s">
        <v>628</v>
      </c>
    </row>
    <row r="11" spans="1:10" x14ac:dyDescent="0.25">
      <c r="B11" s="55"/>
      <c r="C11" s="59" t="s">
        <v>629</v>
      </c>
      <c r="D11" s="59" t="s">
        <v>626</v>
      </c>
      <c r="E11" s="59">
        <v>43.89</v>
      </c>
      <c r="F11" s="59" t="s">
        <v>627</v>
      </c>
      <c r="G11" s="411">
        <v>2000</v>
      </c>
      <c r="H11" s="59">
        <v>5.914974034351558</v>
      </c>
      <c r="I11" s="416">
        <f>H11*E11</f>
        <v>259.60821036768988</v>
      </c>
      <c r="J11" s="412" t="s">
        <v>630</v>
      </c>
    </row>
    <row r="12" spans="1:10" x14ac:dyDescent="0.25">
      <c r="B12" s="58"/>
      <c r="C12" s="59" t="s">
        <v>631</v>
      </c>
      <c r="D12" s="59" t="s">
        <v>626</v>
      </c>
      <c r="E12" s="59">
        <v>340</v>
      </c>
      <c r="F12" s="59" t="s">
        <v>627</v>
      </c>
      <c r="G12" s="411">
        <v>2011</v>
      </c>
      <c r="H12" s="59">
        <v>7.5574381672222009</v>
      </c>
      <c r="I12" s="416">
        <f t="shared" ref="I12:I27" si="0">H12*E12</f>
        <v>2569.5289768555481</v>
      </c>
      <c r="J12" s="412" t="s">
        <v>628</v>
      </c>
    </row>
    <row r="13" spans="1:10" x14ac:dyDescent="0.25">
      <c r="B13" s="58"/>
      <c r="C13" s="59" t="s">
        <v>632</v>
      </c>
      <c r="D13" s="59" t="s">
        <v>633</v>
      </c>
      <c r="E13" s="59">
        <v>9.5000000000000001E-2</v>
      </c>
      <c r="F13" s="59" t="s">
        <v>627</v>
      </c>
      <c r="G13" s="411">
        <v>2011</v>
      </c>
      <c r="H13" s="59">
        <v>7.5574381672222009</v>
      </c>
      <c r="I13" s="416">
        <f t="shared" si="0"/>
        <v>0.71795662588610909</v>
      </c>
      <c r="J13" s="412" t="s">
        <v>628</v>
      </c>
    </row>
    <row r="14" spans="1:10" x14ac:dyDescent="0.25">
      <c r="B14" s="58"/>
      <c r="C14" s="59" t="s">
        <v>634</v>
      </c>
      <c r="D14" s="59" t="s">
        <v>626</v>
      </c>
      <c r="E14" s="59">
        <v>90.02</v>
      </c>
      <c r="F14" s="59" t="s">
        <v>627</v>
      </c>
      <c r="G14" s="411">
        <v>2000</v>
      </c>
      <c r="H14" s="59">
        <v>5.914974034351558</v>
      </c>
      <c r="I14" s="416">
        <f t="shared" si="0"/>
        <v>532.46596257232727</v>
      </c>
      <c r="J14" s="412" t="s">
        <v>630</v>
      </c>
    </row>
    <row r="15" spans="1:10" x14ac:dyDescent="0.25">
      <c r="B15" s="58"/>
      <c r="C15" s="59" t="s">
        <v>635</v>
      </c>
      <c r="D15" s="59" t="s">
        <v>626</v>
      </c>
      <c r="E15" s="59">
        <v>77.83</v>
      </c>
      <c r="F15" s="59" t="s">
        <v>627</v>
      </c>
      <c r="G15" s="411">
        <v>2000</v>
      </c>
      <c r="H15" s="59">
        <v>5.914974034351558</v>
      </c>
      <c r="I15" s="416">
        <f t="shared" si="0"/>
        <v>460.36242909358174</v>
      </c>
      <c r="J15" s="412" t="s">
        <v>630</v>
      </c>
    </row>
    <row r="16" spans="1:10" x14ac:dyDescent="0.25">
      <c r="B16" s="58"/>
      <c r="C16" s="59" t="s">
        <v>636</v>
      </c>
      <c r="D16" s="59" t="s">
        <v>626</v>
      </c>
      <c r="E16" s="59">
        <v>1175</v>
      </c>
      <c r="F16" s="59" t="s">
        <v>627</v>
      </c>
      <c r="G16" s="411">
        <v>2011</v>
      </c>
      <c r="H16" s="59">
        <v>7.5574381672222009</v>
      </c>
      <c r="I16" s="416">
        <f t="shared" si="0"/>
        <v>8879.9898464860853</v>
      </c>
      <c r="J16" s="412" t="s">
        <v>628</v>
      </c>
    </row>
    <row r="17" spans="2:10" x14ac:dyDescent="0.25">
      <c r="B17" s="58"/>
      <c r="C17" s="59" t="s">
        <v>245</v>
      </c>
      <c r="D17" s="59" t="s">
        <v>626</v>
      </c>
      <c r="E17" s="59">
        <v>50</v>
      </c>
      <c r="F17" s="59" t="s">
        <v>627</v>
      </c>
      <c r="G17" s="411">
        <v>2011</v>
      </c>
      <c r="H17" s="59">
        <v>7.5574381672222009</v>
      </c>
      <c r="I17" s="416">
        <f t="shared" si="0"/>
        <v>377.87190836111006</v>
      </c>
      <c r="J17" s="412" t="s">
        <v>628</v>
      </c>
    </row>
    <row r="18" spans="2:10" x14ac:dyDescent="0.25">
      <c r="B18" s="58"/>
      <c r="C18" s="59" t="s">
        <v>637</v>
      </c>
      <c r="D18" s="59" t="s">
        <v>626</v>
      </c>
      <c r="E18" s="59">
        <v>490.53</v>
      </c>
      <c r="F18" s="59" t="s">
        <v>627</v>
      </c>
      <c r="G18" s="411">
        <v>2000</v>
      </c>
      <c r="H18" s="59">
        <v>5.914974034351558</v>
      </c>
      <c r="I18" s="416">
        <f t="shared" si="0"/>
        <v>2901.4722130704695</v>
      </c>
      <c r="J18" s="412" t="s">
        <v>630</v>
      </c>
    </row>
    <row r="19" spans="2:10" x14ac:dyDescent="0.25">
      <c r="B19" s="58"/>
      <c r="C19" s="59" t="s">
        <v>638</v>
      </c>
      <c r="D19" s="59" t="s">
        <v>626</v>
      </c>
      <c r="E19" s="59">
        <v>5800</v>
      </c>
      <c r="F19" s="59" t="s">
        <v>627</v>
      </c>
      <c r="G19" s="411">
        <v>2011</v>
      </c>
      <c r="H19" s="59">
        <v>7.5574381672222009</v>
      </c>
      <c r="I19" s="416">
        <f t="shared" si="0"/>
        <v>43833.141369888763</v>
      </c>
      <c r="J19" s="412" t="s">
        <v>628</v>
      </c>
    </row>
    <row r="20" spans="2:10" x14ac:dyDescent="0.25">
      <c r="B20" s="58"/>
      <c r="C20" s="59" t="s">
        <v>639</v>
      </c>
      <c r="D20" s="59" t="s">
        <v>626</v>
      </c>
      <c r="E20" s="59">
        <v>648</v>
      </c>
      <c r="F20" s="59" t="s">
        <v>627</v>
      </c>
      <c r="G20" s="411">
        <v>2011</v>
      </c>
      <c r="H20" s="59">
        <v>7.5574381672222009</v>
      </c>
      <c r="I20" s="416">
        <f t="shared" si="0"/>
        <v>4897.2199323599862</v>
      </c>
      <c r="J20" s="412" t="s">
        <v>628</v>
      </c>
    </row>
    <row r="21" spans="2:10" x14ac:dyDescent="0.25">
      <c r="B21" s="80" t="s">
        <v>640</v>
      </c>
      <c r="C21" s="59" t="s">
        <v>641</v>
      </c>
      <c r="D21" s="59" t="s">
        <v>626</v>
      </c>
      <c r="E21" s="59">
        <v>9.25</v>
      </c>
      <c r="F21" s="59" t="s">
        <v>627</v>
      </c>
      <c r="G21" s="411">
        <v>2011</v>
      </c>
      <c r="H21" s="59">
        <v>7.5574381672222009</v>
      </c>
      <c r="I21" s="416">
        <f t="shared" si="0"/>
        <v>69.906303046805363</v>
      </c>
      <c r="J21" s="412" t="s">
        <v>628</v>
      </c>
    </row>
    <row r="22" spans="2:10" x14ac:dyDescent="0.25">
      <c r="B22" s="58"/>
      <c r="C22" s="59" t="s">
        <v>642</v>
      </c>
      <c r="D22" s="59" t="s">
        <v>626</v>
      </c>
      <c r="E22" s="59">
        <v>5</v>
      </c>
      <c r="F22" s="59" t="s">
        <v>627</v>
      </c>
      <c r="G22" s="411">
        <v>2011</v>
      </c>
      <c r="H22" s="59">
        <v>7.5574381672222009</v>
      </c>
      <c r="I22" s="416">
        <f t="shared" si="0"/>
        <v>37.787190836111002</v>
      </c>
      <c r="J22" s="412" t="s">
        <v>628</v>
      </c>
    </row>
    <row r="23" spans="2:10" x14ac:dyDescent="0.25">
      <c r="B23" s="58"/>
      <c r="C23" s="59" t="s">
        <v>643</v>
      </c>
      <c r="D23" s="59" t="s">
        <v>626</v>
      </c>
      <c r="E23" s="59">
        <v>13.25</v>
      </c>
      <c r="F23" s="59" t="s">
        <v>627</v>
      </c>
      <c r="G23" s="411">
        <v>2011</v>
      </c>
      <c r="H23" s="59">
        <v>7.5574381672222009</v>
      </c>
      <c r="I23" s="416">
        <f t="shared" si="0"/>
        <v>100.13605571569416</v>
      </c>
      <c r="J23" s="412" t="s">
        <v>628</v>
      </c>
    </row>
    <row r="24" spans="2:10" x14ac:dyDescent="0.25">
      <c r="B24" s="80" t="s">
        <v>644</v>
      </c>
      <c r="C24" s="59" t="s">
        <v>645</v>
      </c>
      <c r="D24" s="59" t="s">
        <v>646</v>
      </c>
      <c r="E24" s="59">
        <v>37.700000000000003</v>
      </c>
      <c r="F24" s="59" t="s">
        <v>627</v>
      </c>
      <c r="G24" s="411">
        <v>2011</v>
      </c>
      <c r="H24" s="59">
        <v>7.5574381672222009</v>
      </c>
      <c r="I24" s="416">
        <f t="shared" si="0"/>
        <v>284.91541890427698</v>
      </c>
      <c r="J24" s="412" t="s">
        <v>628</v>
      </c>
    </row>
    <row r="25" spans="2:10" x14ac:dyDescent="0.25">
      <c r="B25" s="58"/>
      <c r="C25" s="59" t="s">
        <v>647</v>
      </c>
      <c r="D25" s="59"/>
      <c r="E25" s="59"/>
      <c r="F25" s="59" t="s">
        <v>627</v>
      </c>
      <c r="G25" s="411">
        <v>2011</v>
      </c>
      <c r="H25" s="59">
        <v>7.5574381672222009</v>
      </c>
      <c r="I25" s="416">
        <f>H25*E25</f>
        <v>0</v>
      </c>
      <c r="J25" s="412" t="s">
        <v>628</v>
      </c>
    </row>
    <row r="26" spans="2:10" x14ac:dyDescent="0.25">
      <c r="B26" s="58"/>
      <c r="C26" s="59" t="s">
        <v>648</v>
      </c>
      <c r="D26" s="413" t="s">
        <v>649</v>
      </c>
      <c r="E26" s="59">
        <v>15</v>
      </c>
      <c r="F26" s="59" t="s">
        <v>627</v>
      </c>
      <c r="G26" s="411">
        <v>2011</v>
      </c>
      <c r="H26" s="59">
        <v>7.5574381672222009</v>
      </c>
      <c r="I26" s="416">
        <f t="shared" si="0"/>
        <v>113.36157250833301</v>
      </c>
      <c r="J26" s="412" t="s">
        <v>628</v>
      </c>
    </row>
    <row r="27" spans="2:10" x14ac:dyDescent="0.25">
      <c r="B27" s="58"/>
      <c r="C27" s="59" t="s">
        <v>650</v>
      </c>
      <c r="D27" s="413" t="s">
        <v>649</v>
      </c>
      <c r="E27" s="59">
        <v>-31.8</v>
      </c>
      <c r="F27" s="59" t="s">
        <v>627</v>
      </c>
      <c r="G27" s="411">
        <v>2011</v>
      </c>
      <c r="H27" s="59">
        <v>7.5574381672222009</v>
      </c>
      <c r="I27" s="416">
        <f t="shared" si="0"/>
        <v>-240.326533717666</v>
      </c>
      <c r="J27" s="412" t="s">
        <v>628</v>
      </c>
    </row>
    <row r="33" spans="2:9" ht="18" thickBot="1" x14ac:dyDescent="0.35">
      <c r="B33" s="22" t="s">
        <v>651</v>
      </c>
    </row>
    <row r="34" spans="2:9" ht="16.5" thickTop="1" x14ac:dyDescent="0.25">
      <c r="B34" s="407"/>
      <c r="C34" s="408"/>
      <c r="D34" s="408" t="s">
        <v>652</v>
      </c>
      <c r="E34" s="408" t="s">
        <v>619</v>
      </c>
      <c r="F34" s="408" t="s">
        <v>7</v>
      </c>
      <c r="G34" s="408"/>
      <c r="H34" s="408" t="s">
        <v>7</v>
      </c>
      <c r="I34" s="409" t="s">
        <v>653</v>
      </c>
    </row>
    <row r="35" spans="2:9" x14ac:dyDescent="0.25">
      <c r="B35" s="70"/>
      <c r="C35" s="81"/>
      <c r="D35" s="81"/>
      <c r="E35" s="81"/>
      <c r="F35" s="81" t="s">
        <v>654</v>
      </c>
      <c r="G35" s="81"/>
      <c r="H35" s="414" t="s">
        <v>655</v>
      </c>
      <c r="I35" s="410"/>
    </row>
    <row r="36" spans="2:9" x14ac:dyDescent="0.25">
      <c r="B36" s="58" t="s">
        <v>656</v>
      </c>
      <c r="C36" s="59" t="s">
        <v>243</v>
      </c>
      <c r="D36" s="59" t="s">
        <v>657</v>
      </c>
      <c r="E36" s="59" t="s">
        <v>658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659</v>
      </c>
    </row>
    <row r="37" spans="2:9" x14ac:dyDescent="0.25">
      <c r="B37" s="58"/>
      <c r="C37" s="59" t="s">
        <v>641</v>
      </c>
      <c r="D37" s="59" t="s">
        <v>660</v>
      </c>
      <c r="E37" s="59" t="s">
        <v>658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659</v>
      </c>
    </row>
    <row r="38" spans="2:9" x14ac:dyDescent="0.25">
      <c r="B38" s="58"/>
      <c r="C38" s="59" t="s">
        <v>631</v>
      </c>
      <c r="D38" s="59" t="s">
        <v>657</v>
      </c>
      <c r="E38" s="59" t="s">
        <v>658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659</v>
      </c>
    </row>
    <row r="39" spans="2:9" x14ac:dyDescent="0.25">
      <c r="B39" s="58"/>
      <c r="C39" s="59" t="s">
        <v>642</v>
      </c>
      <c r="D39" s="59" t="s">
        <v>660</v>
      </c>
      <c r="E39" s="59" t="s">
        <v>658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659</v>
      </c>
    </row>
    <row r="40" spans="2:9" x14ac:dyDescent="0.25">
      <c r="B40" s="58"/>
      <c r="C40" s="59" t="s">
        <v>643</v>
      </c>
      <c r="D40" s="59" t="s">
        <v>660</v>
      </c>
      <c r="E40" s="59" t="s">
        <v>658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659</v>
      </c>
    </row>
    <row r="41" spans="2:9" x14ac:dyDescent="0.25">
      <c r="B41" s="58"/>
      <c r="C41" s="59" t="s">
        <v>632</v>
      </c>
      <c r="D41" s="59" t="s">
        <v>657</v>
      </c>
      <c r="E41" s="59" t="s">
        <v>661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659</v>
      </c>
    </row>
    <row r="42" spans="2:9" x14ac:dyDescent="0.25">
      <c r="B42" s="58"/>
      <c r="C42" s="59" t="s">
        <v>636</v>
      </c>
      <c r="D42" s="59" t="s">
        <v>657</v>
      </c>
      <c r="E42" s="59" t="s">
        <v>658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659</v>
      </c>
    </row>
    <row r="43" spans="2:9" x14ac:dyDescent="0.25">
      <c r="B43" s="58"/>
      <c r="C43" s="59" t="s">
        <v>245</v>
      </c>
      <c r="D43" s="59" t="s">
        <v>657</v>
      </c>
      <c r="E43" s="59" t="s">
        <v>658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659</v>
      </c>
    </row>
    <row r="44" spans="2:9" x14ac:dyDescent="0.25">
      <c r="B44" s="58"/>
      <c r="C44" s="59" t="s">
        <v>638</v>
      </c>
      <c r="D44" s="59" t="s">
        <v>657</v>
      </c>
      <c r="E44" s="59" t="s">
        <v>658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659</v>
      </c>
    </row>
    <row r="45" spans="2:9" x14ac:dyDescent="0.25">
      <c r="B45" s="58"/>
      <c r="C45" s="59" t="s">
        <v>639</v>
      </c>
      <c r="D45" s="59" t="s">
        <v>657</v>
      </c>
      <c r="E45" s="59" t="s">
        <v>658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659</v>
      </c>
    </row>
    <row r="46" spans="2:9" x14ac:dyDescent="0.25">
      <c r="B46" s="58" t="s">
        <v>644</v>
      </c>
      <c r="C46" s="59" t="s">
        <v>645</v>
      </c>
      <c r="D46" s="59" t="s">
        <v>657</v>
      </c>
      <c r="E46" s="59" t="s">
        <v>662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659</v>
      </c>
    </row>
    <row r="47" spans="2:9" x14ac:dyDescent="0.25">
      <c r="B47" s="58"/>
      <c r="C47" s="59" t="s">
        <v>648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659</v>
      </c>
    </row>
    <row r="48" spans="2:9" x14ac:dyDescent="0.25">
      <c r="B48" s="58"/>
      <c r="C48" s="59" t="s">
        <v>650</v>
      </c>
      <c r="D48" s="59" t="s">
        <v>657</v>
      </c>
      <c r="E48" s="59" t="s">
        <v>658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659</v>
      </c>
    </row>
    <row r="49" spans="2:9" x14ac:dyDescent="0.25">
      <c r="B49" s="58"/>
      <c r="C49" s="59" t="s">
        <v>663</v>
      </c>
      <c r="D49" s="59"/>
      <c r="E49" s="59"/>
      <c r="F49" s="59"/>
      <c r="G49" s="59" t="e">
        <f t="shared" si="1"/>
        <v>#N/A</v>
      </c>
      <c r="H49" s="59"/>
      <c r="I49" s="60" t="s">
        <v>659</v>
      </c>
    </row>
    <row r="50" spans="2:9" x14ac:dyDescent="0.25">
      <c r="B50" s="58"/>
      <c r="C50" s="59" t="s">
        <v>664</v>
      </c>
      <c r="D50" s="59"/>
      <c r="E50" s="59"/>
      <c r="F50" s="59"/>
      <c r="G50" s="59" t="e">
        <f t="shared" si="1"/>
        <v>#N/A</v>
      </c>
      <c r="H50" s="59"/>
      <c r="I50" s="60" t="s">
        <v>659</v>
      </c>
    </row>
    <row r="51" spans="2:9" x14ac:dyDescent="0.25">
      <c r="B51" s="58"/>
      <c r="C51" s="59" t="s">
        <v>665</v>
      </c>
      <c r="D51" s="59"/>
      <c r="E51" s="59"/>
      <c r="F51" s="59"/>
      <c r="G51" s="59" t="e">
        <f t="shared" si="1"/>
        <v>#N/A</v>
      </c>
      <c r="H51" s="59"/>
      <c r="I51" s="60" t="s">
        <v>659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680</v>
      </c>
    </row>
    <row r="55" spans="2:9" ht="18" thickBot="1" x14ac:dyDescent="0.35">
      <c r="B55" s="22" t="s">
        <v>666</v>
      </c>
    </row>
    <row r="56" spans="2:9" ht="16.5" thickTop="1" x14ac:dyDescent="0.25">
      <c r="B56" s="80"/>
      <c r="C56" s="83"/>
      <c r="D56" s="83" t="s">
        <v>652</v>
      </c>
      <c r="E56" s="83" t="s">
        <v>619</v>
      </c>
      <c r="F56" s="83" t="s">
        <v>9</v>
      </c>
      <c r="G56" s="83"/>
      <c r="H56" s="83" t="s">
        <v>9</v>
      </c>
      <c r="I56" s="84" t="s">
        <v>667</v>
      </c>
    </row>
    <row r="57" spans="2:9" x14ac:dyDescent="0.25">
      <c r="B57" s="70"/>
      <c r="C57" s="81"/>
      <c r="D57" s="81"/>
      <c r="E57" s="81"/>
      <c r="F57" s="81" t="s">
        <v>654</v>
      </c>
      <c r="G57" s="81"/>
      <c r="H57" s="81" t="s">
        <v>668</v>
      </c>
      <c r="I57" s="410"/>
    </row>
    <row r="58" spans="2:9" x14ac:dyDescent="0.25">
      <c r="B58" s="58" t="s">
        <v>656</v>
      </c>
      <c r="C58" s="59" t="s">
        <v>629</v>
      </c>
      <c r="D58" s="59" t="s">
        <v>657</v>
      </c>
      <c r="E58" s="59" t="s">
        <v>658</v>
      </c>
      <c r="F58" s="59">
        <v>1.4652000000000001</v>
      </c>
      <c r="G58" s="59">
        <f>VLOOKUP(C58,$C$10:$J$27,7,FALSE)</f>
        <v>259.60821036768988</v>
      </c>
      <c r="H58" s="416">
        <f>G58*F58</f>
        <v>380.37794983073923</v>
      </c>
      <c r="I58" s="60" t="s">
        <v>630</v>
      </c>
    </row>
    <row r="59" spans="2:9" x14ac:dyDescent="0.25">
      <c r="B59" s="58"/>
      <c r="C59" s="59" t="s">
        <v>641</v>
      </c>
      <c r="D59" s="59" t="s">
        <v>660</v>
      </c>
      <c r="E59" s="59" t="s">
        <v>658</v>
      </c>
      <c r="F59" s="59">
        <v>1.4652000000000001</v>
      </c>
      <c r="G59" s="59">
        <f t="shared" ref="G59:G73" si="3">VLOOKUP(C59,$C$10:$J$27,7,FALSE)</f>
        <v>69.906303046805363</v>
      </c>
      <c r="H59" s="416">
        <f t="shared" ref="H59:H70" si="4">G59*F59</f>
        <v>102.42671522417922</v>
      </c>
      <c r="I59" s="60" t="s">
        <v>630</v>
      </c>
    </row>
    <row r="60" spans="2:9" x14ac:dyDescent="0.25">
      <c r="B60" s="58"/>
      <c r="C60" s="59" t="s">
        <v>631</v>
      </c>
      <c r="D60" s="59" t="s">
        <v>657</v>
      </c>
      <c r="E60" s="59" t="s">
        <v>658</v>
      </c>
      <c r="F60" s="59">
        <v>0.14099999999999999</v>
      </c>
      <c r="G60" s="59">
        <f t="shared" si="3"/>
        <v>2569.5289768555481</v>
      </c>
      <c r="H60" s="416">
        <f t="shared" si="4"/>
        <v>362.30358573663227</v>
      </c>
      <c r="I60" s="60"/>
    </row>
    <row r="61" spans="2:9" x14ac:dyDescent="0.25">
      <c r="B61" s="58"/>
      <c r="C61" s="59" t="s">
        <v>642</v>
      </c>
      <c r="D61" s="59" t="s">
        <v>660</v>
      </c>
      <c r="E61" s="59" t="s">
        <v>658</v>
      </c>
      <c r="F61" s="59">
        <v>0.14099999999999999</v>
      </c>
      <c r="G61" s="59">
        <f t="shared" si="3"/>
        <v>37.787190836111002</v>
      </c>
      <c r="H61" s="416">
        <f t="shared" si="4"/>
        <v>5.3279939078916509</v>
      </c>
      <c r="I61" s="60"/>
    </row>
    <row r="62" spans="2:9" x14ac:dyDescent="0.25">
      <c r="B62" s="58"/>
      <c r="C62" s="59" t="s">
        <v>643</v>
      </c>
      <c r="D62" s="59" t="s">
        <v>660</v>
      </c>
      <c r="E62" s="59" t="s">
        <v>658</v>
      </c>
      <c r="F62" s="59">
        <v>0.877</v>
      </c>
      <c r="G62" s="59">
        <f t="shared" si="3"/>
        <v>100.13605571569416</v>
      </c>
      <c r="H62" s="416">
        <f t="shared" si="4"/>
        <v>87.819320862663773</v>
      </c>
      <c r="I62" s="60"/>
    </row>
    <row r="63" spans="2:9" x14ac:dyDescent="0.25">
      <c r="B63" s="58"/>
      <c r="C63" s="59" t="s">
        <v>632</v>
      </c>
      <c r="D63" s="59" t="s">
        <v>657</v>
      </c>
      <c r="E63" s="59" t="s">
        <v>661</v>
      </c>
      <c r="F63" s="59">
        <v>11</v>
      </c>
      <c r="G63" s="59">
        <f t="shared" si="3"/>
        <v>0.71795662588610909</v>
      </c>
      <c r="H63" s="416">
        <f t="shared" si="4"/>
        <v>7.8975228847472003</v>
      </c>
      <c r="I63" s="60"/>
    </row>
    <row r="64" spans="2:9" x14ac:dyDescent="0.25">
      <c r="B64" s="58"/>
      <c r="C64" s="59" t="s">
        <v>635</v>
      </c>
      <c r="D64" s="59" t="s">
        <v>657</v>
      </c>
      <c r="E64" s="59" t="s">
        <v>658</v>
      </c>
      <c r="F64" s="59">
        <f>0.0402+0.0124</f>
        <v>5.2600000000000001E-2</v>
      </c>
      <c r="G64" s="59">
        <f t="shared" si="3"/>
        <v>460.36242909358174</v>
      </c>
      <c r="H64" s="416">
        <f t="shared" si="4"/>
        <v>24.215063770322399</v>
      </c>
      <c r="I64" s="60"/>
    </row>
    <row r="65" spans="2:9" x14ac:dyDescent="0.25">
      <c r="B65" s="58"/>
      <c r="C65" s="59" t="s">
        <v>245</v>
      </c>
      <c r="D65" s="59" t="s">
        <v>657</v>
      </c>
      <c r="E65" s="59" t="s">
        <v>658</v>
      </c>
      <c r="F65" s="59">
        <v>0</v>
      </c>
      <c r="G65" s="59">
        <f t="shared" si="3"/>
        <v>377.87190836111006</v>
      </c>
      <c r="H65" s="416">
        <f t="shared" si="4"/>
        <v>0</v>
      </c>
      <c r="I65" s="60"/>
    </row>
    <row r="66" spans="2:9" x14ac:dyDescent="0.25">
      <c r="B66" s="58"/>
      <c r="C66" s="59" t="s">
        <v>638</v>
      </c>
      <c r="D66" s="59" t="s">
        <v>657</v>
      </c>
      <c r="E66" s="59" t="s">
        <v>658</v>
      </c>
      <c r="F66" s="59">
        <v>2E-3</v>
      </c>
      <c r="G66" s="59">
        <f t="shared" si="3"/>
        <v>43833.141369888763</v>
      </c>
      <c r="H66" s="416">
        <f t="shared" si="4"/>
        <v>87.666282739777529</v>
      </c>
      <c r="I66" s="60"/>
    </row>
    <row r="67" spans="2:9" x14ac:dyDescent="0.25">
      <c r="B67" s="58"/>
      <c r="C67" s="59" t="s">
        <v>639</v>
      </c>
      <c r="D67" s="59" t="s">
        <v>657</v>
      </c>
      <c r="E67" s="59" t="s">
        <v>658</v>
      </c>
      <c r="F67" s="59">
        <v>0</v>
      </c>
      <c r="G67" s="59">
        <f t="shared" si="3"/>
        <v>4897.2199323599862</v>
      </c>
      <c r="H67" s="416">
        <f t="shared" si="4"/>
        <v>0</v>
      </c>
      <c r="I67" s="60"/>
    </row>
    <row r="68" spans="2:9" x14ac:dyDescent="0.25">
      <c r="B68" s="58" t="s">
        <v>644</v>
      </c>
      <c r="C68" s="59" t="s">
        <v>645</v>
      </c>
      <c r="D68" s="59" t="s">
        <v>657</v>
      </c>
      <c r="E68" s="59" t="s">
        <v>662</v>
      </c>
      <c r="F68" s="59">
        <f>1.7807+1.04+1</f>
        <v>3.8207</v>
      </c>
      <c r="G68" s="59">
        <f t="shared" si="3"/>
        <v>284.91541890427698</v>
      </c>
      <c r="H68" s="416">
        <f t="shared" si="4"/>
        <v>1088.576341007571</v>
      </c>
      <c r="I68" s="60"/>
    </row>
    <row r="69" spans="2:9" x14ac:dyDescent="0.25">
      <c r="B69" s="58"/>
      <c r="C69" s="59" t="s">
        <v>648</v>
      </c>
      <c r="D69" s="59"/>
      <c r="E69" s="59"/>
      <c r="F69" s="59">
        <v>1</v>
      </c>
      <c r="G69" s="59">
        <f t="shared" si="3"/>
        <v>113.36157250833301</v>
      </c>
      <c r="H69" s="416">
        <f t="shared" si="4"/>
        <v>113.36157250833301</v>
      </c>
      <c r="I69" s="60"/>
    </row>
    <row r="70" spans="2:9" x14ac:dyDescent="0.25">
      <c r="B70" s="58"/>
      <c r="C70" s="59" t="s">
        <v>650</v>
      </c>
      <c r="D70" s="59" t="s">
        <v>657</v>
      </c>
      <c r="E70" s="59" t="s">
        <v>658</v>
      </c>
      <c r="F70" s="59">
        <v>0</v>
      </c>
      <c r="G70" s="59">
        <f t="shared" si="3"/>
        <v>-240.326533717666</v>
      </c>
      <c r="H70" s="416">
        <f t="shared" si="4"/>
        <v>0</v>
      </c>
      <c r="I70" s="60"/>
    </row>
    <row r="71" spans="2:9" x14ac:dyDescent="0.25">
      <c r="B71" s="58"/>
      <c r="C71" s="59" t="s">
        <v>663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664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665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17">
        <f>H74-H58</f>
        <v>1879.5943986421182</v>
      </c>
      <c r="I75" s="21" t="s">
        <v>680</v>
      </c>
    </row>
    <row r="77" spans="2:9" ht="18" thickBot="1" x14ac:dyDescent="0.35">
      <c r="B77" s="22" t="s">
        <v>669</v>
      </c>
    </row>
    <row r="78" spans="2:9" ht="16.5" thickTop="1" x14ac:dyDescent="0.25">
      <c r="B78" s="407"/>
      <c r="C78" s="408"/>
      <c r="D78" s="408" t="s">
        <v>652</v>
      </c>
      <c r="E78" s="408" t="s">
        <v>619</v>
      </c>
      <c r="F78" s="408" t="s">
        <v>8</v>
      </c>
      <c r="G78" s="408"/>
      <c r="H78" s="408" t="s">
        <v>8</v>
      </c>
      <c r="I78" s="409"/>
    </row>
    <row r="79" spans="2:9" x14ac:dyDescent="0.25">
      <c r="B79" s="70"/>
      <c r="C79" s="81"/>
      <c r="D79" s="81"/>
      <c r="E79" s="81"/>
      <c r="F79" s="81" t="s">
        <v>654</v>
      </c>
      <c r="G79" s="81"/>
      <c r="H79" s="81" t="s">
        <v>668</v>
      </c>
      <c r="I79" s="410"/>
    </row>
    <row r="80" spans="2:9" x14ac:dyDescent="0.25">
      <c r="B80" s="58" t="s">
        <v>656</v>
      </c>
      <c r="C80" s="59" t="s">
        <v>243</v>
      </c>
      <c r="D80" s="59" t="s">
        <v>657</v>
      </c>
      <c r="E80" s="59" t="s">
        <v>658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670</v>
      </c>
    </row>
    <row r="81" spans="2:9" x14ac:dyDescent="0.25">
      <c r="B81" s="58"/>
      <c r="C81" s="59" t="s">
        <v>641</v>
      </c>
      <c r="D81" s="59" t="s">
        <v>660</v>
      </c>
      <c r="E81" s="59" t="s">
        <v>658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670</v>
      </c>
    </row>
    <row r="82" spans="2:9" x14ac:dyDescent="0.25">
      <c r="B82" s="58"/>
      <c r="C82" s="59" t="s">
        <v>631</v>
      </c>
      <c r="D82" s="59" t="s">
        <v>657</v>
      </c>
      <c r="E82" s="59" t="s">
        <v>658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670</v>
      </c>
    </row>
    <row r="83" spans="2:9" x14ac:dyDescent="0.25">
      <c r="B83" s="58"/>
      <c r="C83" s="59" t="s">
        <v>642</v>
      </c>
      <c r="D83" s="59" t="s">
        <v>660</v>
      </c>
      <c r="E83" s="59" t="s">
        <v>658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670</v>
      </c>
    </row>
    <row r="84" spans="2:9" x14ac:dyDescent="0.25">
      <c r="B84" s="58"/>
      <c r="C84" s="59" t="s">
        <v>643</v>
      </c>
      <c r="D84" s="59" t="s">
        <v>660</v>
      </c>
      <c r="E84" s="59" t="s">
        <v>658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670</v>
      </c>
    </row>
    <row r="85" spans="2:9" x14ac:dyDescent="0.25">
      <c r="B85" s="58"/>
      <c r="C85" s="59" t="s">
        <v>632</v>
      </c>
      <c r="D85" s="59" t="s">
        <v>657</v>
      </c>
      <c r="E85" s="59" t="s">
        <v>661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670</v>
      </c>
    </row>
    <row r="86" spans="2:9" x14ac:dyDescent="0.25">
      <c r="B86" s="58"/>
      <c r="C86" s="59" t="s">
        <v>636</v>
      </c>
      <c r="D86" s="59" t="s">
        <v>657</v>
      </c>
      <c r="E86" s="59" t="s">
        <v>658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670</v>
      </c>
    </row>
    <row r="87" spans="2:9" x14ac:dyDescent="0.25">
      <c r="B87" s="58"/>
      <c r="C87" s="59" t="s">
        <v>245</v>
      </c>
      <c r="D87" s="59" t="s">
        <v>657</v>
      </c>
      <c r="E87" s="59" t="s">
        <v>658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670</v>
      </c>
    </row>
    <row r="88" spans="2:9" x14ac:dyDescent="0.25">
      <c r="B88" s="58"/>
      <c r="C88" s="59" t="s">
        <v>638</v>
      </c>
      <c r="D88" s="59" t="s">
        <v>657</v>
      </c>
      <c r="E88" s="59" t="s">
        <v>658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670</v>
      </c>
    </row>
    <row r="89" spans="2:9" x14ac:dyDescent="0.25">
      <c r="B89" s="58"/>
      <c r="C89" s="59" t="s">
        <v>639</v>
      </c>
      <c r="D89" s="59" t="s">
        <v>657</v>
      </c>
      <c r="E89" s="59" t="s">
        <v>658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670</v>
      </c>
    </row>
    <row r="90" spans="2:9" x14ac:dyDescent="0.25">
      <c r="B90" s="58" t="s">
        <v>644</v>
      </c>
      <c r="C90" s="59" t="s">
        <v>645</v>
      </c>
      <c r="D90" s="59" t="s">
        <v>657</v>
      </c>
      <c r="E90" s="59" t="s">
        <v>662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670</v>
      </c>
    </row>
    <row r="91" spans="2:9" x14ac:dyDescent="0.25">
      <c r="B91" s="58"/>
      <c r="C91" s="59" t="s">
        <v>648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670</v>
      </c>
    </row>
    <row r="92" spans="2:9" x14ac:dyDescent="0.25">
      <c r="B92" s="58"/>
      <c r="C92" s="59" t="s">
        <v>650</v>
      </c>
      <c r="D92" s="59" t="s">
        <v>657</v>
      </c>
      <c r="E92" s="59" t="s">
        <v>658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670</v>
      </c>
    </row>
    <row r="93" spans="2:9" x14ac:dyDescent="0.25">
      <c r="B93" s="58"/>
      <c r="C93" s="59" t="s">
        <v>663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664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665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1245</v>
      </c>
    </row>
    <row r="99" spans="2:9" ht="18" thickBot="1" x14ac:dyDescent="0.35">
      <c r="B99" s="22" t="s">
        <v>671</v>
      </c>
    </row>
    <row r="100" spans="2:9" ht="16.5" thickTop="1" x14ac:dyDescent="0.25">
      <c r="B100" s="407"/>
      <c r="C100" s="408"/>
      <c r="D100" s="408" t="s">
        <v>652</v>
      </c>
      <c r="E100" s="408" t="s">
        <v>619</v>
      </c>
      <c r="F100" s="408" t="s">
        <v>672</v>
      </c>
      <c r="G100" s="408"/>
      <c r="H100" s="408" t="s">
        <v>672</v>
      </c>
      <c r="I100" s="409" t="s">
        <v>673</v>
      </c>
    </row>
    <row r="101" spans="2:9" x14ac:dyDescent="0.25">
      <c r="B101" s="70"/>
      <c r="C101" s="81"/>
      <c r="D101" s="81"/>
      <c r="E101" s="81"/>
      <c r="F101" s="81" t="s">
        <v>654</v>
      </c>
      <c r="G101" s="81"/>
      <c r="H101" s="81" t="s">
        <v>668</v>
      </c>
      <c r="I101" s="410"/>
    </row>
    <row r="102" spans="2:9" x14ac:dyDescent="0.25">
      <c r="B102" s="58" t="s">
        <v>656</v>
      </c>
      <c r="C102" s="59" t="s">
        <v>629</v>
      </c>
      <c r="D102" s="59" t="s">
        <v>657</v>
      </c>
      <c r="E102" s="59" t="s">
        <v>658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641</v>
      </c>
      <c r="D103" s="59" t="s">
        <v>660</v>
      </c>
      <c r="E103" s="59" t="s">
        <v>658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631</v>
      </c>
      <c r="D104" s="59" t="s">
        <v>657</v>
      </c>
      <c r="E104" s="59" t="s">
        <v>658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642</v>
      </c>
      <c r="D105" s="59" t="s">
        <v>660</v>
      </c>
      <c r="E105" s="59" t="s">
        <v>658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643</v>
      </c>
      <c r="D106" s="59" t="s">
        <v>660</v>
      </c>
      <c r="E106" s="59" t="s">
        <v>658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632</v>
      </c>
      <c r="D107" s="59" t="s">
        <v>657</v>
      </c>
      <c r="E107" s="59" t="s">
        <v>661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634</v>
      </c>
      <c r="D108" s="59" t="s">
        <v>657</v>
      </c>
      <c r="E108" s="59" t="s">
        <v>658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637</v>
      </c>
      <c r="D109" s="59" t="s">
        <v>657</v>
      </c>
      <c r="E109" s="59" t="s">
        <v>658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638</v>
      </c>
      <c r="D110" s="59" t="s">
        <v>657</v>
      </c>
      <c r="E110" s="59" t="s">
        <v>658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635</v>
      </c>
      <c r="D111" s="59" t="s">
        <v>657</v>
      </c>
      <c r="E111" s="59" t="s">
        <v>658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644</v>
      </c>
      <c r="C112" s="59" t="s">
        <v>645</v>
      </c>
      <c r="D112" s="59" t="s">
        <v>657</v>
      </c>
      <c r="E112" s="59" t="s">
        <v>662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650</v>
      </c>
      <c r="D114" s="59" t="s">
        <v>657</v>
      </c>
      <c r="E114" s="59" t="s">
        <v>658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663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664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665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07" t="s">
        <v>674</v>
      </c>
      <c r="C121" s="408" t="s">
        <v>7</v>
      </c>
      <c r="D121" s="408" t="s">
        <v>9</v>
      </c>
      <c r="E121" s="408" t="s">
        <v>155</v>
      </c>
      <c r="F121" s="409" t="s">
        <v>672</v>
      </c>
    </row>
    <row r="122" spans="2:9" x14ac:dyDescent="0.25">
      <c r="B122" s="58" t="s">
        <v>677</v>
      </c>
      <c r="C122" s="411">
        <f>H53</f>
        <v>1126.0677337138172</v>
      </c>
      <c r="D122" s="411">
        <f>H75</f>
        <v>1879.5943986421182</v>
      </c>
      <c r="E122" s="411">
        <f>H97</f>
        <v>560.68104741949855</v>
      </c>
      <c r="F122" s="415">
        <f>H119</f>
        <v>1815.1239340918764</v>
      </c>
      <c r="H122" s="21" t="s">
        <v>1228</v>
      </c>
    </row>
    <row r="123" spans="2:9" x14ac:dyDescent="0.25">
      <c r="B123" s="58" t="s">
        <v>1229</v>
      </c>
      <c r="C123" s="411">
        <f>C122*$G$128</f>
        <v>2058.2266036821152</v>
      </c>
      <c r="D123" s="411">
        <f>D122*$G$128</f>
        <v>3435.5226418380635</v>
      </c>
      <c r="E123" s="411">
        <f>E122*$G$128</f>
        <v>1024.8128184733594</v>
      </c>
      <c r="F123" s="411">
        <f>F122*$G$128</f>
        <v>3317.6835267331317</v>
      </c>
      <c r="H123" s="21" t="s">
        <v>681</v>
      </c>
    </row>
    <row r="126" spans="2:9" x14ac:dyDescent="0.25">
      <c r="G126">
        <v>1.3</v>
      </c>
      <c r="H126" t="s">
        <v>1068</v>
      </c>
    </row>
    <row r="127" spans="2:9" x14ac:dyDescent="0.25">
      <c r="B127" s="32" t="s">
        <v>996</v>
      </c>
      <c r="G127">
        <v>1.4059999999999999</v>
      </c>
      <c r="H127" t="s">
        <v>1156</v>
      </c>
    </row>
    <row r="128" spans="2:9" x14ac:dyDescent="0.25">
      <c r="B128" s="45" t="s">
        <v>1226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73" t="s">
        <v>1129</v>
      </c>
      <c r="C132" s="573"/>
      <c r="D132" s="573"/>
    </row>
    <row r="133" spans="2:10" x14ac:dyDescent="0.25">
      <c r="B133" s="573" t="s">
        <v>1109</v>
      </c>
      <c r="C133" s="573" t="s">
        <v>1209</v>
      </c>
      <c r="D133" s="573">
        <v>2017</v>
      </c>
    </row>
    <row r="134" spans="2:10" x14ac:dyDescent="0.25">
      <c r="B134" s="287" t="s">
        <v>166</v>
      </c>
      <c r="C134" s="21" t="s">
        <v>1227</v>
      </c>
      <c r="D134" s="88">
        <f>C123</f>
        <v>2058.2266036821152</v>
      </c>
    </row>
    <row r="135" spans="2:10" x14ac:dyDescent="0.25">
      <c r="B135" s="287" t="s">
        <v>168</v>
      </c>
      <c r="C135" s="21" t="s">
        <v>1227</v>
      </c>
      <c r="D135" s="88">
        <f>D134</f>
        <v>2058.2266036821152</v>
      </c>
      <c r="F135" s="21" t="s">
        <v>1230</v>
      </c>
    </row>
    <row r="136" spans="2:10" x14ac:dyDescent="0.25">
      <c r="B136" s="287" t="s">
        <v>171</v>
      </c>
      <c r="C136" s="21" t="s">
        <v>1227</v>
      </c>
      <c r="D136" s="88">
        <f>D123</f>
        <v>3435.5226418380635</v>
      </c>
    </row>
    <row r="137" spans="2:10" x14ac:dyDescent="0.25">
      <c r="B137" s="287" t="s">
        <v>175</v>
      </c>
      <c r="C137" s="21" t="s">
        <v>1227</v>
      </c>
      <c r="D137" s="88">
        <f>F123</f>
        <v>3317.6835267331317</v>
      </c>
    </row>
    <row r="138" spans="2:10" x14ac:dyDescent="0.25">
      <c r="B138" s="287" t="s">
        <v>177</v>
      </c>
      <c r="C138" s="21" t="s">
        <v>1227</v>
      </c>
      <c r="D138" s="88">
        <f>E123+I138</f>
        <v>3024.8128184733596</v>
      </c>
      <c r="F138" s="21" t="s">
        <v>1243</v>
      </c>
      <c r="I138" s="21">
        <f>Scrap!B24</f>
        <v>2000</v>
      </c>
      <c r="J138" s="21" t="s">
        <v>440</v>
      </c>
    </row>
    <row r="139" spans="2:10" x14ac:dyDescent="0.25">
      <c r="B139" s="287" t="s">
        <v>490</v>
      </c>
      <c r="C139" s="21" t="s">
        <v>1227</v>
      </c>
      <c r="D139" s="88">
        <f>D134</f>
        <v>2058.2266036821152</v>
      </c>
    </row>
    <row r="140" spans="2:10" x14ac:dyDescent="0.25">
      <c r="B140" t="s">
        <v>492</v>
      </c>
      <c r="C140" s="21" t="s">
        <v>1227</v>
      </c>
      <c r="D140" s="88">
        <f>D136</f>
        <v>3435.5226418380635</v>
      </c>
    </row>
    <row r="141" spans="2:10" x14ac:dyDescent="0.25">
      <c r="B141" t="s">
        <v>493</v>
      </c>
      <c r="C141" s="21" t="s">
        <v>1227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111"/>
  <sheetViews>
    <sheetView zoomScale="70" zoomScaleNormal="70" workbookViewId="0">
      <selection activeCell="F117" sqref="F117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998</v>
      </c>
    </row>
    <row r="2" spans="1:10" ht="16.5" thickTop="1" x14ac:dyDescent="0.25"/>
    <row r="3" spans="1:10" x14ac:dyDescent="0.25">
      <c r="A3" s="58" t="s">
        <v>999</v>
      </c>
      <c r="B3" s="60">
        <v>2010</v>
      </c>
    </row>
    <row r="4" spans="1:10" x14ac:dyDescent="0.25">
      <c r="A4" s="58" t="s">
        <v>616</v>
      </c>
      <c r="B4" s="498" t="s">
        <v>617</v>
      </c>
    </row>
    <row r="5" spans="1:10" x14ac:dyDescent="0.25">
      <c r="H5" s="21" t="s">
        <v>1232</v>
      </c>
    </row>
    <row r="6" spans="1:10" x14ac:dyDescent="0.25">
      <c r="A6" s="32" t="s">
        <v>1000</v>
      </c>
    </row>
    <row r="7" spans="1:10" x14ac:dyDescent="0.25">
      <c r="A7" s="407" t="s">
        <v>121</v>
      </c>
      <c r="B7" s="23" t="s">
        <v>1001</v>
      </c>
      <c r="C7" s="24" t="s">
        <v>515</v>
      </c>
      <c r="D7" s="24" t="s">
        <v>1002</v>
      </c>
      <c r="E7" s="24" t="s">
        <v>1003</v>
      </c>
      <c r="F7" s="24" t="s">
        <v>616</v>
      </c>
      <c r="G7" s="24" t="s">
        <v>1004</v>
      </c>
      <c r="H7" s="24" t="s">
        <v>623</v>
      </c>
      <c r="I7" s="24" t="s">
        <v>652</v>
      </c>
      <c r="J7" s="25" t="s">
        <v>1005</v>
      </c>
    </row>
    <row r="8" spans="1:10" x14ac:dyDescent="0.25">
      <c r="B8" s="58" t="s">
        <v>1006</v>
      </c>
      <c r="C8" s="59" t="s">
        <v>1007</v>
      </c>
      <c r="D8" s="59" t="s">
        <v>1008</v>
      </c>
      <c r="E8" s="59">
        <v>2000</v>
      </c>
      <c r="F8" s="59" t="s">
        <v>627</v>
      </c>
      <c r="G8" s="59">
        <v>148</v>
      </c>
      <c r="H8" s="59">
        <v>5.914974034351558</v>
      </c>
      <c r="I8" s="59" t="s">
        <v>1009</v>
      </c>
      <c r="J8" s="415">
        <f t="shared" ref="J8:J20" si="0">G8*H8</f>
        <v>875.4161570840306</v>
      </c>
    </row>
    <row r="9" spans="1:10" x14ac:dyDescent="0.25">
      <c r="A9" s="58"/>
      <c r="B9" s="58" t="s">
        <v>1006</v>
      </c>
      <c r="C9" s="59" t="s">
        <v>1007</v>
      </c>
      <c r="D9" s="59" t="s">
        <v>1008</v>
      </c>
      <c r="E9" s="59">
        <v>2000</v>
      </c>
      <c r="F9" s="59" t="s">
        <v>627</v>
      </c>
      <c r="G9" s="59">
        <v>275</v>
      </c>
      <c r="H9" s="59">
        <v>5.914974034351558</v>
      </c>
      <c r="I9" s="59" t="s">
        <v>1009</v>
      </c>
      <c r="J9" s="415">
        <f t="shared" si="0"/>
        <v>1626.6178594466785</v>
      </c>
    </row>
    <row r="10" spans="1:10" x14ac:dyDescent="0.25">
      <c r="A10" s="58"/>
      <c r="B10" s="58" t="s">
        <v>353</v>
      </c>
      <c r="C10" s="59" t="s">
        <v>1007</v>
      </c>
      <c r="D10" s="59" t="s">
        <v>1010</v>
      </c>
      <c r="E10" s="59">
        <v>2000</v>
      </c>
      <c r="F10" s="59" t="s">
        <v>627</v>
      </c>
      <c r="G10" s="59">
        <v>100</v>
      </c>
      <c r="H10" s="59">
        <v>5.914974034351558</v>
      </c>
      <c r="I10" s="59" t="s">
        <v>1009</v>
      </c>
      <c r="J10" s="415">
        <f t="shared" si="0"/>
        <v>591.49740343515577</v>
      </c>
    </row>
    <row r="11" spans="1:10" x14ac:dyDescent="0.25">
      <c r="A11" s="58"/>
      <c r="B11" s="58" t="s">
        <v>1011</v>
      </c>
      <c r="C11" s="59" t="s">
        <v>1007</v>
      </c>
      <c r="D11" s="59" t="s">
        <v>1008</v>
      </c>
      <c r="E11" s="59">
        <v>2000</v>
      </c>
      <c r="F11" s="59" t="s">
        <v>627</v>
      </c>
      <c r="G11" s="59">
        <v>143</v>
      </c>
      <c r="H11" s="59">
        <v>5.914974034351558</v>
      </c>
      <c r="I11" s="59" t="s">
        <v>1009</v>
      </c>
      <c r="J11" s="415">
        <f t="shared" si="0"/>
        <v>845.84128691227284</v>
      </c>
    </row>
    <row r="12" spans="1:10" x14ac:dyDescent="0.25">
      <c r="A12" s="58"/>
      <c r="B12" s="58" t="s">
        <v>1012</v>
      </c>
      <c r="C12" s="59" t="s">
        <v>1007</v>
      </c>
      <c r="D12" s="59" t="s">
        <v>1008</v>
      </c>
      <c r="E12" s="59">
        <v>2000</v>
      </c>
      <c r="F12" s="59" t="s">
        <v>627</v>
      </c>
      <c r="G12" s="59">
        <v>145</v>
      </c>
      <c r="H12" s="59">
        <v>5.914974034351558</v>
      </c>
      <c r="I12" s="59" t="s">
        <v>1009</v>
      </c>
      <c r="J12" s="415">
        <f t="shared" si="0"/>
        <v>857.6712349809759</v>
      </c>
    </row>
    <row r="13" spans="1:10" x14ac:dyDescent="0.25">
      <c r="A13" s="58"/>
      <c r="B13" s="58" t="s">
        <v>1013</v>
      </c>
      <c r="C13" s="59" t="s">
        <v>1007</v>
      </c>
      <c r="D13" s="59" t="s">
        <v>1008</v>
      </c>
      <c r="E13" s="59">
        <v>2000</v>
      </c>
      <c r="F13" s="59" t="s">
        <v>627</v>
      </c>
      <c r="G13" s="59">
        <v>122</v>
      </c>
      <c r="H13" s="59">
        <v>5.914974034351558</v>
      </c>
      <c r="I13" s="59" t="s">
        <v>1009</v>
      </c>
      <c r="J13" s="415">
        <f t="shared" si="0"/>
        <v>721.62683219089013</v>
      </c>
    </row>
    <row r="14" spans="1:10" x14ac:dyDescent="0.25">
      <c r="A14" s="58"/>
      <c r="B14" s="58" t="s">
        <v>1014</v>
      </c>
      <c r="C14" s="59" t="s">
        <v>1007</v>
      </c>
      <c r="D14" s="59" t="s">
        <v>1008</v>
      </c>
      <c r="E14" s="59">
        <v>2000</v>
      </c>
      <c r="F14" s="59" t="s">
        <v>627</v>
      </c>
      <c r="G14" s="59">
        <v>98</v>
      </c>
      <c r="H14" s="59">
        <v>5.914974034351558</v>
      </c>
      <c r="I14" s="59" t="s">
        <v>1009</v>
      </c>
      <c r="J14" s="415">
        <f t="shared" si="0"/>
        <v>579.66745536645271</v>
      </c>
    </row>
    <row r="15" spans="1:10" x14ac:dyDescent="0.25">
      <c r="A15" s="58"/>
      <c r="B15" s="58" t="s">
        <v>1015</v>
      </c>
      <c r="C15" s="59" t="s">
        <v>1007</v>
      </c>
      <c r="D15" s="59" t="s">
        <v>1008</v>
      </c>
      <c r="E15" s="59">
        <v>2000</v>
      </c>
      <c r="F15" s="59" t="s">
        <v>627</v>
      </c>
      <c r="G15" s="59">
        <v>320</v>
      </c>
      <c r="H15" s="59">
        <v>5.914974034351558</v>
      </c>
      <c r="I15" s="59" t="s">
        <v>1009</v>
      </c>
      <c r="J15" s="415">
        <f t="shared" si="0"/>
        <v>1892.7916909924986</v>
      </c>
    </row>
    <row r="16" spans="1:10" x14ac:dyDescent="0.25">
      <c r="A16" s="58"/>
      <c r="B16" s="58" t="s">
        <v>1</v>
      </c>
      <c r="C16" s="59" t="s">
        <v>1007</v>
      </c>
      <c r="D16" s="59" t="s">
        <v>1010</v>
      </c>
      <c r="E16" s="59">
        <v>2000</v>
      </c>
      <c r="F16" s="59" t="s">
        <v>627</v>
      </c>
      <c r="G16" s="59">
        <v>80</v>
      </c>
      <c r="H16" s="59">
        <v>5.914974034351558</v>
      </c>
      <c r="I16" s="59" t="s">
        <v>1009</v>
      </c>
      <c r="J16" s="415">
        <f t="shared" si="0"/>
        <v>473.19792274812465</v>
      </c>
    </row>
    <row r="17" spans="1:10" x14ac:dyDescent="0.25">
      <c r="A17" s="58"/>
      <c r="B17" s="58" t="s">
        <v>1016</v>
      </c>
      <c r="C17" s="59" t="s">
        <v>1007</v>
      </c>
      <c r="D17" s="59" t="s">
        <v>1008</v>
      </c>
      <c r="E17" s="59">
        <v>2010</v>
      </c>
      <c r="F17" s="59" t="s">
        <v>804</v>
      </c>
      <c r="G17" s="59">
        <v>273</v>
      </c>
      <c r="H17" s="59">
        <v>9.7120768109592781</v>
      </c>
      <c r="I17" s="59" t="s">
        <v>1009</v>
      </c>
      <c r="J17" s="415">
        <f t="shared" si="0"/>
        <v>2651.396969391883</v>
      </c>
    </row>
    <row r="18" spans="1:10" x14ac:dyDescent="0.25">
      <c r="A18" s="58"/>
      <c r="B18" s="58" t="s">
        <v>1017</v>
      </c>
      <c r="C18" s="59" t="s">
        <v>1007</v>
      </c>
      <c r="D18" s="59" t="s">
        <v>1008</v>
      </c>
      <c r="E18" s="59">
        <v>2010</v>
      </c>
      <c r="F18" s="59" t="s">
        <v>804</v>
      </c>
      <c r="G18" s="59">
        <v>500</v>
      </c>
      <c r="H18" s="59">
        <v>9.7120768109592781</v>
      </c>
      <c r="I18" s="59" t="s">
        <v>1009</v>
      </c>
      <c r="J18" s="415">
        <f t="shared" si="0"/>
        <v>4856.0384054796386</v>
      </c>
    </row>
    <row r="19" spans="1:10" x14ac:dyDescent="0.25">
      <c r="A19" s="58"/>
      <c r="B19" s="58" t="s">
        <v>190</v>
      </c>
      <c r="C19" s="59" t="s">
        <v>1007</v>
      </c>
      <c r="D19" s="59" t="s">
        <v>1008</v>
      </c>
      <c r="E19" s="59">
        <v>2010</v>
      </c>
      <c r="F19" s="59" t="s">
        <v>804</v>
      </c>
      <c r="G19" s="59">
        <v>200</v>
      </c>
      <c r="H19" s="59">
        <v>9.7120768109592781</v>
      </c>
      <c r="I19" s="59" t="s">
        <v>1009</v>
      </c>
      <c r="J19" s="415">
        <f t="shared" si="0"/>
        <v>1942.4153621918556</v>
      </c>
    </row>
    <row r="20" spans="1:10" x14ac:dyDescent="0.25">
      <c r="A20" s="58"/>
      <c r="B20" s="58" t="s">
        <v>1018</v>
      </c>
      <c r="C20" s="59" t="s">
        <v>1007</v>
      </c>
      <c r="D20" s="59" t="s">
        <v>1008</v>
      </c>
      <c r="E20" s="59">
        <v>2010</v>
      </c>
      <c r="F20" s="59" t="s">
        <v>804</v>
      </c>
      <c r="G20" s="59">
        <v>400</v>
      </c>
      <c r="H20" s="59">
        <v>9.7120768109592781</v>
      </c>
      <c r="I20" s="59" t="s">
        <v>1009</v>
      </c>
      <c r="J20" s="415">
        <f t="shared" si="0"/>
        <v>3884.8307243837112</v>
      </c>
    </row>
    <row r="22" spans="1:10" x14ac:dyDescent="0.25">
      <c r="A22" s="32" t="s">
        <v>1019</v>
      </c>
      <c r="H22" s="499"/>
    </row>
    <row r="23" spans="1:10" x14ac:dyDescent="0.25">
      <c r="A23" s="58" t="s">
        <v>7</v>
      </c>
      <c r="B23" s="59" t="s">
        <v>1020</v>
      </c>
      <c r="C23" s="59" t="s">
        <v>1021</v>
      </c>
      <c r="D23" s="59"/>
      <c r="E23" s="59"/>
      <c r="F23" s="59"/>
      <c r="G23" s="59"/>
      <c r="H23" s="59"/>
      <c r="I23" s="59"/>
      <c r="J23" s="415">
        <f>$J$17+$J$10</f>
        <v>3242.8943728270388</v>
      </c>
    </row>
    <row r="24" spans="1:10" x14ac:dyDescent="0.25">
      <c r="A24" s="58" t="s">
        <v>7</v>
      </c>
      <c r="B24" s="59" t="s">
        <v>711</v>
      </c>
      <c r="C24" s="59" t="s">
        <v>1022</v>
      </c>
      <c r="D24" s="59" t="s">
        <v>1023</v>
      </c>
      <c r="E24" s="59"/>
      <c r="F24" s="59"/>
      <c r="G24" s="59"/>
      <c r="H24" s="59"/>
      <c r="I24" s="59">
        <v>100</v>
      </c>
      <c r="J24" s="415">
        <f>I24*($J$9+$J$10)/100</f>
        <v>2218.1152628818345</v>
      </c>
    </row>
    <row r="25" spans="1:10" x14ac:dyDescent="0.25">
      <c r="A25" s="58" t="s">
        <v>9</v>
      </c>
      <c r="B25" s="59" t="s">
        <v>1024</v>
      </c>
      <c r="C25" s="59" t="s">
        <v>1025</v>
      </c>
      <c r="D25" s="59"/>
      <c r="E25" s="59">
        <v>2000</v>
      </c>
      <c r="F25" s="59" t="s">
        <v>627</v>
      </c>
      <c r="G25" s="59">
        <v>362.6</v>
      </c>
      <c r="H25" s="59">
        <v>5.914974034351558</v>
      </c>
      <c r="I25" s="59" t="s">
        <v>1009</v>
      </c>
      <c r="J25" s="415">
        <f>G25*H25</f>
        <v>2144.7695848558751</v>
      </c>
    </row>
    <row r="26" spans="1:10" x14ac:dyDescent="0.25">
      <c r="A26" s="58" t="s">
        <v>9</v>
      </c>
      <c r="B26" s="59" t="s">
        <v>1026</v>
      </c>
      <c r="C26" s="59" t="s">
        <v>1025</v>
      </c>
      <c r="D26" s="59"/>
      <c r="E26" s="59">
        <v>2000</v>
      </c>
      <c r="F26" s="59" t="s">
        <v>627</v>
      </c>
      <c r="G26" s="59">
        <v>373.5</v>
      </c>
      <c r="H26" s="59">
        <v>5.914974034351558</v>
      </c>
      <c r="I26" s="59" t="s">
        <v>1009</v>
      </c>
      <c r="J26" s="415">
        <f>G26*H26</f>
        <v>2209.2428018303067</v>
      </c>
    </row>
    <row r="27" spans="1:10" x14ac:dyDescent="0.25">
      <c r="A27" s="58" t="s">
        <v>9</v>
      </c>
      <c r="B27" s="59" t="s">
        <v>1027</v>
      </c>
      <c r="C27" s="59" t="s">
        <v>1021</v>
      </c>
      <c r="D27" s="59"/>
      <c r="E27" s="59"/>
      <c r="F27" s="59"/>
      <c r="G27" s="59"/>
      <c r="H27" s="59"/>
      <c r="I27" s="59"/>
      <c r="J27" s="415">
        <f>$J$15+$J$16</f>
        <v>2365.9896137406231</v>
      </c>
    </row>
    <row r="28" spans="1:10" x14ac:dyDescent="0.25">
      <c r="A28" s="58" t="s">
        <v>9</v>
      </c>
      <c r="B28" s="59" t="s">
        <v>1028</v>
      </c>
      <c r="C28" s="59" t="s">
        <v>1025</v>
      </c>
      <c r="D28" s="59"/>
      <c r="E28" s="59">
        <v>2000</v>
      </c>
      <c r="F28" s="59" t="s">
        <v>627</v>
      </c>
      <c r="G28" s="59">
        <v>259.63</v>
      </c>
      <c r="H28" s="59">
        <v>5.914974034351558</v>
      </c>
      <c r="I28" s="59" t="s">
        <v>1009</v>
      </c>
      <c r="J28" s="415">
        <f t="shared" ref="J28:J33" si="1">G28*H28</f>
        <v>1535.7047085386951</v>
      </c>
    </row>
    <row r="29" spans="1:10" x14ac:dyDescent="0.25">
      <c r="A29" s="58" t="s">
        <v>9</v>
      </c>
      <c r="B29" s="59" t="s">
        <v>1029</v>
      </c>
      <c r="C29" s="59" t="s">
        <v>1025</v>
      </c>
      <c r="D29" s="59"/>
      <c r="E29" s="59">
        <v>2000</v>
      </c>
      <c r="F29" s="59" t="s">
        <v>627</v>
      </c>
      <c r="G29" s="59">
        <v>334.67</v>
      </c>
      <c r="H29" s="59">
        <v>5.914974034351558</v>
      </c>
      <c r="I29" s="59" t="s">
        <v>1009</v>
      </c>
      <c r="J29" s="415">
        <f t="shared" si="1"/>
        <v>1979.5643600764361</v>
      </c>
    </row>
    <row r="30" spans="1:10" x14ac:dyDescent="0.25">
      <c r="A30" s="58" t="s">
        <v>8</v>
      </c>
      <c r="B30" s="59" t="s">
        <v>1030</v>
      </c>
      <c r="C30" s="59" t="s">
        <v>1025</v>
      </c>
      <c r="D30" s="59"/>
      <c r="E30" s="59">
        <v>2000</v>
      </c>
      <c r="F30" s="59" t="s">
        <v>627</v>
      </c>
      <c r="G30" s="59">
        <v>296.10000000000002</v>
      </c>
      <c r="H30" s="59">
        <v>5.914974034351558</v>
      </c>
      <c r="I30" s="59" t="s">
        <v>1009</v>
      </c>
      <c r="J30" s="415">
        <f t="shared" si="1"/>
        <v>1751.4238115714963</v>
      </c>
    </row>
    <row r="31" spans="1:10" x14ac:dyDescent="0.25">
      <c r="A31" s="58" t="s">
        <v>8</v>
      </c>
      <c r="B31" s="59" t="s">
        <v>1031</v>
      </c>
      <c r="C31" s="59" t="s">
        <v>1025</v>
      </c>
      <c r="D31" s="59"/>
      <c r="E31" s="59">
        <v>2000</v>
      </c>
      <c r="F31" s="59" t="s">
        <v>627</v>
      </c>
      <c r="G31" s="59">
        <v>232.37</v>
      </c>
      <c r="H31" s="59">
        <v>5.914974034351558</v>
      </c>
      <c r="I31" s="59" t="s">
        <v>1009</v>
      </c>
      <c r="J31" s="415">
        <f t="shared" si="1"/>
        <v>1374.4625163622716</v>
      </c>
    </row>
    <row r="32" spans="1:10" x14ac:dyDescent="0.25">
      <c r="A32" s="58" t="s">
        <v>8</v>
      </c>
      <c r="B32" s="59" t="s">
        <v>1032</v>
      </c>
      <c r="C32" s="59" t="s">
        <v>1025</v>
      </c>
      <c r="D32" s="59"/>
      <c r="E32" s="59">
        <v>2000</v>
      </c>
      <c r="F32" s="59" t="s">
        <v>627</v>
      </c>
      <c r="G32" s="59">
        <v>239.63</v>
      </c>
      <c r="H32" s="59">
        <v>5.914974034351558</v>
      </c>
      <c r="I32" s="59" t="s">
        <v>1009</v>
      </c>
      <c r="J32" s="415">
        <f t="shared" si="1"/>
        <v>1417.4052278516638</v>
      </c>
    </row>
    <row r="33" spans="1:10" x14ac:dyDescent="0.25">
      <c r="A33" s="58" t="s">
        <v>8</v>
      </c>
      <c r="B33" s="59" t="s">
        <v>1033</v>
      </c>
      <c r="C33" s="59" t="s">
        <v>1025</v>
      </c>
      <c r="D33" s="59"/>
      <c r="E33" s="59">
        <v>2000</v>
      </c>
      <c r="F33" s="59" t="s">
        <v>627</v>
      </c>
      <c r="G33" s="59">
        <v>263.47000000000003</v>
      </c>
      <c r="H33" s="59">
        <v>5.914974034351558</v>
      </c>
      <c r="I33" s="59" t="s">
        <v>1009</v>
      </c>
      <c r="J33" s="415">
        <f t="shared" si="1"/>
        <v>1558.4182088306052</v>
      </c>
    </row>
    <row r="34" spans="1:10" x14ac:dyDescent="0.25">
      <c r="A34" s="58" t="s">
        <v>7</v>
      </c>
      <c r="B34" s="59" t="s">
        <v>1034</v>
      </c>
      <c r="C34" s="59" t="s">
        <v>1021</v>
      </c>
      <c r="D34" s="59"/>
      <c r="E34" s="59"/>
      <c r="F34" s="59"/>
      <c r="G34" s="59"/>
      <c r="H34" s="59"/>
      <c r="I34" s="59"/>
      <c r="J34" s="415">
        <f>$J$8+$J$10</f>
        <v>1466.9135605191864</v>
      </c>
    </row>
    <row r="35" spans="1:10" x14ac:dyDescent="0.25">
      <c r="A35" s="58" t="s">
        <v>7</v>
      </c>
      <c r="B35" s="59" t="s">
        <v>1035</v>
      </c>
      <c r="C35" s="59" t="s">
        <v>1021</v>
      </c>
      <c r="D35" s="59"/>
      <c r="E35" s="59"/>
      <c r="F35" s="59"/>
      <c r="G35" s="59"/>
      <c r="H35" s="59"/>
      <c r="I35" s="59"/>
      <c r="J35" s="41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1022</v>
      </c>
      <c r="D36" s="59" t="s">
        <v>1023</v>
      </c>
      <c r="E36" s="59"/>
      <c r="F36" s="59"/>
      <c r="G36" s="59"/>
      <c r="H36" s="59"/>
      <c r="I36" s="59">
        <v>82</v>
      </c>
      <c r="J36" s="415">
        <f>I36*($J$9+$J$10)/100</f>
        <v>1818.8545155631043</v>
      </c>
    </row>
    <row r="37" spans="1:10" x14ac:dyDescent="0.25">
      <c r="A37" s="58" t="s">
        <v>1036</v>
      </c>
      <c r="B37" s="59" t="s">
        <v>1037</v>
      </c>
      <c r="C37" s="59" t="s">
        <v>1021</v>
      </c>
      <c r="D37" s="59"/>
      <c r="E37" s="59"/>
      <c r="F37" s="59"/>
      <c r="G37" s="59"/>
      <c r="H37" s="59"/>
      <c r="I37" s="59"/>
      <c r="J37" s="415">
        <f>$J$20+$J$10</f>
        <v>4476.328127818867</v>
      </c>
    </row>
    <row r="38" spans="1:10" x14ac:dyDescent="0.25">
      <c r="A38" s="58" t="s">
        <v>1036</v>
      </c>
      <c r="B38" s="59" t="s">
        <v>1038</v>
      </c>
      <c r="C38" s="59" t="s">
        <v>1021</v>
      </c>
      <c r="D38" s="59"/>
      <c r="E38" s="59"/>
      <c r="F38" s="59"/>
      <c r="G38" s="59"/>
      <c r="H38" s="59"/>
      <c r="I38" s="59"/>
      <c r="J38" s="415">
        <f>$J$18+$J$10</f>
        <v>5447.535808914794</v>
      </c>
    </row>
    <row r="39" spans="1:10" x14ac:dyDescent="0.25">
      <c r="A39" s="58" t="s">
        <v>9</v>
      </c>
      <c r="B39" s="59" t="s">
        <v>1039</v>
      </c>
      <c r="C39" s="59" t="s">
        <v>1021</v>
      </c>
      <c r="D39" s="59"/>
      <c r="E39" s="59"/>
      <c r="F39" s="59"/>
      <c r="G39" s="59"/>
      <c r="H39" s="59"/>
      <c r="I39" s="59"/>
      <c r="J39" s="415">
        <f>$J$11+$J$16</f>
        <v>1319.0392096603975</v>
      </c>
    </row>
    <row r="40" spans="1:10" x14ac:dyDescent="0.25">
      <c r="A40" s="58" t="s">
        <v>9</v>
      </c>
      <c r="B40" s="59" t="s">
        <v>1040</v>
      </c>
      <c r="C40" s="59" t="s">
        <v>1021</v>
      </c>
      <c r="D40" s="59"/>
      <c r="E40" s="59"/>
      <c r="F40" s="59"/>
      <c r="G40" s="59"/>
      <c r="H40" s="59"/>
      <c r="I40" s="59"/>
      <c r="J40" s="41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1022</v>
      </c>
      <c r="D41" s="59" t="s">
        <v>1023</v>
      </c>
      <c r="E41" s="59"/>
      <c r="F41" s="59"/>
      <c r="G41" s="59"/>
      <c r="H41" s="59"/>
      <c r="I41" s="59">
        <v>71</v>
      </c>
      <c r="J41" s="415">
        <f>I41*($J$9+$J$10)/100</f>
        <v>1574.8618366461026</v>
      </c>
    </row>
    <row r="42" spans="1:10" x14ac:dyDescent="0.25">
      <c r="A42" s="58" t="s">
        <v>9</v>
      </c>
      <c r="B42" s="59" t="s">
        <v>1041</v>
      </c>
      <c r="C42" s="59" t="s">
        <v>1025</v>
      </c>
      <c r="D42" s="59"/>
      <c r="E42" s="59">
        <v>2000</v>
      </c>
      <c r="F42" s="59" t="s">
        <v>627</v>
      </c>
      <c r="G42" s="59">
        <v>365.36</v>
      </c>
      <c r="H42" s="59">
        <v>5.914974034351558</v>
      </c>
      <c r="I42" s="59" t="s">
        <v>1009</v>
      </c>
      <c r="J42" s="415">
        <f t="shared" ref="J42:J48" si="2">G42*H42</f>
        <v>2161.0949131906855</v>
      </c>
    </row>
    <row r="43" spans="1:10" x14ac:dyDescent="0.25">
      <c r="A43" s="58" t="s">
        <v>9</v>
      </c>
      <c r="B43" s="59" t="s">
        <v>1042</v>
      </c>
      <c r="C43" s="59" t="s">
        <v>1025</v>
      </c>
      <c r="D43" s="59"/>
      <c r="E43" s="59">
        <v>2000</v>
      </c>
      <c r="F43" s="59" t="s">
        <v>627</v>
      </c>
      <c r="G43" s="59">
        <v>365.45</v>
      </c>
      <c r="H43" s="59">
        <v>5.914974034351558</v>
      </c>
      <c r="I43" s="59" t="s">
        <v>1009</v>
      </c>
      <c r="J43" s="415">
        <f t="shared" si="2"/>
        <v>2161.627260853777</v>
      </c>
    </row>
    <row r="44" spans="1:10" x14ac:dyDescent="0.25">
      <c r="A44" s="58"/>
      <c r="B44" s="59" t="s">
        <v>1043</v>
      </c>
      <c r="C44" s="59" t="s">
        <v>1025</v>
      </c>
      <c r="D44" s="59"/>
      <c r="E44" s="59">
        <v>2000</v>
      </c>
      <c r="F44" s="59" t="s">
        <v>627</v>
      </c>
      <c r="G44" s="59">
        <v>231.85</v>
      </c>
      <c r="H44" s="59">
        <v>5.914974034351558</v>
      </c>
      <c r="I44" s="59" t="s">
        <v>1009</v>
      </c>
      <c r="J44" s="415">
        <f t="shared" si="2"/>
        <v>1371.3867298644086</v>
      </c>
    </row>
    <row r="45" spans="1:10" x14ac:dyDescent="0.25">
      <c r="A45" s="58"/>
      <c r="B45" s="59" t="s">
        <v>1044</v>
      </c>
      <c r="C45" s="59" t="s">
        <v>1025</v>
      </c>
      <c r="D45" s="59"/>
      <c r="E45" s="59">
        <v>2000</v>
      </c>
      <c r="F45" s="59" t="s">
        <v>627</v>
      </c>
      <c r="G45" s="59">
        <v>232.7</v>
      </c>
      <c r="H45" s="59">
        <v>5.914974034351558</v>
      </c>
      <c r="I45" s="59" t="s">
        <v>1009</v>
      </c>
      <c r="J45" s="415">
        <f t="shared" si="2"/>
        <v>1376.4144577936074</v>
      </c>
    </row>
    <row r="46" spans="1:10" x14ac:dyDescent="0.25">
      <c r="A46" s="58"/>
      <c r="B46" s="59" t="s">
        <v>1045</v>
      </c>
      <c r="C46" s="59" t="s">
        <v>1025</v>
      </c>
      <c r="D46" s="59"/>
      <c r="E46" s="59">
        <v>2000</v>
      </c>
      <c r="F46" s="59" t="s">
        <v>627</v>
      </c>
      <c r="G46" s="59">
        <v>292.32</v>
      </c>
      <c r="H46" s="59">
        <v>5.914974034351558</v>
      </c>
      <c r="I46" s="59" t="s">
        <v>1009</v>
      </c>
      <c r="J46" s="415">
        <f t="shared" si="2"/>
        <v>1729.0652097216473</v>
      </c>
    </row>
    <row r="47" spans="1:10" x14ac:dyDescent="0.25">
      <c r="A47" s="58"/>
      <c r="B47" s="59" t="s">
        <v>1046</v>
      </c>
      <c r="C47" s="59" t="s">
        <v>1025</v>
      </c>
      <c r="D47" s="59"/>
      <c r="E47" s="59">
        <v>2000</v>
      </c>
      <c r="F47" s="59" t="s">
        <v>627</v>
      </c>
      <c r="G47" s="59">
        <v>347.59</v>
      </c>
      <c r="H47" s="59">
        <v>5.914974034351558</v>
      </c>
      <c r="I47" s="59" t="s">
        <v>1009</v>
      </c>
      <c r="J47" s="415">
        <f t="shared" si="2"/>
        <v>2055.9858246002577</v>
      </c>
    </row>
    <row r="48" spans="1:10" x14ac:dyDescent="0.25">
      <c r="A48" s="58"/>
      <c r="B48" s="59" t="s">
        <v>1047</v>
      </c>
      <c r="C48" s="59" t="s">
        <v>1025</v>
      </c>
      <c r="D48" s="59"/>
      <c r="E48" s="59">
        <v>2000</v>
      </c>
      <c r="F48" s="59" t="s">
        <v>627</v>
      </c>
      <c r="G48" s="59">
        <v>257.24</v>
      </c>
      <c r="H48" s="59">
        <v>5.914974034351558</v>
      </c>
      <c r="I48" s="59" t="s">
        <v>1009</v>
      </c>
      <c r="J48" s="415">
        <f t="shared" si="2"/>
        <v>1521.5679205965948</v>
      </c>
    </row>
    <row r="49" spans="1:10" x14ac:dyDescent="0.25">
      <c r="A49" s="58" t="s">
        <v>1048</v>
      </c>
      <c r="B49" s="59" t="s">
        <v>1049</v>
      </c>
      <c r="C49" s="59" t="s">
        <v>1022</v>
      </c>
      <c r="D49" s="59" t="s">
        <v>1008</v>
      </c>
      <c r="E49" s="59"/>
      <c r="F49" s="59"/>
      <c r="G49" s="59"/>
      <c r="H49" s="59"/>
      <c r="I49" s="59">
        <v>325</v>
      </c>
      <c r="J49" s="415">
        <f>I49*($J$9+$J$10)/100</f>
        <v>7208.8746043659621</v>
      </c>
    </row>
    <row r="50" spans="1:10" x14ac:dyDescent="0.25">
      <c r="A50" s="58" t="s">
        <v>8</v>
      </c>
      <c r="B50" s="59" t="s">
        <v>710</v>
      </c>
      <c r="C50" s="59" t="s">
        <v>1022</v>
      </c>
      <c r="D50" s="59" t="s">
        <v>1010</v>
      </c>
      <c r="E50" s="59"/>
      <c r="F50" s="59"/>
      <c r="G50" s="59"/>
      <c r="H50" s="59"/>
      <c r="I50" s="59">
        <v>45</v>
      </c>
      <c r="J50" s="415">
        <f>I50*($J$9+$J$10)/100</f>
        <v>998.15186829682557</v>
      </c>
    </row>
    <row r="51" spans="1:10" x14ac:dyDescent="0.25">
      <c r="A51" s="58" t="s">
        <v>8</v>
      </c>
      <c r="B51" s="59" t="s">
        <v>1050</v>
      </c>
      <c r="C51" s="59" t="s">
        <v>1022</v>
      </c>
      <c r="D51" s="59" t="s">
        <v>1010</v>
      </c>
      <c r="E51" s="59"/>
      <c r="F51" s="59"/>
      <c r="G51" s="59"/>
      <c r="H51" s="59"/>
      <c r="I51" s="59">
        <v>41</v>
      </c>
      <c r="J51" s="415">
        <f>I51*($J$9+$J$10)/100</f>
        <v>909.42725778155216</v>
      </c>
    </row>
    <row r="52" spans="1:10" x14ac:dyDescent="0.25">
      <c r="A52" s="58" t="s">
        <v>8</v>
      </c>
      <c r="B52" s="59" t="s">
        <v>1051</v>
      </c>
      <c r="C52" s="59" t="s">
        <v>1025</v>
      </c>
      <c r="D52" s="59"/>
      <c r="E52" s="59">
        <v>2000</v>
      </c>
      <c r="F52" s="59" t="s">
        <v>627</v>
      </c>
      <c r="G52" s="59">
        <v>173.68</v>
      </c>
      <c r="H52" s="59">
        <v>5.914974034351558</v>
      </c>
      <c r="I52" s="59" t="s">
        <v>1009</v>
      </c>
      <c r="J52" s="415">
        <f>G52*H52</f>
        <v>1027.3126902861786</v>
      </c>
    </row>
    <row r="53" spans="1:10" x14ac:dyDescent="0.25">
      <c r="A53" s="58"/>
      <c r="B53" s="59" t="s">
        <v>1052</v>
      </c>
      <c r="C53" s="59" t="s">
        <v>1025</v>
      </c>
      <c r="D53" s="59"/>
      <c r="E53" s="59">
        <v>2000</v>
      </c>
      <c r="F53" s="59" t="s">
        <v>627</v>
      </c>
      <c r="G53" s="59">
        <v>248.06</v>
      </c>
      <c r="H53" s="59">
        <v>5.914974034351558</v>
      </c>
      <c r="I53" s="59" t="s">
        <v>1009</v>
      </c>
      <c r="J53" s="415">
        <f>G53*H53</f>
        <v>1467.2684589612475</v>
      </c>
    </row>
    <row r="54" spans="1:10" x14ac:dyDescent="0.25">
      <c r="A54" s="58"/>
      <c r="B54" s="59" t="s">
        <v>1053</v>
      </c>
      <c r="C54" s="59" t="s">
        <v>1021</v>
      </c>
      <c r="D54" s="59"/>
      <c r="E54" s="59"/>
      <c r="F54" s="59"/>
      <c r="G54" s="59"/>
      <c r="H54" s="59"/>
      <c r="I54" s="59"/>
      <c r="J54" s="415">
        <f>$J$14+$J$16</f>
        <v>1052.8653781145774</v>
      </c>
    </row>
    <row r="55" spans="1:10" x14ac:dyDescent="0.25">
      <c r="A55" s="58"/>
      <c r="B55" s="59" t="s">
        <v>1054</v>
      </c>
      <c r="C55" s="59" t="s">
        <v>1021</v>
      </c>
      <c r="D55" s="59"/>
      <c r="E55" s="59"/>
      <c r="F55" s="59"/>
      <c r="G55" s="59"/>
      <c r="H55" s="59"/>
      <c r="I55" s="59"/>
      <c r="J55" s="415">
        <f>$J$13+$J$16</f>
        <v>1194.8247549390148</v>
      </c>
    </row>
    <row r="56" spans="1:10" x14ac:dyDescent="0.25">
      <c r="A56" s="58" t="s">
        <v>7</v>
      </c>
      <c r="B56" s="59" t="s">
        <v>1055</v>
      </c>
      <c r="C56" s="59" t="s">
        <v>1021</v>
      </c>
      <c r="D56" s="59"/>
      <c r="E56" s="59"/>
      <c r="F56" s="59"/>
      <c r="G56" s="59"/>
      <c r="H56" s="59"/>
      <c r="I56" s="59"/>
      <c r="J56" s="415">
        <f>$J$19+$J$10</f>
        <v>2533.9127656270111</v>
      </c>
    </row>
    <row r="57" spans="1:10" x14ac:dyDescent="0.25">
      <c r="A57" s="58" t="s">
        <v>7</v>
      </c>
      <c r="B57" s="59" t="s">
        <v>1056</v>
      </c>
      <c r="C57" s="59" t="s">
        <v>1022</v>
      </c>
      <c r="D57" s="59" t="s">
        <v>1023</v>
      </c>
      <c r="E57" s="59"/>
      <c r="F57" s="59"/>
      <c r="G57" s="59"/>
      <c r="H57" s="59"/>
      <c r="I57" s="59">
        <v>105</v>
      </c>
      <c r="J57" s="415">
        <f>I57*($J$9+$J$10)/100</f>
        <v>2329.0210260259259</v>
      </c>
    </row>
    <row r="58" spans="1:10" x14ac:dyDescent="0.25">
      <c r="A58" s="58"/>
      <c r="B58" s="59" t="s">
        <v>1057</v>
      </c>
      <c r="C58" s="59" t="s">
        <v>1025</v>
      </c>
      <c r="D58" s="59"/>
      <c r="E58" s="59">
        <v>2000</v>
      </c>
      <c r="F58" s="59" t="s">
        <v>627</v>
      </c>
      <c r="G58" s="59">
        <v>243.64</v>
      </c>
      <c r="H58" s="59">
        <v>5.914974034351558</v>
      </c>
      <c r="I58" s="59" t="s">
        <v>1009</v>
      </c>
      <c r="J58" s="415">
        <f t="shared" ref="J58:J63" si="3">G58*H58</f>
        <v>1441.1242737294135</v>
      </c>
    </row>
    <row r="59" spans="1:10" x14ac:dyDescent="0.25">
      <c r="A59" s="58"/>
      <c r="B59" s="59" t="s">
        <v>1058</v>
      </c>
      <c r="C59" s="59" t="s">
        <v>1025</v>
      </c>
      <c r="D59" s="59"/>
      <c r="E59" s="59">
        <v>2000</v>
      </c>
      <c r="F59" s="59" t="s">
        <v>627</v>
      </c>
      <c r="G59" s="59">
        <v>198.05</v>
      </c>
      <c r="H59" s="59">
        <v>5.914974034351558</v>
      </c>
      <c r="I59" s="59" t="s">
        <v>1009</v>
      </c>
      <c r="J59" s="415">
        <f t="shared" si="3"/>
        <v>1171.4606075033262</v>
      </c>
    </row>
    <row r="60" spans="1:10" x14ac:dyDescent="0.25">
      <c r="A60" s="58"/>
      <c r="B60" s="59" t="s">
        <v>1059</v>
      </c>
      <c r="C60" s="59" t="s">
        <v>1025</v>
      </c>
      <c r="D60" s="59"/>
      <c r="E60" s="59">
        <v>2000</v>
      </c>
      <c r="F60" s="59" t="s">
        <v>627</v>
      </c>
      <c r="G60" s="59">
        <v>243.63</v>
      </c>
      <c r="H60" s="59">
        <v>5.914974034351558</v>
      </c>
      <c r="I60" s="59" t="s">
        <v>1009</v>
      </c>
      <c r="J60" s="415">
        <f t="shared" si="3"/>
        <v>1441.0651239890701</v>
      </c>
    </row>
    <row r="61" spans="1:10" x14ac:dyDescent="0.25">
      <c r="A61" s="58"/>
      <c r="B61" s="59" t="s">
        <v>1060</v>
      </c>
      <c r="C61" s="59" t="s">
        <v>1025</v>
      </c>
      <c r="D61" s="59"/>
      <c r="E61" s="59">
        <v>2000</v>
      </c>
      <c r="F61" s="59" t="s">
        <v>627</v>
      </c>
      <c r="G61" s="59">
        <v>196.48</v>
      </c>
      <c r="H61" s="59">
        <v>5.914974034351558</v>
      </c>
      <c r="I61" s="59" t="s">
        <v>1009</v>
      </c>
      <c r="J61" s="415">
        <f t="shared" si="3"/>
        <v>1162.1740982693941</v>
      </c>
    </row>
    <row r="62" spans="1:10" x14ac:dyDescent="0.25">
      <c r="A62" s="58"/>
      <c r="B62" s="59" t="s">
        <v>1061</v>
      </c>
      <c r="C62" s="59" t="s">
        <v>1025</v>
      </c>
      <c r="D62" s="59"/>
      <c r="E62" s="59">
        <v>2000</v>
      </c>
      <c r="F62" s="59" t="s">
        <v>627</v>
      </c>
      <c r="G62" s="59">
        <v>187.71</v>
      </c>
      <c r="H62" s="59">
        <v>5.914974034351558</v>
      </c>
      <c r="I62" s="59" t="s">
        <v>1009</v>
      </c>
      <c r="J62" s="415">
        <f t="shared" si="3"/>
        <v>1110.2997759881309</v>
      </c>
    </row>
    <row r="63" spans="1:10" x14ac:dyDescent="0.25">
      <c r="A63" s="58" t="s">
        <v>8</v>
      </c>
      <c r="B63" s="59" t="s">
        <v>1062</v>
      </c>
      <c r="C63" s="59" t="s">
        <v>1025</v>
      </c>
      <c r="D63" s="59"/>
      <c r="E63" s="59">
        <v>2000</v>
      </c>
      <c r="F63" s="59" t="s">
        <v>627</v>
      </c>
      <c r="G63" s="59">
        <v>344.39</v>
      </c>
      <c r="H63" s="59">
        <v>5.914974034351558</v>
      </c>
      <c r="I63" s="59" t="s">
        <v>1009</v>
      </c>
      <c r="J63" s="415">
        <f t="shared" si="3"/>
        <v>2037.057907690333</v>
      </c>
    </row>
    <row r="64" spans="1:10" x14ac:dyDescent="0.25">
      <c r="I64" s="88"/>
    </row>
    <row r="65" spans="1:5" x14ac:dyDescent="0.25">
      <c r="A65" s="37" t="s">
        <v>1063</v>
      </c>
    </row>
    <row r="66" spans="1:5" x14ac:dyDescent="0.25">
      <c r="A66" s="37" t="s">
        <v>1064</v>
      </c>
    </row>
    <row r="67" spans="1:5" x14ac:dyDescent="0.25">
      <c r="A67" s="37" t="s">
        <v>1065</v>
      </c>
    </row>
    <row r="70" spans="1:5" x14ac:dyDescent="0.25">
      <c r="B70" s="500" t="s">
        <v>707</v>
      </c>
      <c r="C70" s="501" t="s">
        <v>708</v>
      </c>
    </row>
    <row r="71" spans="1:5" x14ac:dyDescent="0.25">
      <c r="B71" s="70"/>
      <c r="C71" s="421" t="s">
        <v>709</v>
      </c>
      <c r="D71" s="21" t="s">
        <v>1231</v>
      </c>
    </row>
    <row r="72" spans="1:5" x14ac:dyDescent="0.25">
      <c r="B72" s="58" t="s">
        <v>8</v>
      </c>
      <c r="C72" s="41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1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1066</v>
      </c>
    </row>
    <row r="74" spans="1:5" x14ac:dyDescent="0.25">
      <c r="B74" s="58" t="s">
        <v>7</v>
      </c>
      <c r="C74" s="41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15">
        <f>C73*1.2</f>
        <v>2253.9316136546399</v>
      </c>
      <c r="D75" s="47">
        <f t="shared" si="4"/>
        <v>4119.7362034379503</v>
      </c>
      <c r="E75" s="21" t="s">
        <v>1067</v>
      </c>
    </row>
    <row r="83" spans="1:8" x14ac:dyDescent="0.25">
      <c r="B83" s="573" t="s">
        <v>1129</v>
      </c>
      <c r="C83" s="573"/>
      <c r="D83" s="573"/>
      <c r="G83">
        <v>1.3</v>
      </c>
      <c r="H83" t="s">
        <v>1068</v>
      </c>
    </row>
    <row r="84" spans="1:8" x14ac:dyDescent="0.25">
      <c r="B84" s="573" t="s">
        <v>1109</v>
      </c>
      <c r="C84" s="573" t="s">
        <v>1209</v>
      </c>
      <c r="D84" s="573">
        <v>2017</v>
      </c>
      <c r="G84">
        <v>1.4059999999999999</v>
      </c>
      <c r="H84" t="s">
        <v>1156</v>
      </c>
    </row>
    <row r="85" spans="1:8" x14ac:dyDescent="0.25">
      <c r="B85" s="287" t="s">
        <v>490</v>
      </c>
      <c r="C85" s="21" t="s">
        <v>952</v>
      </c>
      <c r="D85" s="88">
        <f>D74</f>
        <v>4132.8716804986489</v>
      </c>
      <c r="G85">
        <f>G83*G84</f>
        <v>1.8277999999999999</v>
      </c>
      <c r="H85"/>
    </row>
    <row r="86" spans="1:8" x14ac:dyDescent="0.25">
      <c r="B86" t="s">
        <v>492</v>
      </c>
      <c r="C86" s="21" t="s">
        <v>952</v>
      </c>
      <c r="D86" s="88">
        <f>D73</f>
        <v>3433.1135028649592</v>
      </c>
    </row>
    <row r="87" spans="1:8" x14ac:dyDescent="0.25">
      <c r="B87" t="s">
        <v>493</v>
      </c>
      <c r="C87" s="21" t="s">
        <v>952</v>
      </c>
      <c r="D87" s="88">
        <f>D72</f>
        <v>2530.0543516740895</v>
      </c>
    </row>
    <row r="89" spans="1:8" x14ac:dyDescent="0.25">
      <c r="B89" s="287"/>
      <c r="D89" s="88"/>
    </row>
    <row r="91" spans="1:8" ht="26.25" x14ac:dyDescent="0.4">
      <c r="A91" s="581" t="s">
        <v>1264</v>
      </c>
    </row>
    <row r="92" spans="1:8" x14ac:dyDescent="0.25">
      <c r="C92" s="580">
        <v>0.05</v>
      </c>
    </row>
    <row r="94" spans="1:8" x14ac:dyDescent="0.25">
      <c r="B94" s="573" t="s">
        <v>1129</v>
      </c>
      <c r="C94" s="573"/>
      <c r="D94" s="573"/>
    </row>
    <row r="95" spans="1:8" x14ac:dyDescent="0.25">
      <c r="B95" s="573" t="s">
        <v>1109</v>
      </c>
      <c r="C95" s="573" t="s">
        <v>1209</v>
      </c>
      <c r="D95" s="573">
        <v>2017</v>
      </c>
    </row>
    <row r="96" spans="1:8" x14ac:dyDescent="0.25">
      <c r="B96" s="287" t="s">
        <v>490</v>
      </c>
      <c r="C96" s="21" t="s">
        <v>1180</v>
      </c>
      <c r="D96" s="88">
        <f>$C$92*D85</f>
        <v>206.64358402493247</v>
      </c>
    </row>
    <row r="97" spans="1:5" x14ac:dyDescent="0.25">
      <c r="B97" t="s">
        <v>492</v>
      </c>
      <c r="C97" s="21" t="s">
        <v>1180</v>
      </c>
      <c r="D97" s="88">
        <f t="shared" ref="D97:D98" si="5">$C$92*D86</f>
        <v>171.65567514324798</v>
      </c>
    </row>
    <row r="98" spans="1:5" x14ac:dyDescent="0.25">
      <c r="B98" t="s">
        <v>493</v>
      </c>
      <c r="C98" s="21" t="s">
        <v>1180</v>
      </c>
      <c r="D98" s="88">
        <f t="shared" si="5"/>
        <v>126.50271758370448</v>
      </c>
    </row>
    <row r="99" spans="1:5" x14ac:dyDescent="0.25">
      <c r="B99" s="21" t="str">
        <f>'INPUT opex costs TNapp'!B134</f>
        <v>IISBFBOF-E</v>
      </c>
      <c r="C99" s="21" t="s">
        <v>1180</v>
      </c>
      <c r="D99" s="88">
        <f>D96</f>
        <v>206.64358402493247</v>
      </c>
    </row>
    <row r="100" spans="1:5" x14ac:dyDescent="0.25">
      <c r="B100" s="21" t="str">
        <f>'INPUT opex costs TNapp'!B135</f>
        <v>IISCOREAF-E</v>
      </c>
      <c r="C100" s="21" t="s">
        <v>1180</v>
      </c>
      <c r="D100" s="88">
        <f>D97</f>
        <v>171.65567514324798</v>
      </c>
      <c r="E100" s="21" t="s">
        <v>1263</v>
      </c>
    </row>
    <row r="101" spans="1:5" x14ac:dyDescent="0.25">
      <c r="B101" s="21" t="str">
        <f>'INPUT opex costs TNapp'!B136</f>
        <v>IISDRIEAF-E</v>
      </c>
      <c r="C101" s="21" t="s">
        <v>1180</v>
      </c>
      <c r="D101" s="88">
        <f>D97</f>
        <v>171.65567514324798</v>
      </c>
    </row>
    <row r="102" spans="1:5" x14ac:dyDescent="0.25">
      <c r="B102" s="21" t="str">
        <f>'INPUT opex costs TNapp'!B137</f>
        <v>IISOTHEAF-E</v>
      </c>
      <c r="C102" s="21" t="s">
        <v>1180</v>
      </c>
      <c r="D102" s="88">
        <f>D101</f>
        <v>171.65567514324798</v>
      </c>
    </row>
    <row r="103" spans="1:5" x14ac:dyDescent="0.25">
      <c r="B103" s="21" t="str">
        <f>'INPUT opex costs TNapp'!B138</f>
        <v>IISSCREAF-E</v>
      </c>
      <c r="C103" s="21" t="s">
        <v>1180</v>
      </c>
      <c r="D103" s="88">
        <f>D98</f>
        <v>126.50271758370448</v>
      </c>
    </row>
    <row r="107" spans="1:5" ht="26.25" x14ac:dyDescent="0.4">
      <c r="A107" s="581" t="s">
        <v>683</v>
      </c>
      <c r="B107" s="573" t="s">
        <v>1129</v>
      </c>
      <c r="C107" s="573"/>
      <c r="D107" s="573"/>
    </row>
    <row r="108" spans="1:5" x14ac:dyDescent="0.25">
      <c r="B108" s="573" t="s">
        <v>1109</v>
      </c>
      <c r="C108" s="573" t="s">
        <v>1209</v>
      </c>
      <c r="D108" s="573">
        <v>2017</v>
      </c>
    </row>
    <row r="109" spans="1:5" x14ac:dyDescent="0.25">
      <c r="B109" s="287" t="s">
        <v>490</v>
      </c>
      <c r="C109" s="21" t="s">
        <v>1265</v>
      </c>
      <c r="D109" s="88">
        <v>20</v>
      </c>
    </row>
    <row r="110" spans="1:5" x14ac:dyDescent="0.25">
      <c r="B110" t="s">
        <v>492</v>
      </c>
      <c r="C110" s="21" t="s">
        <v>1265</v>
      </c>
      <c r="D110" s="88">
        <v>20</v>
      </c>
    </row>
    <row r="111" spans="1:5" x14ac:dyDescent="0.25">
      <c r="B111" t="s">
        <v>493</v>
      </c>
      <c r="C111" s="21" t="s">
        <v>1265</v>
      </c>
      <c r="D111" s="88">
        <v>20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544</v>
      </c>
    </row>
    <row r="5" spans="1:3" x14ac:dyDescent="0.25">
      <c r="B5" t="s">
        <v>545</v>
      </c>
      <c r="C5" t="s">
        <v>546</v>
      </c>
    </row>
    <row r="7" spans="1:3" x14ac:dyDescent="0.25">
      <c r="A7" s="18" t="s">
        <v>6</v>
      </c>
    </row>
    <row r="8" spans="1:3" x14ac:dyDescent="0.25">
      <c r="B8" t="s">
        <v>562</v>
      </c>
    </row>
    <row r="9" spans="1:3" x14ac:dyDescent="0.25">
      <c r="B9">
        <v>280</v>
      </c>
      <c r="C9" t="s">
        <v>561</v>
      </c>
    </row>
    <row r="10" spans="1:3" x14ac:dyDescent="0.25">
      <c r="B10">
        <v>120</v>
      </c>
      <c r="C10" t="s">
        <v>563</v>
      </c>
    </row>
    <row r="11" spans="1:3" x14ac:dyDescent="0.25">
      <c r="B11">
        <v>500</v>
      </c>
      <c r="C11" t="s">
        <v>564</v>
      </c>
    </row>
    <row r="12" spans="1:3" x14ac:dyDescent="0.25">
      <c r="B12" t="s">
        <v>195</v>
      </c>
      <c r="C12" t="s">
        <v>565</v>
      </c>
    </row>
    <row r="17" spans="2:3" x14ac:dyDescent="0.25">
      <c r="B17" s="18" t="s">
        <v>1198</v>
      </c>
    </row>
    <row r="18" spans="2:3" x14ac:dyDescent="0.25">
      <c r="B18" t="s">
        <v>1244</v>
      </c>
    </row>
    <row r="19" spans="2:3" x14ac:dyDescent="0.25">
      <c r="B19" t="s">
        <v>1197</v>
      </c>
    </row>
    <row r="20" spans="2:3" x14ac:dyDescent="0.25">
      <c r="B20" t="s">
        <v>1199</v>
      </c>
    </row>
    <row r="21" spans="2:3" x14ac:dyDescent="0.25">
      <c r="B21" s="18" t="s">
        <v>1201</v>
      </c>
      <c r="C21" s="18"/>
    </row>
    <row r="22" spans="2:3" x14ac:dyDescent="0.25">
      <c r="B22" s="18">
        <v>2</v>
      </c>
      <c r="C22" s="18" t="s">
        <v>1200</v>
      </c>
    </row>
    <row r="23" spans="2:3" x14ac:dyDescent="0.25">
      <c r="B23" s="18">
        <f>B22*1000</f>
        <v>2000</v>
      </c>
      <c r="C23" s="18" t="s">
        <v>440</v>
      </c>
    </row>
    <row r="24" spans="2:3" x14ac:dyDescent="0.25">
      <c r="B24" s="18">
        <f>B23</f>
        <v>2000</v>
      </c>
      <c r="C24" s="18" t="s">
        <v>872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40</v>
      </c>
      <c r="C1" s="20"/>
    </row>
    <row r="2" spans="2:11" ht="16.5" thickTop="1" x14ac:dyDescent="0.25"/>
    <row r="3" spans="2:11" ht="18" thickBot="1" x14ac:dyDescent="0.35">
      <c r="B3" s="22" t="s">
        <v>41</v>
      </c>
      <c r="C3" s="22"/>
    </row>
    <row r="4" spans="2:11" ht="16.5" thickTop="1" x14ac:dyDescent="0.25">
      <c r="B4" s="23" t="s">
        <v>42</v>
      </c>
      <c r="C4" s="24"/>
      <c r="D4" s="24" t="s">
        <v>7</v>
      </c>
      <c r="E4" s="24" t="s">
        <v>43</v>
      </c>
      <c r="F4" s="24" t="s">
        <v>44</v>
      </c>
      <c r="G4" s="24" t="s">
        <v>8</v>
      </c>
      <c r="H4" s="24" t="s">
        <v>45</v>
      </c>
      <c r="I4" s="24" t="s">
        <v>10</v>
      </c>
      <c r="J4" s="25" t="s">
        <v>3</v>
      </c>
    </row>
    <row r="5" spans="2:11" x14ac:dyDescent="0.25">
      <c r="B5" s="26" t="s">
        <v>46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47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48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49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50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51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52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53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54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55</v>
      </c>
      <c r="C15" s="22"/>
    </row>
    <row r="16" spans="2:11" ht="16.5" thickTop="1" x14ac:dyDescent="0.25">
      <c r="B16" s="23" t="s">
        <v>42</v>
      </c>
      <c r="C16" s="24"/>
      <c r="D16" s="24" t="s">
        <v>7</v>
      </c>
      <c r="E16" s="24" t="s">
        <v>43</v>
      </c>
      <c r="F16" s="24" t="s">
        <v>44</v>
      </c>
      <c r="G16" s="24" t="s">
        <v>8</v>
      </c>
      <c r="H16" s="24" t="s">
        <v>45</v>
      </c>
      <c r="I16" s="24" t="s">
        <v>10</v>
      </c>
      <c r="J16" s="25" t="s">
        <v>3</v>
      </c>
    </row>
    <row r="17" spans="2:14" x14ac:dyDescent="0.25">
      <c r="B17" s="26" t="s">
        <v>46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47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48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49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50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51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52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53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54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56</v>
      </c>
      <c r="C29" s="22"/>
      <c r="M29" s="37" t="s">
        <v>57</v>
      </c>
    </row>
    <row r="30" spans="2:14" ht="16.5" thickTop="1" x14ac:dyDescent="0.25">
      <c r="B30" s="23" t="s">
        <v>42</v>
      </c>
      <c r="C30" s="24"/>
      <c r="D30" s="24" t="s">
        <v>7</v>
      </c>
      <c r="E30" s="24" t="s">
        <v>43</v>
      </c>
      <c r="F30" s="24" t="s">
        <v>44</v>
      </c>
      <c r="G30" s="24" t="s">
        <v>8</v>
      </c>
      <c r="H30" s="24" t="s">
        <v>45</v>
      </c>
      <c r="I30" s="24" t="s">
        <v>10</v>
      </c>
      <c r="J30" s="25" t="s">
        <v>3</v>
      </c>
      <c r="M30" s="23" t="s">
        <v>58</v>
      </c>
      <c r="N30" s="25" t="s">
        <v>59</v>
      </c>
    </row>
    <row r="31" spans="2:14" x14ac:dyDescent="0.25">
      <c r="B31" s="26" t="s">
        <v>46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47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48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49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50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51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52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53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60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54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61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62</v>
      </c>
      <c r="N41" s="48">
        <f>[8]Production!AO22</f>
        <v>0.18573780613294916</v>
      </c>
    </row>
    <row r="42" spans="2:15" ht="16.5" thickTop="1" x14ac:dyDescent="0.25">
      <c r="B42" s="21" t="s">
        <v>63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64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65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66</v>
      </c>
      <c r="C48" s="22"/>
    </row>
    <row r="49" spans="2:21" ht="16.5" thickTop="1" x14ac:dyDescent="0.25">
      <c r="B49" s="23" t="s">
        <v>67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45</v>
      </c>
      <c r="I49" s="24" t="str">
        <f>I30</f>
        <v>Other-EAF</v>
      </c>
      <c r="J49" s="25" t="s">
        <v>3</v>
      </c>
      <c r="M49" s="23" t="s">
        <v>68</v>
      </c>
      <c r="N49" s="23" t="s">
        <v>69</v>
      </c>
      <c r="O49" s="23" t="s">
        <v>70</v>
      </c>
      <c r="P49" s="23" t="s">
        <v>71</v>
      </c>
      <c r="Q49" s="23" t="s">
        <v>72</v>
      </c>
      <c r="R49" s="23" t="s">
        <v>73</v>
      </c>
      <c r="S49" s="51" t="s">
        <v>74</v>
      </c>
      <c r="T49" s="51" t="s">
        <v>18</v>
      </c>
      <c r="U49" s="25" t="s">
        <v>3</v>
      </c>
    </row>
    <row r="50" spans="2:21" x14ac:dyDescent="0.25">
      <c r="B50" s="26" t="s">
        <v>75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75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76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76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77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77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78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78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79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79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80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80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81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81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82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83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84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85</v>
      </c>
      <c r="C62" s="22"/>
      <c r="K62" s="32"/>
      <c r="M62" s="50"/>
    </row>
    <row r="63" spans="2:21" ht="16.5" thickTop="1" x14ac:dyDescent="0.25">
      <c r="B63" s="23" t="s">
        <v>86</v>
      </c>
      <c r="C63" s="24"/>
      <c r="D63" s="24" t="s">
        <v>7</v>
      </c>
      <c r="E63" s="24" t="s">
        <v>43</v>
      </c>
      <c r="F63" s="24" t="s">
        <v>44</v>
      </c>
      <c r="G63" s="24" t="s">
        <v>8</v>
      </c>
      <c r="H63" s="24" t="s">
        <v>45</v>
      </c>
      <c r="I63" s="24" t="s">
        <v>10</v>
      </c>
      <c r="K63" s="32"/>
      <c r="M63" s="50"/>
    </row>
    <row r="64" spans="2:21" x14ac:dyDescent="0.25">
      <c r="B64" s="26" t="s">
        <v>87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88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89</v>
      </c>
      <c r="C67" s="24"/>
      <c r="D67" s="24" t="s">
        <v>7</v>
      </c>
      <c r="E67" s="24" t="s">
        <v>43</v>
      </c>
      <c r="F67" s="24" t="s">
        <v>44</v>
      </c>
      <c r="G67" s="24" t="s">
        <v>8</v>
      </c>
      <c r="H67" s="24" t="s">
        <v>45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90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91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92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93</v>
      </c>
      <c r="C72" s="24"/>
      <c r="D72" s="24" t="s">
        <v>7</v>
      </c>
      <c r="E72" s="24" t="s">
        <v>43</v>
      </c>
      <c r="F72" s="24" t="s">
        <v>44</v>
      </c>
      <c r="G72" s="24" t="s">
        <v>8</v>
      </c>
      <c r="H72" s="24" t="s">
        <v>45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94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95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96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97</v>
      </c>
      <c r="C79" s="24"/>
      <c r="D79" s="24" t="s">
        <v>27</v>
      </c>
      <c r="E79" s="24" t="s">
        <v>98</v>
      </c>
      <c r="F79" s="24" t="s">
        <v>99</v>
      </c>
      <c r="G79" s="24" t="s">
        <v>45</v>
      </c>
      <c r="H79" s="24" t="s">
        <v>100</v>
      </c>
      <c r="I79" s="25" t="s">
        <v>3</v>
      </c>
      <c r="J79" s="32"/>
      <c r="L79" s="50"/>
    </row>
    <row r="80" spans="2:13" x14ac:dyDescent="0.25">
      <c r="B80" s="26" t="s">
        <v>75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101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77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78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79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80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81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102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103</v>
      </c>
      <c r="C90" s="24"/>
      <c r="D90" s="24" t="s">
        <v>7</v>
      </c>
      <c r="E90" s="24" t="s">
        <v>43</v>
      </c>
      <c r="F90" s="24" t="s">
        <v>44</v>
      </c>
      <c r="G90" s="24" t="s">
        <v>8</v>
      </c>
      <c r="H90" s="24" t="s">
        <v>45</v>
      </c>
      <c r="I90" s="24" t="s">
        <v>10</v>
      </c>
    </row>
    <row r="91" spans="2:13" x14ac:dyDescent="0.25">
      <c r="B91" s="58" t="s">
        <v>104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105</v>
      </c>
      <c r="C93" s="24"/>
      <c r="D93" s="24" t="s">
        <v>7</v>
      </c>
      <c r="E93" s="24" t="s">
        <v>43</v>
      </c>
      <c r="F93" s="24" t="s">
        <v>44</v>
      </c>
      <c r="G93" s="24" t="s">
        <v>8</v>
      </c>
      <c r="H93" s="24" t="s">
        <v>45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106</v>
      </c>
      <c r="C103" s="22"/>
    </row>
    <row r="104" spans="2:10" ht="16.5" thickTop="1" x14ac:dyDescent="0.25">
      <c r="B104" s="37" t="s">
        <v>107</v>
      </c>
    </row>
    <row r="105" spans="2:10" x14ac:dyDescent="0.25">
      <c r="C105" s="24"/>
      <c r="D105" s="24" t="str">
        <f>D49</f>
        <v>BF-BOF</v>
      </c>
      <c r="E105" s="24" t="s">
        <v>43</v>
      </c>
      <c r="F105" s="24" t="s">
        <v>44</v>
      </c>
      <c r="G105" s="24" t="str">
        <f>G49</f>
        <v>Scrap-EAF</v>
      </c>
      <c r="H105" s="24" t="s">
        <v>45</v>
      </c>
      <c r="I105" s="24" t="str">
        <f>I49</f>
        <v>Other-EAF</v>
      </c>
      <c r="J105" s="25" t="s">
        <v>3</v>
      </c>
    </row>
    <row r="106" spans="2:10" x14ac:dyDescent="0.25">
      <c r="B106" s="23" t="s">
        <v>86</v>
      </c>
      <c r="C106" s="26" t="s">
        <v>87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88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89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90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91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92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93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94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95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108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109</v>
      </c>
      <c r="C118" s="26" t="s">
        <v>75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76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77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78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79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80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81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110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111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112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113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114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115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116</v>
      </c>
    </row>
    <row r="135" spans="2:12" ht="18" thickBot="1" x14ac:dyDescent="0.35">
      <c r="B135" s="22" t="s">
        <v>117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44</v>
      </c>
    </row>
    <row r="137" spans="2:12" x14ac:dyDescent="0.25">
      <c r="B137" s="80" t="s">
        <v>118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119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120</v>
      </c>
    </row>
    <row r="142" spans="2:12" ht="16.5" thickTop="1" x14ac:dyDescent="0.25"/>
    <row r="144" spans="2:12" x14ac:dyDescent="0.25">
      <c r="C144" s="80" t="s">
        <v>121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122</v>
      </c>
    </row>
    <row r="145" spans="2:16" x14ac:dyDescent="0.25">
      <c r="C145" s="58" t="s">
        <v>123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124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125</v>
      </c>
      <c r="O146" s="84" t="s">
        <v>126</v>
      </c>
      <c r="P146" s="21" t="s">
        <v>127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128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129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129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130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130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131</v>
      </c>
    </row>
    <row r="153" spans="2:16" x14ac:dyDescent="0.25">
      <c r="C153" s="37" t="s">
        <v>132</v>
      </c>
    </row>
    <row r="154" spans="2:16" x14ac:dyDescent="0.25">
      <c r="C154" s="37" t="s">
        <v>133</v>
      </c>
    </row>
    <row r="155" spans="2:16" x14ac:dyDescent="0.25">
      <c r="C155" s="87" t="s">
        <v>134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135</v>
      </c>
      <c r="I157" s="24" t="s">
        <v>10</v>
      </c>
      <c r="J157" s="25" t="s">
        <v>3</v>
      </c>
    </row>
    <row r="158" spans="2:16" x14ac:dyDescent="0.25">
      <c r="B158" s="23" t="s">
        <v>136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129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137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138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129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137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139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139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139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129</v>
      </c>
      <c r="D177" s="21" t="s">
        <v>139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130</v>
      </c>
      <c r="D178" s="21" t="s">
        <v>139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465</v>
      </c>
    </row>
    <row r="183" spans="2:10" x14ac:dyDescent="0.25">
      <c r="B183" s="349"/>
      <c r="C183" s="350"/>
      <c r="D183" s="350"/>
      <c r="E183" s="350"/>
      <c r="F183" s="350"/>
      <c r="G183" s="350"/>
      <c r="H183" s="350"/>
      <c r="I183" s="350"/>
      <c r="J183" s="351"/>
    </row>
    <row r="184" spans="2:10" x14ac:dyDescent="0.25">
      <c r="B184" s="328" t="s">
        <v>466</v>
      </c>
      <c r="J184" s="352"/>
    </row>
    <row r="185" spans="2:10" x14ac:dyDescent="0.25">
      <c r="B185" s="328"/>
      <c r="C185" s="26" t="s">
        <v>13</v>
      </c>
      <c r="D185" s="353">
        <f>D146*D$130</f>
        <v>4.3302170790299686</v>
      </c>
      <c r="E185" s="353">
        <f t="shared" ref="E185:J185" si="30">E146*E$130</f>
        <v>20.596584135938251</v>
      </c>
      <c r="F185" s="353">
        <f t="shared" si="30"/>
        <v>0</v>
      </c>
      <c r="G185" s="353">
        <f t="shared" si="30"/>
        <v>0</v>
      </c>
      <c r="H185" s="353">
        <f t="shared" si="30"/>
        <v>11.88</v>
      </c>
      <c r="I185" s="353">
        <f t="shared" si="30"/>
        <v>20.61</v>
      </c>
      <c r="J185" s="354">
        <f t="shared" si="30"/>
        <v>5.9756182459967411</v>
      </c>
    </row>
    <row r="186" spans="2:10" x14ac:dyDescent="0.25">
      <c r="B186" s="328"/>
      <c r="C186" s="26" t="s">
        <v>11</v>
      </c>
      <c r="D186" s="353">
        <f t="shared" ref="D186:J186" si="31">D147*D$130</f>
        <v>8.8757836125478331</v>
      </c>
      <c r="E186" s="353">
        <f t="shared" si="31"/>
        <v>0</v>
      </c>
      <c r="F186" s="353">
        <f t="shared" si="31"/>
        <v>0</v>
      </c>
      <c r="G186" s="353">
        <f t="shared" si="31"/>
        <v>0</v>
      </c>
      <c r="H186" s="353">
        <f t="shared" si="31"/>
        <v>4.5900000000000007</v>
      </c>
      <c r="I186" s="353">
        <f t="shared" si="31"/>
        <v>0</v>
      </c>
      <c r="J186" s="354">
        <f t="shared" si="31"/>
        <v>4.4861323109367142</v>
      </c>
    </row>
    <row r="187" spans="2:10" x14ac:dyDescent="0.25">
      <c r="B187" s="328"/>
      <c r="C187" s="26" t="s">
        <v>14</v>
      </c>
      <c r="D187" s="353">
        <f t="shared" ref="D187:J187" si="32">D148*D$130</f>
        <v>5.8326578025314344</v>
      </c>
      <c r="E187" s="353">
        <f t="shared" si="32"/>
        <v>14.230367221193701</v>
      </c>
      <c r="F187" s="353">
        <f>F148*F$130</f>
        <v>0</v>
      </c>
      <c r="G187" s="353">
        <f t="shared" si="32"/>
        <v>7.5</v>
      </c>
      <c r="H187" s="353">
        <f t="shared" si="32"/>
        <v>8.9909999999999997</v>
      </c>
      <c r="I187" s="353">
        <f t="shared" si="32"/>
        <v>20.61</v>
      </c>
      <c r="J187" s="354">
        <f t="shared" si="32"/>
        <v>9.4561456232640211</v>
      </c>
    </row>
    <row r="188" spans="2:10" x14ac:dyDescent="0.25">
      <c r="B188" s="328"/>
      <c r="C188" s="26" t="s">
        <v>129</v>
      </c>
      <c r="D188" s="353">
        <f t="shared" ref="D188:J188" si="33">D149*D$130</f>
        <v>6.2130485287834842</v>
      </c>
      <c r="E188" s="353">
        <f t="shared" si="33"/>
        <v>2.2380324578113369</v>
      </c>
      <c r="F188" s="353">
        <f t="shared" si="33"/>
        <v>0</v>
      </c>
      <c r="G188" s="353">
        <f t="shared" si="33"/>
        <v>2.5</v>
      </c>
      <c r="H188" s="353">
        <f t="shared" si="33"/>
        <v>1.5390000000000001</v>
      </c>
      <c r="I188" s="353">
        <f t="shared" si="33"/>
        <v>3.4349999999999996</v>
      </c>
      <c r="J188" s="354">
        <f t="shared" si="33"/>
        <v>4.546123514757161</v>
      </c>
    </row>
    <row r="189" spans="2:10" x14ac:dyDescent="0.25">
      <c r="B189" s="355"/>
      <c r="C189" s="356" t="s">
        <v>137</v>
      </c>
      <c r="D189" s="357">
        <f t="shared" ref="D189:J189" si="34">D150*D$130</f>
        <v>0.12679690875068336</v>
      </c>
      <c r="E189" s="357">
        <f t="shared" si="34"/>
        <v>0.37448334792615001</v>
      </c>
      <c r="F189" s="357">
        <f t="shared" si="34"/>
        <v>0</v>
      </c>
      <c r="G189" s="357">
        <f t="shared" si="34"/>
        <v>0</v>
      </c>
      <c r="H189" s="357">
        <f t="shared" si="34"/>
        <v>0</v>
      </c>
      <c r="I189" s="357">
        <f t="shared" si="34"/>
        <v>1.145</v>
      </c>
      <c r="J189" s="35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140</v>
      </c>
    </row>
    <row r="195" spans="2:11" x14ac:dyDescent="0.25">
      <c r="C195" s="21" t="s">
        <v>141</v>
      </c>
      <c r="D195" s="21" t="s">
        <v>142</v>
      </c>
      <c r="G195" s="21" t="s">
        <v>143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144</v>
      </c>
      <c r="D196" s="21">
        <v>27.8</v>
      </c>
      <c r="E196" s="21" t="s">
        <v>145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144</v>
      </c>
      <c r="D197" s="21">
        <v>28.2</v>
      </c>
      <c r="E197" s="21" t="s">
        <v>145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146</v>
      </c>
      <c r="D198" s="21">
        <v>3.6</v>
      </c>
      <c r="E198" s="21" t="s">
        <v>147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129</v>
      </c>
      <c r="C199" s="21" t="s">
        <v>148</v>
      </c>
      <c r="D199" s="21">
        <v>1</v>
      </c>
      <c r="E199" s="21" t="s">
        <v>149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150</v>
      </c>
      <c r="C200" s="21" t="s">
        <v>148</v>
      </c>
      <c r="D200" s="21">
        <v>1</v>
      </c>
      <c r="E200" s="21" t="s">
        <v>149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151</v>
      </c>
      <c r="C201" s="21" t="s">
        <v>152</v>
      </c>
      <c r="D201" s="21">
        <v>41.716000000000001</v>
      </c>
      <c r="E201" s="21" t="s">
        <v>153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122</v>
      </c>
      <c r="I203" s="21" t="s">
        <v>0</v>
      </c>
      <c r="J203" s="21" t="s">
        <v>154</v>
      </c>
      <c r="K203" s="21" t="s">
        <v>155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129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150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151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129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150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151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467</v>
      </c>
      <c r="M2" t="s">
        <v>467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611</v>
      </c>
    </row>
    <row r="5" spans="3:25" x14ac:dyDescent="0.25">
      <c r="C5" s="4" t="s">
        <v>366</v>
      </c>
      <c r="D5">
        <v>2.33</v>
      </c>
      <c r="E5">
        <v>2.34</v>
      </c>
      <c r="F5">
        <v>2.3199999999999998</v>
      </c>
      <c r="G5" t="s">
        <v>370</v>
      </c>
      <c r="I5" s="5"/>
      <c r="M5" s="6" t="s">
        <v>386</v>
      </c>
      <c r="V5" s="5"/>
      <c r="Y5" s="118" t="s">
        <v>612</v>
      </c>
    </row>
    <row r="6" spans="3:25" x14ac:dyDescent="0.25">
      <c r="C6" s="4" t="s">
        <v>366</v>
      </c>
      <c r="D6">
        <v>2.91</v>
      </c>
      <c r="E6">
        <v>3.01</v>
      </c>
      <c r="F6">
        <v>3</v>
      </c>
      <c r="G6" t="s">
        <v>368</v>
      </c>
      <c r="I6" s="5"/>
      <c r="M6" s="4"/>
      <c r="O6" t="s">
        <v>907</v>
      </c>
      <c r="V6" s="5"/>
    </row>
    <row r="7" spans="3:25" x14ac:dyDescent="0.25">
      <c r="C7" s="4" t="s">
        <v>367</v>
      </c>
      <c r="D7">
        <v>14.84</v>
      </c>
      <c r="E7">
        <v>14.71</v>
      </c>
      <c r="F7">
        <v>14.3</v>
      </c>
      <c r="G7" t="s">
        <v>373</v>
      </c>
      <c r="I7" s="5"/>
      <c r="M7" s="4" t="s">
        <v>908</v>
      </c>
      <c r="O7">
        <v>4493</v>
      </c>
      <c r="Q7" t="s">
        <v>909</v>
      </c>
      <c r="V7" s="5"/>
    </row>
    <row r="8" spans="3:25" x14ac:dyDescent="0.25">
      <c r="C8" s="4"/>
      <c r="I8" s="5"/>
      <c r="M8" s="4"/>
      <c r="O8" t="s">
        <v>385</v>
      </c>
      <c r="V8" s="5"/>
    </row>
    <row r="9" spans="3:25" x14ac:dyDescent="0.25">
      <c r="C9" s="4" t="s">
        <v>372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369</v>
      </c>
      <c r="I9" s="5"/>
      <c r="M9" s="4" t="s">
        <v>910</v>
      </c>
      <c r="O9">
        <v>3098</v>
      </c>
      <c r="P9" t="s">
        <v>911</v>
      </c>
      <c r="Q9" t="s">
        <v>912</v>
      </c>
      <c r="V9" s="5"/>
    </row>
    <row r="10" spans="3:25" x14ac:dyDescent="0.25">
      <c r="C10" s="4"/>
      <c r="D10" s="268"/>
      <c r="E10" s="268"/>
      <c r="F10" s="268"/>
      <c r="I10" s="5"/>
      <c r="M10" s="4" t="s">
        <v>913</v>
      </c>
      <c r="O10">
        <v>1393</v>
      </c>
      <c r="P10" t="s">
        <v>911</v>
      </c>
      <c r="Q10" t="s">
        <v>912</v>
      </c>
      <c r="V10" s="5"/>
    </row>
    <row r="11" spans="3:25" x14ac:dyDescent="0.25">
      <c r="C11" s="4"/>
      <c r="D11" s="322">
        <f>D9*D5</f>
        <v>11.882199312714777</v>
      </c>
      <c r="E11" s="322">
        <f>E9*E5</f>
        <v>11.435681063122924</v>
      </c>
      <c r="F11" s="322">
        <f>F9*F5</f>
        <v>11.058666666666666</v>
      </c>
      <c r="G11" t="s">
        <v>371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914</v>
      </c>
      <c r="N13" s="18"/>
      <c r="O13" s="466">
        <f>O7*1000000/(O9*1000)</f>
        <v>1450.2905100064559</v>
      </c>
      <c r="P13" s="18" t="s">
        <v>915</v>
      </c>
      <c r="Q13" s="18" t="s">
        <v>916</v>
      </c>
      <c r="V13" s="5"/>
    </row>
    <row r="14" spans="3:25" x14ac:dyDescent="0.25">
      <c r="M14" s="4"/>
      <c r="V14" s="5"/>
    </row>
    <row r="15" spans="3:25" x14ac:dyDescent="0.25">
      <c r="C15" t="s">
        <v>468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470</v>
      </c>
      <c r="I17" s="5"/>
      <c r="M17" s="4"/>
      <c r="V17" s="5"/>
    </row>
    <row r="18" spans="3:22" x14ac:dyDescent="0.25">
      <c r="C18" s="4">
        <v>2017</v>
      </c>
      <c r="D18" s="346">
        <v>7581</v>
      </c>
      <c r="E18" t="s">
        <v>469</v>
      </c>
      <c r="I18" s="5"/>
      <c r="M18" s="4" t="s">
        <v>917</v>
      </c>
      <c r="V18" s="5"/>
    </row>
    <row r="19" spans="3:22" x14ac:dyDescent="0.25">
      <c r="C19" s="4">
        <v>2016</v>
      </c>
      <c r="D19" s="346">
        <v>6544</v>
      </c>
      <c r="E19" t="s">
        <v>469</v>
      </c>
      <c r="I19" s="5"/>
      <c r="M19" s="4"/>
      <c r="V19" s="5"/>
    </row>
    <row r="20" spans="3:22" x14ac:dyDescent="0.25">
      <c r="C20" s="4"/>
      <c r="I20" s="5"/>
      <c r="M20" s="4" t="s">
        <v>918</v>
      </c>
      <c r="P20">
        <v>16</v>
      </c>
      <c r="V20" s="5"/>
    </row>
    <row r="21" spans="3:22" x14ac:dyDescent="0.25">
      <c r="C21" s="4"/>
      <c r="I21" s="5"/>
      <c r="M21" s="117"/>
      <c r="N21" s="117" t="s">
        <v>915</v>
      </c>
      <c r="P21" t="s">
        <v>919</v>
      </c>
      <c r="V21" s="5"/>
    </row>
    <row r="22" spans="3:22" x14ac:dyDescent="0.25">
      <c r="C22" s="4" t="s">
        <v>471</v>
      </c>
      <c r="I22" s="5"/>
      <c r="M22" s="117" t="s">
        <v>920</v>
      </c>
      <c r="N22" s="452">
        <v>10250</v>
      </c>
      <c r="P22" s="320">
        <f>N22/$P$20</f>
        <v>640.625</v>
      </c>
      <c r="V22" s="5"/>
    </row>
    <row r="23" spans="3:22" x14ac:dyDescent="0.25">
      <c r="C23" s="4">
        <v>515</v>
      </c>
      <c r="D23" t="s">
        <v>472</v>
      </c>
      <c r="I23" s="5"/>
      <c r="M23" s="117" t="s">
        <v>135</v>
      </c>
      <c r="N23" s="452">
        <v>8036</v>
      </c>
      <c r="P23" s="320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47">
        <v>0.74270000000000003</v>
      </c>
      <c r="D26" t="s">
        <v>473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691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688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689</v>
      </c>
    </row>
    <row r="38" spans="3:17" x14ac:dyDescent="0.25">
      <c r="C38" s="4"/>
      <c r="I38" t="s">
        <v>692</v>
      </c>
      <c r="M38" s="5"/>
      <c r="P38">
        <v>1.4</v>
      </c>
      <c r="Q38" t="s">
        <v>690</v>
      </c>
    </row>
    <row r="39" spans="3:17" x14ac:dyDescent="0.25">
      <c r="C39" s="4"/>
      <c r="I39" t="s">
        <v>693</v>
      </c>
      <c r="M39" s="5"/>
    </row>
    <row r="40" spans="3:17" x14ac:dyDescent="0.25">
      <c r="C40" s="4"/>
      <c r="I40" t="s">
        <v>694</v>
      </c>
      <c r="M40" s="5"/>
    </row>
    <row r="41" spans="3:17" x14ac:dyDescent="0.25">
      <c r="C41" s="4"/>
      <c r="I41" t="s">
        <v>695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995</v>
      </c>
    </row>
    <row r="79" spans="3:13" x14ac:dyDescent="0.25">
      <c r="D79" t="s">
        <v>609</v>
      </c>
    </row>
    <row r="94" spans="21:23" x14ac:dyDescent="0.25">
      <c r="V94" t="s">
        <v>613</v>
      </c>
    </row>
    <row r="95" spans="21:23" x14ac:dyDescent="0.25">
      <c r="U95" t="s">
        <v>325</v>
      </c>
      <c r="V95">
        <v>1072</v>
      </c>
      <c r="W95" t="s">
        <v>385</v>
      </c>
    </row>
    <row r="96" spans="21:23" x14ac:dyDescent="0.25">
      <c r="U96" t="s">
        <v>614</v>
      </c>
      <c r="V96">
        <v>1406</v>
      </c>
    </row>
    <row r="124" spans="3:3" x14ac:dyDescent="0.25">
      <c r="C124" t="s">
        <v>610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220</v>
      </c>
    </row>
    <row r="2" spans="1:46" x14ac:dyDescent="0.2">
      <c r="A2" s="13" t="s">
        <v>221</v>
      </c>
    </row>
    <row r="4" spans="1:46" ht="13.5" thickBot="1" x14ac:dyDescent="0.25">
      <c r="A4" s="13" t="s">
        <v>222</v>
      </c>
    </row>
    <row r="5" spans="1:46" x14ac:dyDescent="0.2">
      <c r="A5" s="620" t="s">
        <v>223</v>
      </c>
      <c r="B5" s="608" t="s">
        <v>224</v>
      </c>
      <c r="C5" s="609"/>
      <c r="D5" s="609"/>
      <c r="E5" s="615"/>
      <c r="F5" s="616" t="s">
        <v>225</v>
      </c>
      <c r="G5" s="609"/>
      <c r="H5" s="615"/>
      <c r="I5" s="609" t="s">
        <v>226</v>
      </c>
      <c r="J5" s="609"/>
      <c r="K5" s="609"/>
      <c r="L5" s="609"/>
      <c r="M5" s="609"/>
      <c r="N5" s="609"/>
      <c r="O5" s="609"/>
      <c r="P5" s="615"/>
      <c r="Q5" s="616" t="s">
        <v>227</v>
      </c>
      <c r="R5" s="609"/>
      <c r="S5" s="609"/>
      <c r="T5" s="609"/>
      <c r="U5" s="609"/>
      <c r="V5" s="609"/>
      <c r="W5" s="609"/>
      <c r="X5" s="615"/>
      <c r="Y5" s="609" t="s">
        <v>228</v>
      </c>
      <c r="Z5" s="609"/>
      <c r="AA5" s="609"/>
      <c r="AB5" s="610"/>
      <c r="AC5" s="608" t="s">
        <v>229</v>
      </c>
      <c r="AD5" s="609"/>
      <c r="AE5" s="609"/>
      <c r="AF5" s="609"/>
      <c r="AG5" s="137"/>
      <c r="AH5" s="137"/>
      <c r="AI5" s="138" t="s">
        <v>230</v>
      </c>
      <c r="AJ5" s="610" t="s">
        <v>231</v>
      </c>
      <c r="AK5" s="611"/>
      <c r="AL5" s="611"/>
      <c r="AM5" s="611"/>
      <c r="AN5" s="611"/>
      <c r="AO5" s="611"/>
      <c r="AP5" s="611"/>
      <c r="AQ5" s="611"/>
      <c r="AR5" s="611"/>
      <c r="AS5" s="611"/>
      <c r="AT5" s="612"/>
    </row>
    <row r="6" spans="1:46" s="151" customFormat="1" ht="26.25" customHeight="1" x14ac:dyDescent="0.2">
      <c r="A6" s="621"/>
      <c r="B6" s="139" t="s">
        <v>6</v>
      </c>
      <c r="C6" s="140" t="s">
        <v>232</v>
      </c>
      <c r="D6" s="139" t="s">
        <v>233</v>
      </c>
      <c r="E6" s="141" t="s">
        <v>234</v>
      </c>
      <c r="F6" s="142" t="s">
        <v>235</v>
      </c>
      <c r="G6" s="139" t="s">
        <v>236</v>
      </c>
      <c r="H6" s="143" t="s">
        <v>237</v>
      </c>
      <c r="I6" s="144" t="s">
        <v>6</v>
      </c>
      <c r="J6" s="145" t="s">
        <v>232</v>
      </c>
      <c r="K6" s="139" t="s">
        <v>238</v>
      </c>
      <c r="L6" s="139" t="s">
        <v>135</v>
      </c>
      <c r="M6" s="139" t="s">
        <v>234</v>
      </c>
      <c r="N6" s="139" t="s">
        <v>233</v>
      </c>
      <c r="O6" s="139" t="s">
        <v>239</v>
      </c>
      <c r="P6" s="146" t="s">
        <v>240</v>
      </c>
      <c r="Q6" s="142" t="s">
        <v>6</v>
      </c>
      <c r="R6" s="140" t="s">
        <v>232</v>
      </c>
      <c r="S6" s="139" t="s">
        <v>241</v>
      </c>
      <c r="T6" s="139" t="s">
        <v>242</v>
      </c>
      <c r="U6" s="139" t="s">
        <v>234</v>
      </c>
      <c r="V6" s="139" t="s">
        <v>233</v>
      </c>
      <c r="W6" s="139" t="s">
        <v>239</v>
      </c>
      <c r="X6" s="144" t="s">
        <v>240</v>
      </c>
      <c r="Y6" s="147" t="s">
        <v>243</v>
      </c>
      <c r="Z6" s="140" t="s">
        <v>13</v>
      </c>
      <c r="AA6" s="139" t="s">
        <v>244</v>
      </c>
      <c r="AB6" s="139" t="s">
        <v>245</v>
      </c>
      <c r="AC6" s="613" t="s">
        <v>246</v>
      </c>
      <c r="AD6" s="614"/>
      <c r="AE6" s="140" t="s">
        <v>247</v>
      </c>
      <c r="AF6" s="148" t="s">
        <v>248</v>
      </c>
      <c r="AG6" s="149" t="s">
        <v>249</v>
      </c>
      <c r="AH6" s="141" t="s">
        <v>250</v>
      </c>
      <c r="AI6" s="150" t="s">
        <v>230</v>
      </c>
      <c r="AJ6" s="147" t="s">
        <v>251</v>
      </c>
      <c r="AK6" s="139" t="s">
        <v>252</v>
      </c>
      <c r="AL6" s="139" t="s">
        <v>253</v>
      </c>
      <c r="AM6" s="139" t="s">
        <v>14</v>
      </c>
      <c r="AN6" s="139" t="s">
        <v>254</v>
      </c>
      <c r="AO6" s="139" t="s">
        <v>255</v>
      </c>
      <c r="AP6" s="139" t="s">
        <v>256</v>
      </c>
      <c r="AQ6" s="139" t="s">
        <v>257</v>
      </c>
      <c r="AR6" s="139" t="s">
        <v>258</v>
      </c>
      <c r="AS6" s="139" t="s">
        <v>3</v>
      </c>
      <c r="AT6" s="141" t="s">
        <v>259</v>
      </c>
    </row>
    <row r="7" spans="1:46" x14ac:dyDescent="0.2">
      <c r="A7" s="622"/>
      <c r="B7" s="152" t="s">
        <v>260</v>
      </c>
      <c r="C7" s="152" t="s">
        <v>260</v>
      </c>
      <c r="D7" s="152" t="s">
        <v>261</v>
      </c>
      <c r="E7" s="153" t="s">
        <v>260</v>
      </c>
      <c r="F7" s="154"/>
      <c r="G7" s="152"/>
      <c r="H7" s="153"/>
      <c r="I7" s="155" t="s">
        <v>260</v>
      </c>
      <c r="J7" s="156" t="s">
        <v>260</v>
      </c>
      <c r="K7" s="152" t="s">
        <v>260</v>
      </c>
      <c r="L7" s="152" t="s">
        <v>260</v>
      </c>
      <c r="M7" s="152" t="s">
        <v>260</v>
      </c>
      <c r="N7" s="152" t="s">
        <v>262</v>
      </c>
      <c r="O7" s="152" t="s">
        <v>263</v>
      </c>
      <c r="P7" s="157" t="s">
        <v>264</v>
      </c>
      <c r="Q7" s="154" t="s">
        <v>260</v>
      </c>
      <c r="R7" s="152" t="s">
        <v>260</v>
      </c>
      <c r="S7" s="152" t="s">
        <v>260</v>
      </c>
      <c r="T7" s="152" t="s">
        <v>260</v>
      </c>
      <c r="U7" s="152" t="s">
        <v>260</v>
      </c>
      <c r="V7" s="152" t="s">
        <v>262</v>
      </c>
      <c r="W7" s="152" t="s">
        <v>263</v>
      </c>
      <c r="X7" s="155" t="s">
        <v>264</v>
      </c>
      <c r="Y7" s="156" t="s">
        <v>265</v>
      </c>
      <c r="Z7" s="152" t="s">
        <v>265</v>
      </c>
      <c r="AA7" s="152" t="s">
        <v>265</v>
      </c>
      <c r="AB7" s="152" t="s">
        <v>265</v>
      </c>
      <c r="AC7" s="152" t="s">
        <v>266</v>
      </c>
      <c r="AD7" s="152" t="s">
        <v>267</v>
      </c>
      <c r="AE7" s="152" t="s">
        <v>267</v>
      </c>
      <c r="AF7" s="158" t="s">
        <v>267</v>
      </c>
      <c r="AG7" s="159" t="s">
        <v>268</v>
      </c>
      <c r="AH7" s="160" t="s">
        <v>269</v>
      </c>
      <c r="AI7" s="161" t="s">
        <v>270</v>
      </c>
      <c r="AJ7" s="156" t="s">
        <v>271</v>
      </c>
      <c r="AK7" s="152" t="s">
        <v>271</v>
      </c>
      <c r="AL7" s="152" t="s">
        <v>271</v>
      </c>
      <c r="AM7" s="152" t="s">
        <v>271</v>
      </c>
      <c r="AN7" s="152" t="s">
        <v>271</v>
      </c>
      <c r="AO7" s="152" t="s">
        <v>271</v>
      </c>
      <c r="AP7" s="152" t="s">
        <v>271</v>
      </c>
      <c r="AQ7" s="152" t="s">
        <v>271</v>
      </c>
      <c r="AR7" s="152" t="s">
        <v>271</v>
      </c>
      <c r="AS7" s="152" t="s">
        <v>271</v>
      </c>
      <c r="AT7" s="160" t="s">
        <v>272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273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17" t="s">
        <v>223</v>
      </c>
      <c r="B21" s="619" t="s">
        <v>274</v>
      </c>
      <c r="C21" s="612"/>
      <c r="D21" s="616" t="s">
        <v>275</v>
      </c>
      <c r="E21" s="609"/>
      <c r="F21" s="615"/>
      <c r="G21" s="616" t="s">
        <v>276</v>
      </c>
      <c r="H21" s="615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18"/>
      <c r="B22" s="162" t="s">
        <v>277</v>
      </c>
      <c r="C22" s="221" t="s">
        <v>278</v>
      </c>
      <c r="D22" s="162" t="s">
        <v>279</v>
      </c>
      <c r="E22" s="222" t="s">
        <v>280</v>
      </c>
      <c r="F22" s="221" t="s">
        <v>281</v>
      </c>
      <c r="G22" s="162" t="s">
        <v>282</v>
      </c>
      <c r="H22" s="221" t="s">
        <v>283</v>
      </c>
      <c r="AE22" s="238"/>
    </row>
    <row r="23" spans="1:47" x14ac:dyDescent="0.2">
      <c r="A23" s="618"/>
      <c r="B23" s="154" t="s">
        <v>263</v>
      </c>
      <c r="C23" s="153" t="s">
        <v>263</v>
      </c>
      <c r="D23" s="154" t="s">
        <v>263</v>
      </c>
      <c r="E23" s="152" t="s">
        <v>263</v>
      </c>
      <c r="F23" s="153" t="s">
        <v>263</v>
      </c>
      <c r="G23" s="154" t="s">
        <v>263</v>
      </c>
      <c r="H23" s="153" t="s">
        <v>263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07"/>
      <c r="T26" s="607"/>
      <c r="U26" s="607"/>
      <c r="V26" s="607"/>
      <c r="W26" s="607"/>
      <c r="X26" s="607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244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284</v>
      </c>
      <c r="F40" s="13" t="s">
        <v>285</v>
      </c>
      <c r="G40" s="13" t="s">
        <v>285</v>
      </c>
      <c r="H40" s="13" t="s">
        <v>286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287</v>
      </c>
      <c r="D41" s="227">
        <f>J14*K15/J15</f>
        <v>2311.3657479095696</v>
      </c>
      <c r="K41" s="13" t="s">
        <v>135</v>
      </c>
      <c r="L41" s="13" t="s">
        <v>552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135</v>
      </c>
      <c r="D42" s="227">
        <f>J14-D41</f>
        <v>1242.6342520904304</v>
      </c>
      <c r="K42" s="13" t="s">
        <v>290</v>
      </c>
      <c r="L42" s="13" t="s">
        <v>552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288</v>
      </c>
      <c r="D43" s="228">
        <f>R14*(S15/R15)</f>
        <v>1290.0096411355116</v>
      </c>
      <c r="K43" s="13" t="s">
        <v>241</v>
      </c>
      <c r="L43" s="13" t="s">
        <v>475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289</v>
      </c>
      <c r="D44" s="227">
        <f>R14-D43</f>
        <v>245.99035886448837</v>
      </c>
      <c r="K44" s="13" t="s">
        <v>242</v>
      </c>
      <c r="L44" s="13" t="s">
        <v>475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8">
        <f>H45*3.6/1000</f>
        <v>14.112</v>
      </c>
      <c r="I46" s="13" t="s">
        <v>139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189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23" t="s">
        <v>199</v>
      </c>
      <c r="F40" s="623"/>
      <c r="G40" s="623"/>
      <c r="H40" s="623"/>
      <c r="I40" s="623"/>
      <c r="J40" s="623"/>
      <c r="K40" s="623"/>
      <c r="L40" s="15"/>
      <c r="M40" s="623" t="s">
        <v>200</v>
      </c>
      <c r="N40" s="623"/>
      <c r="O40" s="624"/>
    </row>
    <row r="41" spans="3:17" x14ac:dyDescent="0.25">
      <c r="C41" s="4"/>
      <c r="E41" s="18" t="s">
        <v>13</v>
      </c>
      <c r="F41" s="18" t="s">
        <v>11</v>
      </c>
      <c r="G41" s="18" t="s">
        <v>191</v>
      </c>
      <c r="H41" s="18" t="s">
        <v>193</v>
      </c>
      <c r="I41" s="18" t="s">
        <v>198</v>
      </c>
      <c r="J41" s="18" t="s">
        <v>194</v>
      </c>
      <c r="K41" s="18" t="s">
        <v>192</v>
      </c>
      <c r="M41" s="18" t="s">
        <v>192</v>
      </c>
      <c r="N41" s="18" t="s">
        <v>197</v>
      </c>
      <c r="O41" s="131" t="s">
        <v>202</v>
      </c>
    </row>
    <row r="42" spans="3:17" x14ac:dyDescent="0.25">
      <c r="C42" s="625" t="s">
        <v>89</v>
      </c>
      <c r="D42" s="18" t="s">
        <v>190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195</v>
      </c>
      <c r="O42" s="5"/>
    </row>
    <row r="43" spans="3:17" x14ac:dyDescent="0.25">
      <c r="C43" s="625"/>
      <c r="D43" s="18" t="s">
        <v>196</v>
      </c>
      <c r="E43" s="1"/>
      <c r="F43" s="1"/>
      <c r="G43" s="1">
        <v>596000</v>
      </c>
      <c r="H43" s="1"/>
      <c r="I43" s="1">
        <v>297000</v>
      </c>
      <c r="J43" s="1" t="s">
        <v>195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201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338</v>
      </c>
      <c r="H51" s="19">
        <f>SUM(G42:G43,I42:I43)</f>
        <v>2010000</v>
      </c>
    </row>
    <row r="52" spans="2:21" x14ac:dyDescent="0.25">
      <c r="G52" t="s">
        <v>192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357</v>
      </c>
      <c r="G54" t="s">
        <v>190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358</v>
      </c>
      <c r="G55" t="s">
        <v>359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374</v>
      </c>
    </row>
    <row r="60" spans="2:21" x14ac:dyDescent="0.25">
      <c r="C60" t="s">
        <v>13</v>
      </c>
      <c r="D60" s="326">
        <f>E42/O47</f>
        <v>0.54441454869243722</v>
      </c>
      <c r="E60" t="s">
        <v>375</v>
      </c>
      <c r="H60" s="320">
        <f>D60*24</f>
        <v>13.065949168618493</v>
      </c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>
        <f>$D$60*U59</f>
        <v>0</v>
      </c>
    </row>
    <row r="61" spans="2:21" x14ac:dyDescent="0.25">
      <c r="C61" t="s">
        <v>11</v>
      </c>
      <c r="D61" s="326">
        <f>F42/O47</f>
        <v>8.0654007213694409E-2</v>
      </c>
      <c r="E61" t="s">
        <v>375</v>
      </c>
      <c r="H61" s="320">
        <f>D61*30</f>
        <v>2.4196202164108325</v>
      </c>
    </row>
    <row r="63" spans="2:21" x14ac:dyDescent="0.25">
      <c r="H63" s="320">
        <f>SUM(H60:H61)</f>
        <v>15.485569385029326</v>
      </c>
    </row>
    <row r="66" spans="1:14" ht="21" x14ac:dyDescent="0.35">
      <c r="A66" s="334" t="s">
        <v>150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393</v>
      </c>
    </row>
    <row r="69" spans="1:14" x14ac:dyDescent="0.25">
      <c r="B69" s="18" t="s">
        <v>400</v>
      </c>
    </row>
    <row r="70" spans="1:14" x14ac:dyDescent="0.25">
      <c r="B70" t="s">
        <v>402</v>
      </c>
    </row>
    <row r="72" spans="1:14" x14ac:dyDescent="0.25">
      <c r="B72" s="285">
        <v>0.26</v>
      </c>
      <c r="C72" t="s">
        <v>394</v>
      </c>
    </row>
    <row r="73" spans="1:14" x14ac:dyDescent="0.25">
      <c r="B73">
        <v>1.5</v>
      </c>
      <c r="C73" t="s">
        <v>397</v>
      </c>
      <c r="H73">
        <v>12.3</v>
      </c>
      <c r="I73" t="s">
        <v>396</v>
      </c>
    </row>
    <row r="74" spans="1:14" x14ac:dyDescent="0.25">
      <c r="B74">
        <v>949570</v>
      </c>
      <c r="C74" t="s">
        <v>395</v>
      </c>
    </row>
    <row r="75" spans="1:14" x14ac:dyDescent="0.25">
      <c r="A75" t="s">
        <v>401</v>
      </c>
    </row>
    <row r="76" spans="1:14" x14ac:dyDescent="0.25">
      <c r="B76">
        <f>B73*B74</f>
        <v>1424355</v>
      </c>
      <c r="C76" t="s">
        <v>543</v>
      </c>
    </row>
    <row r="77" spans="1:14" x14ac:dyDescent="0.25">
      <c r="B77" s="119">
        <f>B76/B72</f>
        <v>5478288.461538461</v>
      </c>
      <c r="C77" t="s">
        <v>399</v>
      </c>
    </row>
    <row r="79" spans="1:14" x14ac:dyDescent="0.25">
      <c r="B79" s="320">
        <f>B77*H73/1000</f>
        <v>67382.948076923072</v>
      </c>
      <c r="C79" t="s">
        <v>398</v>
      </c>
    </row>
    <row r="81" spans="2:3" x14ac:dyDescent="0.25">
      <c r="B81" s="320">
        <f>B79*3.6/1000</f>
        <v>242.57861307692306</v>
      </c>
      <c r="C81" t="s">
        <v>320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335</v>
      </c>
    </row>
    <row r="3" spans="2:9" x14ac:dyDescent="0.25">
      <c r="B3" t="s">
        <v>336</v>
      </c>
    </row>
    <row r="6" spans="2:9" x14ac:dyDescent="0.25">
      <c r="B6" t="s">
        <v>542</v>
      </c>
    </row>
    <row r="7" spans="2:9" x14ac:dyDescent="0.25">
      <c r="B7" t="s">
        <v>337</v>
      </c>
    </row>
    <row r="8" spans="2:9" x14ac:dyDescent="0.25">
      <c r="E8" t="s">
        <v>324</v>
      </c>
    </row>
    <row r="9" spans="2:9" x14ac:dyDescent="0.25">
      <c r="C9" s="18" t="s">
        <v>321</v>
      </c>
    </row>
    <row r="10" spans="2:9" x14ac:dyDescent="0.25">
      <c r="C10" t="s">
        <v>322</v>
      </c>
      <c r="D10">
        <v>1600</v>
      </c>
      <c r="E10" t="s">
        <v>323</v>
      </c>
      <c r="I10" t="s">
        <v>461</v>
      </c>
    </row>
    <row r="11" spans="2:9" x14ac:dyDescent="0.25">
      <c r="C11" t="s">
        <v>325</v>
      </c>
      <c r="D11">
        <v>275</v>
      </c>
      <c r="E11" t="s">
        <v>326</v>
      </c>
      <c r="H11">
        <v>30</v>
      </c>
      <c r="I11">
        <f>H11*D11/1000</f>
        <v>8.25</v>
      </c>
    </row>
    <row r="12" spans="2:9" x14ac:dyDescent="0.25">
      <c r="C12" t="s">
        <v>327</v>
      </c>
      <c r="D12">
        <v>205</v>
      </c>
      <c r="E12" t="s">
        <v>326</v>
      </c>
      <c r="H12">
        <v>24</v>
      </c>
      <c r="I12">
        <f>H12*D12/1000</f>
        <v>4.92</v>
      </c>
    </row>
    <row r="13" spans="2:9" x14ac:dyDescent="0.25">
      <c r="C13" t="s">
        <v>328</v>
      </c>
      <c r="D13">
        <v>1000</v>
      </c>
      <c r="E13" t="s">
        <v>329</v>
      </c>
    </row>
    <row r="15" spans="2:9" x14ac:dyDescent="0.25">
      <c r="C15" s="18" t="s">
        <v>330</v>
      </c>
    </row>
    <row r="16" spans="2:9" x14ac:dyDescent="0.25">
      <c r="C16" t="s">
        <v>331</v>
      </c>
      <c r="D16">
        <v>12000</v>
      </c>
      <c r="E16" t="s">
        <v>332</v>
      </c>
    </row>
    <row r="17" spans="3:5" x14ac:dyDescent="0.25">
      <c r="C17" t="s">
        <v>333</v>
      </c>
      <c r="D17">
        <v>320</v>
      </c>
      <c r="E17" t="s">
        <v>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1105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207</v>
      </c>
    </row>
    <row r="3" spans="2:10" x14ac:dyDescent="0.25">
      <c r="B3" t="s">
        <v>206</v>
      </c>
    </row>
    <row r="4" spans="2:10" x14ac:dyDescent="0.25">
      <c r="B4" s="132" t="s">
        <v>541</v>
      </c>
    </row>
    <row r="5" spans="2:10" x14ac:dyDescent="0.25">
      <c r="B5" t="s">
        <v>208</v>
      </c>
    </row>
    <row r="6" spans="2:10" x14ac:dyDescent="0.25">
      <c r="J6" t="s">
        <v>214</v>
      </c>
    </row>
    <row r="8" spans="2:10" x14ac:dyDescent="0.25">
      <c r="B8" s="134" t="s">
        <v>210</v>
      </c>
    </row>
    <row r="9" spans="2:10" x14ac:dyDescent="0.25">
      <c r="B9" t="s">
        <v>209</v>
      </c>
    </row>
    <row r="11" spans="2:10" x14ac:dyDescent="0.25">
      <c r="B11" s="133" t="s">
        <v>216</v>
      </c>
    </row>
    <row r="12" spans="2:10" x14ac:dyDescent="0.25">
      <c r="C12" t="s">
        <v>217</v>
      </c>
    </row>
    <row r="13" spans="2:10" x14ac:dyDescent="0.25">
      <c r="C13" t="s">
        <v>215</v>
      </c>
    </row>
    <row r="15" spans="2:10" x14ac:dyDescent="0.25">
      <c r="B15" s="133" t="s">
        <v>218</v>
      </c>
    </row>
    <row r="16" spans="2:10" x14ac:dyDescent="0.25">
      <c r="C16" t="s">
        <v>213</v>
      </c>
    </row>
    <row r="19" spans="2:3" x14ac:dyDescent="0.25">
      <c r="B19" s="134" t="s">
        <v>211</v>
      </c>
    </row>
    <row r="21" spans="2:3" x14ac:dyDescent="0.25">
      <c r="B21" s="119">
        <v>900000</v>
      </c>
      <c r="C21" t="s">
        <v>212</v>
      </c>
    </row>
    <row r="25" spans="2:3" x14ac:dyDescent="0.25">
      <c r="B25" s="18" t="s">
        <v>342</v>
      </c>
    </row>
    <row r="26" spans="2:3" x14ac:dyDescent="0.25">
      <c r="B26">
        <v>1915</v>
      </c>
      <c r="C26" t="s">
        <v>340</v>
      </c>
    </row>
    <row r="27" spans="2:3" x14ac:dyDescent="0.25">
      <c r="B27">
        <v>478</v>
      </c>
      <c r="C27" t="s">
        <v>341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Log</vt:lpstr>
      <vt:lpstr>HDRI scenarios</vt:lpstr>
      <vt:lpstr>INPUT GreenSteel</vt:lpstr>
      <vt:lpstr>Summary Hydrogen DRI old</vt:lpstr>
      <vt:lpstr>INPUT Energy and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2024-02-16T14:31:01Z</dcterms:modified>
</cp:coreProperties>
</file>