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7E255922-BBF7-4710-9F86-FF9047F61E8E}" xr6:coauthVersionLast="47" xr6:coauthVersionMax="47" xr10:uidLastSave="{00000000-0000-0000-0000-000000000000}"/>
  <bookViews>
    <workbookView xWindow="-120" yWindow="-120" windowWidth="29040" windowHeight="15840"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2" i="5" l="1"/>
  <c r="O71" i="5"/>
  <c r="T56" i="5"/>
  <c r="Q56" i="5"/>
  <c r="R56" i="5"/>
  <c r="S56" i="5"/>
  <c r="P56"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H94" i="5" l="1"/>
  <c r="I94" i="5" s="1"/>
  <c r="F60" i="5"/>
  <c r="F72" i="5" s="1"/>
  <c r="F70" i="5" l="1"/>
  <c r="G60" i="5"/>
  <c r="D36" i="5"/>
  <c r="Y41" i="5"/>
  <c r="X41" i="5"/>
  <c r="W41" i="5"/>
  <c r="DK108" i="12"/>
  <c r="DL108" i="12"/>
  <c r="DM108" i="12"/>
  <c r="DN108" i="12"/>
  <c r="DO108" i="12"/>
  <c r="DP108" i="12"/>
  <c r="DQ108" i="12"/>
  <c r="DJ108" i="12"/>
  <c r="F16" i="5"/>
  <c r="V16" i="5"/>
  <c r="U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V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F62" i="5" s="1"/>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G62"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U18" i="5" s="1"/>
  <c r="CP95" i="12"/>
  <c r="CO95" i="12"/>
  <c r="CL101" i="12" s="1"/>
  <c r="U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X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G69" i="5" s="1"/>
  <c r="D71" i="5"/>
  <c r="D70" i="5"/>
  <c r="D69" i="5"/>
  <c r="D67" i="5"/>
  <c r="A67" i="5" s="1"/>
  <c r="C19" i="15" s="1"/>
  <c r="D66" i="5"/>
  <c r="D65" i="5"/>
  <c r="A65" i="5" s="1"/>
  <c r="L64" i="5"/>
  <c r="K64" i="5"/>
  <c r="D64" i="5"/>
  <c r="D63" i="5"/>
  <c r="A63" i="5" s="1"/>
  <c r="D62" i="5"/>
  <c r="D61" i="5"/>
  <c r="V60" i="5"/>
  <c r="H60" i="5"/>
  <c r="H71" i="5" s="1"/>
  <c r="H69" i="5" s="1"/>
  <c r="D60" i="5"/>
  <c r="O57" i="5"/>
  <c r="O56" i="5" s="1"/>
  <c r="N57" i="5"/>
  <c r="N56" i="5" s="1"/>
  <c r="L56" i="5"/>
  <c r="M56" i="5"/>
  <c r="K56" i="5"/>
  <c r="J56" i="5"/>
  <c r="I56" i="5"/>
  <c r="H56" i="5"/>
  <c r="G56" i="5"/>
  <c r="F56" i="5"/>
  <c r="E56" i="5"/>
  <c r="AN55" i="5"/>
  <c r="AM55" i="5"/>
  <c r="AU55" i="5" s="1"/>
  <c r="AL55" i="5"/>
  <c r="AT55" i="5" s="1"/>
  <c r="AK55" i="5"/>
  <c r="AS55" i="5" s="1"/>
  <c r="AJ55" i="5"/>
  <c r="AR55" i="5" s="1"/>
  <c r="AI55" i="5"/>
  <c r="AQ55" i="5" s="1"/>
  <c r="AH55" i="5"/>
  <c r="AP55" i="5" s="1"/>
  <c r="AG55" i="5"/>
  <c r="AF55" i="5"/>
  <c r="AE55" i="5"/>
  <c r="AN54" i="5"/>
  <c r="AV54" i="5" s="1"/>
  <c r="AM54" i="5"/>
  <c r="AU54" i="5" s="1"/>
  <c r="AL54" i="5"/>
  <c r="AT54" i="5" s="1"/>
  <c r="AK54" i="5"/>
  <c r="AS54" i="5" s="1"/>
  <c r="AJ54" i="5"/>
  <c r="AI54" i="5"/>
  <c r="AQ54" i="5" s="1"/>
  <c r="AH54" i="5"/>
  <c r="AG54" i="5"/>
  <c r="AO54" i="5" s="1"/>
  <c r="AF54" i="5"/>
  <c r="AB53" i="5"/>
  <c r="AV43" i="5"/>
  <c r="AU43" i="5"/>
  <c r="AT43" i="5"/>
  <c r="AS43" i="5"/>
  <c r="AR43" i="5"/>
  <c r="AQ43" i="5"/>
  <c r="AP43" i="5"/>
  <c r="AO43" i="5"/>
  <c r="O42" i="5"/>
  <c r="A42" i="5"/>
  <c r="D42" i="5" s="1"/>
  <c r="A41" i="5"/>
  <c r="D41" i="5" s="1"/>
  <c r="U40" i="5"/>
  <c r="A40" i="5"/>
  <c r="D40" i="5" s="1"/>
  <c r="AJ39" i="5"/>
  <c r="AI39" i="5"/>
  <c r="AH39" i="5"/>
  <c r="AG39" i="5"/>
  <c r="AF39" i="5"/>
  <c r="AE39" i="5"/>
  <c r="U39" i="5"/>
  <c r="A39" i="5"/>
  <c r="D39" i="5" s="1"/>
  <c r="AJ38" i="5"/>
  <c r="AI38" i="5"/>
  <c r="AH38" i="5"/>
  <c r="AG38" i="5"/>
  <c r="AF38" i="5"/>
  <c r="AE38" i="5"/>
  <c r="U38" i="5"/>
  <c r="AJ37" i="5"/>
  <c r="AI37" i="5"/>
  <c r="AH37" i="5"/>
  <c r="AG37" i="5"/>
  <c r="AF37" i="5"/>
  <c r="AE37" i="5"/>
  <c r="U37" i="5"/>
  <c r="A37" i="5"/>
  <c r="D37" i="5" s="1"/>
  <c r="AJ36" i="5"/>
  <c r="AI36" i="5"/>
  <c r="AH36" i="5"/>
  <c r="AG36" i="5"/>
  <c r="AF36" i="5"/>
  <c r="AE36" i="5"/>
  <c r="Y36" i="5"/>
  <c r="X36" i="5"/>
  <c r="W36" i="5"/>
  <c r="AJ35" i="5"/>
  <c r="AI35" i="5"/>
  <c r="AH35" i="5"/>
  <c r="AG35" i="5"/>
  <c r="AF35" i="5"/>
  <c r="AE35" i="5"/>
  <c r="AJ34" i="5"/>
  <c r="AO34" i="5" s="1"/>
  <c r="AI34" i="5"/>
  <c r="AN34" i="5" s="1"/>
  <c r="AH34" i="5"/>
  <c r="AM34" i="5" s="1"/>
  <c r="AG34" i="5"/>
  <c r="AL34" i="5" s="1"/>
  <c r="AF34" i="5"/>
  <c r="AK34" i="5" s="1"/>
  <c r="A34" i="5"/>
  <c r="AF33" i="5"/>
  <c r="A33" i="5"/>
  <c r="AJ32" i="5"/>
  <c r="AI32" i="5"/>
  <c r="AH32" i="5"/>
  <c r="AG32" i="5"/>
  <c r="AF32" i="5"/>
  <c r="AE32" i="5"/>
  <c r="A32" i="5"/>
  <c r="AJ31" i="5"/>
  <c r="AI31" i="5"/>
  <c r="AH31" i="5"/>
  <c r="AG31" i="5"/>
  <c r="AF31" i="5"/>
  <c r="AE31" i="5"/>
  <c r="A31" i="5"/>
  <c r="AJ30" i="5"/>
  <c r="AI30" i="5"/>
  <c r="AH30" i="5"/>
  <c r="AG30" i="5"/>
  <c r="AF30" i="5"/>
  <c r="AE30" i="5"/>
  <c r="A30" i="5"/>
  <c r="AJ29" i="5"/>
  <c r="AI29" i="5"/>
  <c r="AH29" i="5"/>
  <c r="AG29" i="5"/>
  <c r="AF29" i="5"/>
  <c r="AE29" i="5"/>
  <c r="AJ28" i="5"/>
  <c r="AI28" i="5"/>
  <c r="AH28" i="5"/>
  <c r="AG28" i="5"/>
  <c r="AF28" i="5"/>
  <c r="AE28" i="5"/>
  <c r="E28" i="5"/>
  <c r="E34" i="5" s="1"/>
  <c r="AJ27" i="5"/>
  <c r="AO27" i="5" s="1"/>
  <c r="AI27" i="5"/>
  <c r="AN27" i="5" s="1"/>
  <c r="AH27" i="5"/>
  <c r="AM27" i="5" s="1"/>
  <c r="AG27" i="5"/>
  <c r="AL27" i="5" s="1"/>
  <c r="AF27" i="5"/>
  <c r="AK27" i="5" s="1"/>
  <c r="E27" i="5"/>
  <c r="E33" i="5" s="1"/>
  <c r="AF26" i="5"/>
  <c r="E26" i="5"/>
  <c r="E32" i="5" s="1"/>
  <c r="AJ25" i="5"/>
  <c r="AI25" i="5"/>
  <c r="AH25" i="5"/>
  <c r="AG25" i="5"/>
  <c r="AF25" i="5"/>
  <c r="AE25" i="5"/>
  <c r="E25" i="5"/>
  <c r="E31" i="5" s="1"/>
  <c r="AJ24" i="5"/>
  <c r="AI24" i="5"/>
  <c r="AH24" i="5"/>
  <c r="AG24" i="5"/>
  <c r="AF24" i="5"/>
  <c r="AE24" i="5"/>
  <c r="E24" i="5"/>
  <c r="AJ23" i="5"/>
  <c r="AI23" i="5"/>
  <c r="AH23" i="5"/>
  <c r="AG23" i="5"/>
  <c r="AF23" i="5"/>
  <c r="AE23" i="5"/>
  <c r="AJ22" i="5"/>
  <c r="AI22" i="5"/>
  <c r="AH22" i="5"/>
  <c r="AG22" i="5"/>
  <c r="AF22" i="5"/>
  <c r="AE22" i="5"/>
  <c r="E22" i="5"/>
  <c r="AJ21" i="5"/>
  <c r="AI21" i="5"/>
  <c r="AH21" i="5"/>
  <c r="AG21" i="5"/>
  <c r="AF21" i="5"/>
  <c r="AE21" i="5"/>
  <c r="AJ20" i="5"/>
  <c r="AI20" i="5"/>
  <c r="AH20" i="5"/>
  <c r="AG20" i="5"/>
  <c r="AF20" i="5"/>
  <c r="AF19" i="5"/>
  <c r="G15" i="5"/>
  <c r="V14" i="5"/>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P7" i="5"/>
  <c r="AP8" i="5" s="1"/>
  <c r="AO7" i="5"/>
  <c r="AO8" i="5" s="1"/>
  <c r="AM7" i="5"/>
  <c r="AM8" i="5" s="1"/>
  <c r="AJ7" i="5"/>
  <c r="AJ8" i="5" s="1"/>
  <c r="AH7" i="5"/>
  <c r="AH8" i="5" s="1"/>
  <c r="AF7" i="5"/>
  <c r="AF8" i="5" s="1"/>
  <c r="AD7" i="5"/>
  <c r="AD8" i="5" s="1"/>
  <c r="AC7" i="5"/>
  <c r="AC8" i="5" s="1"/>
  <c r="AB7" i="5"/>
  <c r="AB8" i="5" s="1"/>
  <c r="AA7" i="5"/>
  <c r="AA8" i="5" s="1"/>
  <c r="Z7" i="5"/>
  <c r="Z8" i="5" s="1"/>
  <c r="W7" i="5"/>
  <c r="W8" i="5" s="1"/>
  <c r="V7" i="5"/>
  <c r="V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U6" i="5" s="1"/>
  <c r="V6" i="5" s="1"/>
  <c r="W6" i="5" s="1"/>
  <c r="X6" i="5" s="1"/>
  <c r="Y6" i="5" s="1"/>
  <c r="Z6" i="5" s="1"/>
  <c r="AA6" i="5" s="1"/>
  <c r="AB6" i="5" s="1"/>
  <c r="AC6" i="5" s="1"/>
  <c r="AD6" i="5" s="1"/>
  <c r="AE6" i="5" s="1"/>
  <c r="AF6" i="5" s="1"/>
  <c r="AG6" i="5" s="1"/>
  <c r="AH6" i="5" s="1"/>
  <c r="AI6" i="5" s="1"/>
  <c r="AJ6" i="5" s="1"/>
  <c r="AK6" i="5" s="1"/>
  <c r="AM6" i="5" s="1"/>
  <c r="AN6" i="5" s="1"/>
  <c r="AO6" i="5" s="1"/>
  <c r="AP6" i="5" s="1"/>
  <c r="AQ6" i="5" s="1"/>
  <c r="AR6" i="5" s="1"/>
  <c r="AS6" i="5" s="1"/>
  <c r="AT6" i="5" s="1"/>
  <c r="AU6" i="5" s="1"/>
  <c r="AV6" i="5" s="1"/>
  <c r="AW6" i="5" s="1"/>
  <c r="AX6" i="5" s="1"/>
  <c r="AY6" i="5" s="1"/>
  <c r="AZ6" i="5" s="1"/>
  <c r="BA6" i="5" s="1"/>
  <c r="BB6" i="5" s="1"/>
  <c r="BC6" i="5" s="1"/>
  <c r="BD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N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M28" i="5"/>
  <c r="AL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O39" i="5"/>
  <c r="V69" i="5"/>
  <c r="AL31" i="5"/>
  <c r="AM31" i="5"/>
  <c r="V78" i="5"/>
  <c r="AL56" i="5"/>
  <c r="AT56" i="5" s="1"/>
  <c r="B63" i="5"/>
  <c r="V72" i="5"/>
  <c r="B85" i="5"/>
  <c r="B35" i="15" s="1"/>
  <c r="V86" i="5"/>
  <c r="AL38" i="5"/>
  <c r="B65" i="5"/>
  <c r="B17" i="15" s="1"/>
  <c r="V70" i="5"/>
  <c r="V80" i="5"/>
  <c r="B88" i="5"/>
  <c r="B38" i="15" s="1"/>
  <c r="V98" i="5"/>
  <c r="V74" i="5"/>
  <c r="C39" i="15"/>
  <c r="B67" i="5"/>
  <c r="C39" i="5" s="1"/>
  <c r="V71" i="5"/>
  <c r="B95" i="5"/>
  <c r="B45" i="15" s="1"/>
  <c r="B100" i="5"/>
  <c r="B50" i="15" s="1"/>
  <c r="AO28" i="5"/>
  <c r="AN30" i="5"/>
  <c r="V61" i="5"/>
  <c r="B90" i="5"/>
  <c r="B40" i="15" s="1"/>
  <c r="B101" i="5"/>
  <c r="B51" i="15" s="1"/>
  <c r="V75" i="5"/>
  <c r="V90" i="5"/>
  <c r="V83" i="5"/>
  <c r="B103" i="5"/>
  <c r="B53" i="15" s="1"/>
  <c r="AK36" i="5"/>
  <c r="AF56" i="5"/>
  <c r="AN56" i="5" s="1"/>
  <c r="V62" i="5"/>
  <c r="B104" i="5"/>
  <c r="B54" i="15" s="1"/>
  <c r="AV55" i="5"/>
  <c r="AI56" i="5"/>
  <c r="AQ56" i="5" s="1"/>
  <c r="V63" i="5"/>
  <c r="B76" i="5"/>
  <c r="B28" i="15" s="1"/>
  <c r="V87" i="5"/>
  <c r="V91" i="5"/>
  <c r="AK56" i="5"/>
  <c r="AS56" i="5" s="1"/>
  <c r="V81" i="5"/>
  <c r="V99" i="5"/>
  <c r="AN38" i="5"/>
  <c r="I60" i="5"/>
  <c r="B32" i="15"/>
  <c r="AK28" i="5"/>
  <c r="V76" i="5"/>
  <c r="B89" i="5"/>
  <c r="B39" i="15" s="1"/>
  <c r="V92" i="5"/>
  <c r="V100" i="5"/>
  <c r="AE56" i="5"/>
  <c r="AM56" i="5" s="1"/>
  <c r="AL28" i="5"/>
  <c r="AO32" i="5"/>
  <c r="V73" i="5"/>
  <c r="AM37" i="5"/>
  <c r="V89" i="5"/>
  <c r="AN29" i="5"/>
  <c r="AO55" i="5"/>
  <c r="B80" i="5"/>
  <c r="V85" i="5"/>
  <c r="V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M29" i="5"/>
  <c r="AK31" i="5"/>
  <c r="AO35" i="5"/>
  <c r="AO31" i="5"/>
  <c r="AK39" i="5"/>
  <c r="I135" i="7"/>
  <c r="F21" i="5"/>
  <c r="F22" i="5" s="1"/>
  <c r="F34" i="5" s="1"/>
  <c r="I133" i="7"/>
  <c r="AL29" i="5"/>
  <c r="AO30" i="5"/>
  <c r="AK32" i="5"/>
  <c r="AO29" i="5"/>
  <c r="AM32" i="5"/>
  <c r="AN32" i="5"/>
  <c r="AN37" i="5"/>
  <c r="Z39" i="5" s="1"/>
  <c r="X39" i="5" s="1"/>
  <c r="AN28" i="5"/>
  <c r="AN31" i="5"/>
  <c r="AL36" i="5"/>
  <c r="AO37" i="5"/>
  <c r="I57" i="14"/>
  <c r="D91" i="14" s="1"/>
  <c r="AK35" i="5"/>
  <c r="AM36" i="5"/>
  <c r="AL39" i="5"/>
  <c r="I142" i="7"/>
  <c r="J57" i="14"/>
  <c r="E98" i="14" s="1"/>
  <c r="AK37" i="5"/>
  <c r="AK30" i="5"/>
  <c r="AM35" i="5"/>
  <c r="AO36" i="5"/>
  <c r="AK38" i="5"/>
  <c r="AN39" i="5"/>
  <c r="AM30" i="5"/>
  <c r="AL32" i="5"/>
  <c r="AM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W61" i="5" s="1"/>
  <c r="V140" i="7"/>
  <c r="W60" i="5" s="1"/>
  <c r="H15" i="5"/>
  <c r="AL37" i="5"/>
  <c r="B75" i="5"/>
  <c r="B27" i="15" s="1"/>
  <c r="C27" i="15"/>
  <c r="AH56" i="5"/>
  <c r="AP56" i="5" s="1"/>
  <c r="AR54" i="5"/>
  <c r="C17" i="15"/>
  <c r="R44" i="7"/>
  <c r="U44" i="7"/>
  <c r="T44" i="7"/>
  <c r="S44" i="7"/>
  <c r="W44" i="7"/>
  <c r="B84" i="5"/>
  <c r="B34" i="15" s="1"/>
  <c r="C34" i="15"/>
  <c r="K84" i="5"/>
  <c r="H61" i="5"/>
  <c r="H62" i="5" s="1"/>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N35" i="5"/>
  <c r="C50" i="15"/>
  <c r="W36" i="7"/>
  <c r="S36" i="7"/>
  <c r="R36" i="7"/>
  <c r="U36" i="7"/>
  <c r="T36" i="7"/>
  <c r="K25" i="9"/>
  <c r="S25" i="9" s="1"/>
  <c r="U25" i="9"/>
  <c r="AK29" i="5"/>
  <c r="AP54" i="5"/>
  <c r="C36" i="15"/>
  <c r="B97" i="5"/>
  <c r="B47" i="15" s="1"/>
  <c r="N128" i="7"/>
  <c r="C53" i="15"/>
  <c r="K104" i="5"/>
  <c r="V36" i="7"/>
  <c r="AL35" i="5"/>
  <c r="AG56" i="5"/>
  <c r="AO56" i="5" s="1"/>
  <c r="V102" i="5"/>
  <c r="V97" i="5"/>
  <c r="V101" i="5"/>
  <c r="V84" i="5"/>
  <c r="V88" i="5"/>
  <c r="K98" i="5"/>
  <c r="V104" i="5"/>
  <c r="G129" i="7"/>
  <c r="J136" i="7"/>
  <c r="K136" i="7" s="1"/>
  <c r="L136" i="7" s="1"/>
  <c r="I136" i="7"/>
  <c r="E144" i="7"/>
  <c r="B6" i="5"/>
  <c r="A13" i="15"/>
  <c r="Y42" i="5"/>
  <c r="N63" i="5"/>
  <c r="O63" i="5" s="1"/>
  <c r="B99" i="5"/>
  <c r="B49" i="15" s="1"/>
  <c r="C49" i="15"/>
  <c r="G144" i="7"/>
  <c r="H134" i="7"/>
  <c r="K100" i="5"/>
  <c r="K83" i="5"/>
  <c r="AM39" i="5"/>
  <c r="B66" i="5"/>
  <c r="H70" i="5"/>
  <c r="I70" i="5" s="1"/>
  <c r="H97" i="5"/>
  <c r="T41" i="7"/>
  <c r="U41" i="7"/>
  <c r="S41" i="7"/>
  <c r="R41" i="7"/>
  <c r="K134" i="7"/>
  <c r="J140" i="7"/>
  <c r="K140" i="7" s="1"/>
  <c r="L140" i="7" s="1"/>
  <c r="I140" i="7"/>
  <c r="AO38" i="5"/>
  <c r="AJ56" i="5"/>
  <c r="AR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X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V17" i="5" s="1"/>
  <c r="CR96" i="12"/>
  <c r="CM102" i="12" s="1"/>
  <c r="V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Z41" i="5"/>
  <c r="Z37" i="5" s="1"/>
  <c r="Y37" i="5" s="1"/>
  <c r="C13" i="15"/>
  <c r="B13" i="15"/>
  <c r="W42" i="5"/>
  <c r="I78" i="5"/>
  <c r="I98" i="5" s="1"/>
  <c r="I97" i="5"/>
  <c r="I71" i="5"/>
  <c r="I69" i="5" s="1"/>
  <c r="E97" i="14"/>
  <c r="AU42" i="12"/>
  <c r="CQ137" i="12"/>
  <c r="AT24" i="12"/>
  <c r="AT25" i="12" s="1"/>
  <c r="AT43" i="12"/>
  <c r="AA44" i="12"/>
  <c r="N25" i="12"/>
  <c r="CM137" i="12"/>
  <c r="AP48" i="12"/>
  <c r="AU46" i="12"/>
  <c r="AY25" i="12"/>
  <c r="T73" i="12"/>
  <c r="AP47" i="12"/>
  <c r="V43" i="12"/>
  <c r="AF44" i="12" s="1"/>
  <c r="AP46" i="12"/>
  <c r="H144" i="7"/>
  <c r="F63" i="5"/>
  <c r="Y39" i="5"/>
  <c r="W39" i="5"/>
  <c r="E39" i="5"/>
  <c r="I144" i="7"/>
  <c r="F85" i="5"/>
  <c r="P134" i="7"/>
  <c r="Q134" i="7" s="1"/>
  <c r="Q130" i="7"/>
  <c r="AY46" i="12"/>
  <c r="AZ46" i="12"/>
  <c r="AZ42" i="12"/>
  <c r="AY43" i="12" s="1"/>
  <c r="AY44" i="12" s="1"/>
  <c r="I25" i="12"/>
  <c r="J19" i="10"/>
  <c r="I19" i="10"/>
  <c r="J18" i="10"/>
  <c r="I18" i="10"/>
  <c r="I17" i="10"/>
  <c r="J17" i="10"/>
  <c r="X16" i="10" s="1"/>
  <c r="I61" i="5"/>
  <c r="I62"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X42" i="5"/>
  <c r="H86" i="14"/>
  <c r="F14" i="10"/>
  <c r="E14" i="10"/>
  <c r="E13" i="10"/>
  <c r="F12" i="10"/>
  <c r="F13" i="10"/>
  <c r="E12" i="10"/>
  <c r="E19" i="10"/>
  <c r="E18" i="10"/>
  <c r="F17" i="10"/>
  <c r="W16" i="10" s="1"/>
  <c r="E17" i="10"/>
  <c r="F19" i="10"/>
  <c r="F18" i="10"/>
  <c r="H77" i="14"/>
  <c r="I77" i="14" s="1"/>
  <c r="I76" i="14"/>
  <c r="AT44" i="12"/>
  <c r="AP45" i="12"/>
  <c r="W37" i="5" l="1"/>
  <c r="X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Z42" i="5"/>
  <c r="E42" i="5" s="1"/>
  <c r="Z38" i="5"/>
  <c r="Z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G29" i="5" s="1"/>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Y40" i="5"/>
  <c r="W40" i="5"/>
  <c r="X40" i="5"/>
  <c r="I41" i="5"/>
  <c r="I80" i="5" s="1"/>
  <c r="I79" i="5" s="1"/>
  <c r="W38" i="5"/>
  <c r="Y38" i="5"/>
  <c r="E38" i="5" s="1"/>
  <c r="X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F32" i="5" s="1"/>
  <c r="W9" i="10"/>
  <c r="G26" i="5"/>
  <c r="G32" i="5" s="1"/>
  <c r="I33" i="5"/>
  <c r="I89" i="5"/>
  <c r="AU4" i="10"/>
  <c r="AW4" i="10" s="1"/>
  <c r="X12" i="10"/>
  <c r="X9" i="10"/>
  <c r="F24" i="5"/>
  <c r="F30" i="5" s="1"/>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F69" i="5" s="1"/>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Z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Z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A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V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U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V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V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<sst xmlns="http://schemas.openxmlformats.org/spreadsheetml/2006/main" count="2669" uniqueCount="1109">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</sst>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5">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124</xdr:row>
      <xdr:rowOff>0</xdr:rowOff>
    </xdr:from>
    <xdr:to>
      <xdr:col>37</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0</xdr:colOff>
      <xdr:row>170</xdr:row>
      <xdr:rowOff>0</xdr:rowOff>
    </xdr:from>
    <xdr:to>
      <xdr:col>26</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142875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U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45211.606016666665</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45211.606016666665</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16"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workbookViewId="0">
      <selection activeCell="B49" sqref="B49"/>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F149"/>
  <sheetViews>
    <sheetView tabSelected="1" topLeftCell="A49" workbookViewId="0">
      <pane xSplit="5" ySplit="10" topLeftCell="F63" activePane="bottomRight" state="frozen"/>
      <selection activeCell="A49" sqref="A49"/>
      <selection pane="topRight" activeCell="F49" sqref="F49"/>
      <selection pane="bottomLeft" activeCell="A59" sqref="A59"/>
      <selection pane="bottomRight" activeCell="L73" sqref="L73"/>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20" width="9.42578125" style="28" customWidth="1"/>
    <col min="21" max="22" width="10.28515625" style="28" customWidth="1"/>
    <col min="23" max="25" width="9" style="28" customWidth="1"/>
    <col min="26" max="26" width="14.7109375" style="28" customWidth="1"/>
    <col min="27" max="27" width="14.140625" style="28" customWidth="1"/>
    <col min="28" max="30" width="9.7109375" style="28" customWidth="1"/>
    <col min="31" max="48" width="7.28515625" style="28" customWidth="1"/>
    <col min="49" max="16384" width="11.42578125" style="28"/>
  </cols>
  <sheetData>
    <row r="1" spans="1:58" ht="18" thickBot="1" x14ac:dyDescent="0.35">
      <c r="B1" s="169" t="s">
        <v>1012</v>
      </c>
      <c r="C1" s="169"/>
      <c r="D1" s="169"/>
      <c r="E1" s="169"/>
    </row>
    <row r="2" spans="1:58" ht="13.5" thickTop="1" x14ac:dyDescent="0.2"/>
    <row r="3" spans="1:58" ht="15.75" x14ac:dyDescent="0.25">
      <c r="A3" s="36" t="s">
        <v>230</v>
      </c>
      <c r="B3" s="417" t="s">
        <v>231</v>
      </c>
      <c r="C3" s="417"/>
      <c r="D3" s="417"/>
      <c r="E3" s="37" t="s">
        <v>232</v>
      </c>
      <c r="F3" s="37"/>
      <c r="G3" s="29"/>
      <c r="H3" s="36"/>
      <c r="I3" s="29"/>
      <c r="J3" s="36"/>
    </row>
    <row r="4" spans="1:58"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2">
      <c r="A5" s="30"/>
      <c r="B5" s="30"/>
      <c r="C5" s="39" t="s">
        <v>233</v>
      </c>
      <c r="D5" s="39"/>
    </row>
    <row r="6" spans="1:58" x14ac:dyDescent="0.2">
      <c r="A6" s="29" t="s">
        <v>234</v>
      </c>
      <c r="B6" s="30">
        <f>COUNT(C6:BF6)</f>
        <v>48</v>
      </c>
      <c r="C6" s="30">
        <v>1</v>
      </c>
      <c r="D6" s="30">
        <f>C6+1</f>
        <v>2</v>
      </c>
      <c r="E6" s="30">
        <f>D6+1</f>
        <v>3</v>
      </c>
      <c r="F6" s="30">
        <f>E6+1</f>
        <v>4</v>
      </c>
      <c r="G6" s="30">
        <f>F6+1</f>
        <v>5</v>
      </c>
      <c r="H6" s="30">
        <f>G6+1</f>
        <v>6</v>
      </c>
      <c r="I6" s="30">
        <f t="shared" ref="I6:AK6" si="0">H6+1</f>
        <v>7</v>
      </c>
      <c r="J6" s="30">
        <f t="shared" si="0"/>
        <v>8</v>
      </c>
      <c r="K6" s="30">
        <f t="shared" si="0"/>
        <v>9</v>
      </c>
      <c r="L6" s="30">
        <f t="shared" si="0"/>
        <v>10</v>
      </c>
      <c r="M6" s="30">
        <f t="shared" si="0"/>
        <v>11</v>
      </c>
      <c r="N6" s="30">
        <f t="shared" si="0"/>
        <v>12</v>
      </c>
      <c r="O6" s="30">
        <f t="shared" si="0"/>
        <v>13</v>
      </c>
      <c r="P6" s="30"/>
      <c r="Q6" s="30"/>
      <c r="R6" s="30"/>
      <c r="S6" s="30"/>
      <c r="T6" s="30"/>
      <c r="U6" s="30">
        <f>O6+1</f>
        <v>14</v>
      </c>
      <c r="V6" s="30">
        <f t="shared" si="0"/>
        <v>15</v>
      </c>
      <c r="W6" s="30">
        <f t="shared" si="0"/>
        <v>16</v>
      </c>
      <c r="X6" s="30">
        <f t="shared" si="0"/>
        <v>17</v>
      </c>
      <c r="Y6" s="30">
        <f t="shared" si="0"/>
        <v>18</v>
      </c>
      <c r="Z6" s="30">
        <f t="shared" si="0"/>
        <v>19</v>
      </c>
      <c r="AA6" s="30">
        <f t="shared" si="0"/>
        <v>20</v>
      </c>
      <c r="AB6" s="30">
        <f t="shared" si="0"/>
        <v>21</v>
      </c>
      <c r="AC6" s="30">
        <f t="shared" si="0"/>
        <v>22</v>
      </c>
      <c r="AD6" s="30">
        <f t="shared" si="0"/>
        <v>23</v>
      </c>
      <c r="AE6" s="30">
        <f t="shared" si="0"/>
        <v>24</v>
      </c>
      <c r="AF6" s="30">
        <f t="shared" si="0"/>
        <v>25</v>
      </c>
      <c r="AG6" s="30">
        <f t="shared" si="0"/>
        <v>26</v>
      </c>
      <c r="AH6" s="30">
        <f t="shared" si="0"/>
        <v>27</v>
      </c>
      <c r="AI6" s="30">
        <f t="shared" si="0"/>
        <v>28</v>
      </c>
      <c r="AJ6" s="30">
        <f t="shared" si="0"/>
        <v>29</v>
      </c>
      <c r="AK6" s="30">
        <f t="shared" si="0"/>
        <v>30</v>
      </c>
      <c r="AL6" s="30"/>
      <c r="AM6" s="30">
        <f>AK6+1</f>
        <v>31</v>
      </c>
      <c r="AN6" s="30">
        <f t="shared" ref="AN6:BD6" si="1">AM6+1</f>
        <v>32</v>
      </c>
      <c r="AO6" s="30">
        <f t="shared" si="1"/>
        <v>33</v>
      </c>
      <c r="AP6" s="30">
        <f t="shared" si="1"/>
        <v>34</v>
      </c>
      <c r="AQ6" s="30">
        <f t="shared" si="1"/>
        <v>35</v>
      </c>
      <c r="AR6" s="30">
        <f t="shared" si="1"/>
        <v>36</v>
      </c>
      <c r="AS6" s="30">
        <f t="shared" si="1"/>
        <v>37</v>
      </c>
      <c r="AT6" s="30">
        <f t="shared" si="1"/>
        <v>38</v>
      </c>
      <c r="AU6" s="30">
        <f t="shared" si="1"/>
        <v>39</v>
      </c>
      <c r="AV6" s="30">
        <f t="shared" si="1"/>
        <v>40</v>
      </c>
      <c r="AW6" s="30">
        <f t="shared" si="1"/>
        <v>41</v>
      </c>
      <c r="AX6" s="30">
        <f t="shared" si="1"/>
        <v>42</v>
      </c>
      <c r="AY6" s="30">
        <f t="shared" si="1"/>
        <v>43</v>
      </c>
      <c r="AZ6" s="30">
        <f t="shared" si="1"/>
        <v>44</v>
      </c>
      <c r="BA6" s="30">
        <f t="shared" si="1"/>
        <v>45</v>
      </c>
      <c r="BB6" s="30">
        <f t="shared" si="1"/>
        <v>46</v>
      </c>
      <c r="BC6" s="30">
        <f t="shared" si="1"/>
        <v>47</v>
      </c>
      <c r="BD6" s="30">
        <f t="shared" si="1"/>
        <v>48</v>
      </c>
      <c r="BE6" s="30"/>
      <c r="BF6" s="30"/>
    </row>
    <row r="7" spans="1:58"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c r="R7" s="41"/>
      <c r="S7" s="41"/>
      <c r="T7" s="41"/>
      <c r="U7" s="41"/>
      <c r="V7" s="41" t="str">
        <f>NameConv!$B$17</f>
        <v>Electricity</v>
      </c>
      <c r="W7" s="41" t="str">
        <f>NameConv!$B$18</f>
        <v>Electricity Upstream Transmission</v>
      </c>
      <c r="Z7" s="41" t="str">
        <f>NameConv!B27</f>
        <v>Coastal Gas</v>
      </c>
      <c r="AA7" s="41" t="str">
        <f>NameConv!$B$20</f>
        <v>Gas Southern Mozambique</v>
      </c>
      <c r="AB7" s="42" t="str">
        <f>NameConv!$B$21</f>
        <v>Gas Namibia</v>
      </c>
      <c r="AC7" s="43" t="str">
        <f>NameConv!$B$22</f>
        <v>Gas Regional LNG</v>
      </c>
      <c r="AD7" s="43" t="str">
        <f>NameConv!$B$23</f>
        <v>Gas International LNG</v>
      </c>
      <c r="AF7" s="43" t="str">
        <f>NameConv!$B$24</f>
        <v>Gas Northern Mozambique</v>
      </c>
      <c r="AH7" s="44" t="str">
        <f>NameConv!$B$25</f>
        <v>Gas Indigenous Ibhubezi</v>
      </c>
      <c r="AJ7" s="44" t="str">
        <f>NameConv!$B$26</f>
        <v>Gas Indigenous Shale</v>
      </c>
      <c r="AM7" s="42" t="str">
        <f>NameConv!$B$29</f>
        <v>Gas Methane Rich</v>
      </c>
      <c r="AO7" s="42" t="str">
        <f>NameConv!$B$30</f>
        <v>Heat-Steam</v>
      </c>
      <c r="AP7" s="42" t="str">
        <f>NameConv!$B$31</f>
        <v>Heat-Steam Existing</v>
      </c>
      <c r="AQ7" s="42" t="str">
        <f>NameConv!$B$32</f>
        <v>Heat-Steam New</v>
      </c>
      <c r="AR7" s="42" t="str">
        <f>NameConv!$B$33</f>
        <v>Hydro</v>
      </c>
      <c r="AS7" s="42" t="str">
        <f>NameConv!$B$34</f>
        <v>Hydrogen</v>
      </c>
      <c r="AT7" s="42" t="str">
        <f>NameConv!$B$35</f>
        <v>Nuclear</v>
      </c>
      <c r="AU7" s="42" t="str">
        <f>NameConv!$B$36</f>
        <v>Oil Av Gasoline</v>
      </c>
      <c r="AV7" s="42" t="str">
        <f>NameConv!$B$37</f>
        <v>Oil Crude</v>
      </c>
      <c r="AW7" s="42" t="str">
        <f>NameConv!$B$38</f>
        <v>Oil Diesel</v>
      </c>
      <c r="AX7" s="42" t="str">
        <f>NameConv!$B$39</f>
        <v>Oil Gasoline</v>
      </c>
      <c r="AY7" s="42" t="str">
        <f>NameConv!$B$40</f>
        <v>Oil HFO</v>
      </c>
      <c r="AZ7" s="42" t="str">
        <f>NameConv!$B$42</f>
        <v>Oil Kerosene</v>
      </c>
      <c r="BA7" s="42" t="str">
        <f>NameConv!$B$43</f>
        <v>Oil LPG</v>
      </c>
      <c r="BB7" s="42" t="str">
        <f>NameConv!$B$44</f>
        <v>Oil Other</v>
      </c>
      <c r="BC7" s="42" t="str">
        <f>NameConv!$B$45</f>
        <v>Solar</v>
      </c>
      <c r="BD7" s="42" t="str">
        <f>NameConv!$B$46</f>
        <v>Wind</v>
      </c>
    </row>
    <row r="8" spans="1:58"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M8" si="3">$B$8&amp;VLOOKUP(M7,FuelNames,2,FALSE)</f>
        <v>CRB</v>
      </c>
      <c r="N8" s="38"/>
      <c r="O8" s="38"/>
      <c r="P8" s="38"/>
      <c r="Q8" s="38"/>
      <c r="R8" s="38"/>
      <c r="S8" s="38"/>
      <c r="T8" s="38"/>
      <c r="U8" s="38"/>
      <c r="V8" s="38" t="str">
        <f t="shared" si="3"/>
        <v>ELC</v>
      </c>
      <c r="W8" s="38" t="str">
        <f t="shared" si="3"/>
        <v>ELCC</v>
      </c>
      <c r="X8" s="38"/>
      <c r="Y8" s="38"/>
      <c r="Z8" s="38" t="str">
        <f t="shared" si="3"/>
        <v>GIC</v>
      </c>
      <c r="AA8" s="38" t="str">
        <f t="shared" si="3"/>
        <v>GRS</v>
      </c>
      <c r="AB8" s="38" t="str">
        <f t="shared" si="3"/>
        <v>GRN</v>
      </c>
      <c r="AC8" s="38" t="str">
        <f t="shared" si="3"/>
        <v>GRL</v>
      </c>
      <c r="AD8" s="38" t="str">
        <f t="shared" si="3"/>
        <v>GWL</v>
      </c>
      <c r="AE8" s="38"/>
      <c r="AF8" s="38" t="str">
        <f t="shared" si="3"/>
        <v>GRM</v>
      </c>
      <c r="AG8" s="38"/>
      <c r="AH8" s="38" t="str">
        <f t="shared" si="3"/>
        <v>GIB</v>
      </c>
      <c r="AI8" s="38"/>
      <c r="AJ8" s="38" t="str">
        <f t="shared" si="3"/>
        <v>GIH</v>
      </c>
      <c r="AK8" s="38"/>
      <c r="AL8" s="38"/>
      <c r="AM8" s="38" t="str">
        <f t="shared" si="3"/>
        <v>GIM</v>
      </c>
      <c r="AN8" s="38"/>
      <c r="AO8" s="38" t="str">
        <f t="shared" ref="AO8:BD8" si="4">$B$8&amp;VLOOKUP(AO7,FuelNames,2,FALSE)</f>
        <v>HET</v>
      </c>
      <c r="AP8" s="38" t="str">
        <f t="shared" si="4"/>
        <v>HEE</v>
      </c>
      <c r="AQ8" s="38" t="str">
        <f t="shared" si="4"/>
        <v>HEN</v>
      </c>
      <c r="AR8" s="38" t="str">
        <f t="shared" si="4"/>
        <v>HYD</v>
      </c>
      <c r="AS8" s="38" t="str">
        <f t="shared" si="4"/>
        <v>HGN</v>
      </c>
      <c r="AT8" s="38" t="str">
        <f t="shared" si="4"/>
        <v>NUC</v>
      </c>
      <c r="AU8" s="38" t="str">
        <f t="shared" si="4"/>
        <v>OAG</v>
      </c>
      <c r="AV8" s="38" t="str">
        <f t="shared" si="4"/>
        <v>OCR</v>
      </c>
      <c r="AW8" s="38" t="str">
        <f t="shared" si="4"/>
        <v>ODS</v>
      </c>
      <c r="AX8" s="38" t="str">
        <f t="shared" si="4"/>
        <v>OGS</v>
      </c>
      <c r="AY8" s="38" t="str">
        <f t="shared" si="4"/>
        <v>OHF</v>
      </c>
      <c r="AZ8" s="38" t="str">
        <f t="shared" si="4"/>
        <v>OKE</v>
      </c>
      <c r="BA8" s="38" t="str">
        <f t="shared" si="4"/>
        <v>OLP</v>
      </c>
      <c r="BB8" s="38" t="str">
        <f t="shared" si="4"/>
        <v>OTH</v>
      </c>
      <c r="BC8" s="38" t="str">
        <f t="shared" si="4"/>
        <v>SOL</v>
      </c>
      <c r="BD8" s="38" t="str">
        <f t="shared" si="4"/>
        <v>WND</v>
      </c>
      <c r="BE8" s="38"/>
      <c r="BF8" s="38"/>
    </row>
    <row r="9" spans="1:58" x14ac:dyDescent="0.2">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D9" s="38"/>
      <c r="AE9" s="38"/>
      <c r="AF9" s="38"/>
      <c r="AG9" s="38"/>
      <c r="AH9" s="38"/>
      <c r="AI9" s="38"/>
      <c r="AJ9" s="38"/>
      <c r="AK9" s="38"/>
      <c r="AL9" s="38"/>
      <c r="AM9" s="38"/>
      <c r="AN9" s="38"/>
      <c r="AO9" s="38"/>
      <c r="AP9" s="38"/>
      <c r="AR9" s="38"/>
      <c r="AS9" s="38"/>
    </row>
    <row r="10" spans="1:58"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c r="R10" s="46"/>
      <c r="S10" s="46"/>
      <c r="T10" s="46"/>
      <c r="U10" s="46"/>
      <c r="V10" s="46">
        <v>830.00738649024674</v>
      </c>
      <c r="W10" s="46">
        <v>0</v>
      </c>
      <c r="X10" s="46"/>
      <c r="Y10" s="46"/>
      <c r="Z10" s="46">
        <v>42.534198286413705</v>
      </c>
      <c r="AA10" s="46">
        <v>0</v>
      </c>
      <c r="AB10" s="46">
        <v>0</v>
      </c>
      <c r="AC10" s="46">
        <v>0</v>
      </c>
      <c r="AD10" s="46">
        <v>0</v>
      </c>
      <c r="AE10" s="46"/>
      <c r="AF10" s="46">
        <v>0</v>
      </c>
      <c r="AG10" s="46"/>
      <c r="AH10" s="46">
        <v>0</v>
      </c>
      <c r="AI10" s="46"/>
      <c r="AJ10" s="46">
        <v>0</v>
      </c>
      <c r="AK10" s="46">
        <v>0</v>
      </c>
      <c r="AL10" s="46"/>
      <c r="AM10" s="46">
        <v>0</v>
      </c>
      <c r="AN10" s="46"/>
      <c r="AO10" s="46">
        <v>0</v>
      </c>
      <c r="AP10" s="46">
        <v>0</v>
      </c>
      <c r="AQ10" s="46">
        <v>0</v>
      </c>
      <c r="AR10" s="46">
        <v>0</v>
      </c>
      <c r="AS10" s="46">
        <v>0</v>
      </c>
      <c r="AT10" s="46">
        <v>0</v>
      </c>
      <c r="AU10" s="46">
        <v>0</v>
      </c>
      <c r="AV10" s="46">
        <v>0</v>
      </c>
      <c r="AW10" s="46">
        <v>0</v>
      </c>
      <c r="AX10" s="46">
        <v>0</v>
      </c>
      <c r="AY10" s="46">
        <v>0</v>
      </c>
      <c r="AZ10" s="46">
        <v>0</v>
      </c>
      <c r="BA10" s="46">
        <v>0</v>
      </c>
      <c r="BB10" s="46">
        <v>0</v>
      </c>
      <c r="BC10" s="46">
        <v>0</v>
      </c>
      <c r="BD10" s="46">
        <v>0</v>
      </c>
      <c r="BE10" s="46"/>
      <c r="BF10" s="46"/>
    </row>
    <row r="11" spans="1:58"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c r="R11" s="46"/>
      <c r="S11" s="46"/>
      <c r="T11" s="46"/>
      <c r="U11" s="46"/>
      <c r="V11" s="46">
        <v>36.021597656250002</v>
      </c>
      <c r="W11" s="46">
        <v>0</v>
      </c>
      <c r="X11" s="46"/>
      <c r="Y11" s="46"/>
      <c r="Z11" s="46">
        <v>121.2211171875</v>
      </c>
      <c r="AA11" s="46">
        <v>0</v>
      </c>
      <c r="AB11" s="46">
        <v>0</v>
      </c>
      <c r="AC11" s="46">
        <v>0</v>
      </c>
      <c r="AD11" s="46">
        <v>0</v>
      </c>
      <c r="AE11" s="46"/>
      <c r="AF11" s="46">
        <v>0</v>
      </c>
      <c r="AG11" s="46"/>
      <c r="AH11" s="46">
        <v>0</v>
      </c>
      <c r="AI11" s="46"/>
      <c r="AJ11" s="46">
        <v>0</v>
      </c>
      <c r="AK11" s="46">
        <v>0</v>
      </c>
      <c r="AL11" s="46"/>
      <c r="AM11" s="46">
        <v>0</v>
      </c>
      <c r="AN11" s="46"/>
      <c r="AO11" s="46">
        <v>0</v>
      </c>
      <c r="AP11" s="46">
        <v>0</v>
      </c>
      <c r="AQ11" s="46">
        <v>0</v>
      </c>
      <c r="AR11" s="46">
        <v>0</v>
      </c>
      <c r="AS11" s="46">
        <v>0</v>
      </c>
      <c r="AT11" s="46">
        <v>170.374545454545</v>
      </c>
      <c r="AU11" s="46">
        <v>1.394321535205479</v>
      </c>
      <c r="AV11" s="46">
        <v>941.22622485351599</v>
      </c>
      <c r="AW11" s="46">
        <v>140.06492</v>
      </c>
      <c r="AX11" s="46">
        <v>63.331960000000002</v>
      </c>
      <c r="AY11" s="46">
        <v>4.206396917894736</v>
      </c>
      <c r="AZ11" s="46">
        <v>9.3231960462962959</v>
      </c>
      <c r="BA11" s="46">
        <v>0.405131744444444</v>
      </c>
      <c r="BB11" s="46">
        <v>0</v>
      </c>
      <c r="BC11" s="46">
        <v>0</v>
      </c>
      <c r="BD11" s="46">
        <v>0</v>
      </c>
      <c r="BE11" s="46"/>
      <c r="BF11" s="46"/>
    </row>
    <row r="12" spans="1:58"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c r="R12" s="46"/>
      <c r="S12" s="46"/>
      <c r="T12" s="46"/>
      <c r="U12" s="46"/>
      <c r="V12" s="46">
        <v>54.125999999999998</v>
      </c>
      <c r="W12" s="46">
        <v>0</v>
      </c>
      <c r="X12" s="46"/>
      <c r="Y12" s="46"/>
      <c r="Z12" s="46">
        <v>0</v>
      </c>
      <c r="AA12" s="46">
        <v>0</v>
      </c>
      <c r="AB12" s="46">
        <v>0</v>
      </c>
      <c r="AC12" s="46">
        <v>0</v>
      </c>
      <c r="AD12" s="46">
        <v>0</v>
      </c>
      <c r="AE12" s="46"/>
      <c r="AF12" s="46">
        <v>0</v>
      </c>
      <c r="AG12" s="46"/>
      <c r="AH12" s="46">
        <v>0</v>
      </c>
      <c r="AI12" s="46"/>
      <c r="AJ12" s="46">
        <v>0</v>
      </c>
      <c r="AK12" s="46">
        <v>0</v>
      </c>
      <c r="AL12" s="46"/>
      <c r="AM12" s="46">
        <v>0</v>
      </c>
      <c r="AN12" s="46"/>
      <c r="AO12" s="46">
        <v>0</v>
      </c>
      <c r="AP12" s="46">
        <v>0</v>
      </c>
      <c r="AQ12" s="46">
        <v>0</v>
      </c>
      <c r="AR12" s="46">
        <v>0</v>
      </c>
      <c r="AS12" s="46">
        <v>0</v>
      </c>
      <c r="AT12" s="46">
        <v>0</v>
      </c>
      <c r="AU12" s="46">
        <v>0.22564281164383562</v>
      </c>
      <c r="AV12" s="46">
        <v>20.83803412968</v>
      </c>
      <c r="AW12" s="46">
        <v>28.73659252275862</v>
      </c>
      <c r="AX12" s="46">
        <v>3.5488458656756761</v>
      </c>
      <c r="AY12" s="46">
        <v>61.88735509894736</v>
      </c>
      <c r="AZ12" s="46">
        <v>5.0273560461728382</v>
      </c>
      <c r="BA12" s="46">
        <v>0.54993525222222217</v>
      </c>
      <c r="BB12" s="46">
        <v>0</v>
      </c>
      <c r="BC12" s="46">
        <v>0</v>
      </c>
      <c r="BD12" s="46">
        <v>0</v>
      </c>
      <c r="BE12" s="46"/>
      <c r="BF12" s="46"/>
    </row>
    <row r="13" spans="1:58" ht="15.75" thickBot="1" x14ac:dyDescent="0.3">
      <c r="A13" s="29"/>
      <c r="B13" s="45"/>
      <c r="C13" s="47"/>
      <c r="D13" s="47"/>
      <c r="M13" s="404" t="s">
        <v>1051</v>
      </c>
      <c r="N13" s="48"/>
      <c r="O13" s="48"/>
      <c r="P13" s="412"/>
      <c r="Q13" s="412"/>
      <c r="R13" s="412"/>
      <c r="S13" s="412"/>
      <c r="T13" s="412"/>
      <c r="U13" s="49"/>
      <c r="V13" s="405"/>
      <c r="W13" s="47"/>
      <c r="X13" s="47"/>
      <c r="Y13" s="47"/>
      <c r="Z13" s="47"/>
      <c r="AA13" s="47"/>
      <c r="AB13" s="47"/>
      <c r="AC13" s="47"/>
      <c r="AD13" s="47"/>
      <c r="AE13" s="47"/>
      <c r="AF13" s="47"/>
      <c r="AG13" s="50"/>
    </row>
    <row r="14" spans="1:58" x14ac:dyDescent="0.2">
      <c r="A14" s="51" t="s">
        <v>242</v>
      </c>
      <c r="B14" s="52"/>
      <c r="C14" s="52"/>
      <c r="D14" s="52"/>
      <c r="E14" s="52"/>
      <c r="F14" s="53">
        <v>2017</v>
      </c>
      <c r="G14" s="53">
        <v>2021</v>
      </c>
      <c r="H14" s="53">
        <v>2030</v>
      </c>
      <c r="I14" s="53">
        <v>2050</v>
      </c>
      <c r="M14" s="54"/>
      <c r="O14" s="38">
        <v>2021</v>
      </c>
      <c r="P14" s="38"/>
      <c r="Q14" s="38"/>
      <c r="R14" s="38"/>
      <c r="S14" s="38"/>
      <c r="T14" s="38"/>
      <c r="U14" s="38">
        <v>2030</v>
      </c>
      <c r="V14" s="55">
        <f>I14</f>
        <v>2050</v>
      </c>
      <c r="X14" s="47" t="s">
        <v>1054</v>
      </c>
      <c r="Y14" s="47"/>
      <c r="Z14" s="47"/>
      <c r="AA14" s="47"/>
    </row>
    <row r="15" spans="1:58" ht="15" x14ac:dyDescent="0.25">
      <c r="A15" s="56" t="s">
        <v>243</v>
      </c>
      <c r="B15" s="28" t="s">
        <v>1049</v>
      </c>
      <c r="F15" s="57">
        <v>16.45</v>
      </c>
      <c r="G15" s="57">
        <f>F15</f>
        <v>16.45</v>
      </c>
      <c r="H15" s="57">
        <f>G15</f>
        <v>16.45</v>
      </c>
      <c r="I15" s="57">
        <f>H15</f>
        <v>16.45</v>
      </c>
      <c r="M15" s="56"/>
      <c r="O15" s="406"/>
      <c r="P15" s="406"/>
      <c r="Q15" s="406"/>
      <c r="R15" s="406"/>
      <c r="S15" s="406"/>
      <c r="T15" s="406"/>
      <c r="U15" s="406"/>
      <c r="V15" s="58"/>
      <c r="X15" s="402">
        <v>0.08</v>
      </c>
      <c r="Y15" s="47"/>
      <c r="Z15" s="47"/>
      <c r="AA15" s="47"/>
    </row>
    <row r="16" spans="1:58" ht="15" x14ac:dyDescent="0.25">
      <c r="A16" s="56" t="s">
        <v>245</v>
      </c>
      <c r="B16" s="28" t="s">
        <v>1053</v>
      </c>
      <c r="C16" s="59" t="s">
        <v>246</v>
      </c>
      <c r="D16" s="60" t="s">
        <v>761</v>
      </c>
      <c r="F16" s="62">
        <f>IEA_WEO!BZ94*1.165</f>
        <v>72.23</v>
      </c>
      <c r="G16" s="63">
        <f>SUMIF($M$15:$M$24,$D$16,O$15:O$24)*(1+$X$15)</f>
        <v>74.52000000000001</v>
      </c>
      <c r="H16" s="63">
        <f>SUMIF($M$15:$M$24,$D$16,U$15:U$24)*(1+$X$15)</f>
        <v>68.400000000000006</v>
      </c>
      <c r="I16" s="63">
        <f>SUMIF($M$15:$M$24,$D$16,V$15:V$24)*(1+$X$15)</f>
        <v>87.11999999999999</v>
      </c>
      <c r="M16" s="64" t="s">
        <v>1052</v>
      </c>
      <c r="O16" s="407">
        <f>IEA_WEO!DK96</f>
        <v>69</v>
      </c>
      <c r="P16" s="407"/>
      <c r="Q16" s="407"/>
      <c r="R16" s="407"/>
      <c r="S16" s="407"/>
      <c r="T16" s="407"/>
      <c r="U16" s="407">
        <f>IEA_WEO!DL96</f>
        <v>35</v>
      </c>
      <c r="V16" s="408">
        <f>IEA_WEO!DM96</f>
        <v>24</v>
      </c>
      <c r="X16" s="47"/>
      <c r="Y16" s="47"/>
      <c r="Z16" s="47"/>
      <c r="AA16" s="47"/>
    </row>
    <row r="17" spans="1:41" ht="15" x14ac:dyDescent="0.25">
      <c r="A17" s="56" t="s">
        <v>247</v>
      </c>
      <c r="B17" s="28" t="s">
        <v>248</v>
      </c>
      <c r="F17" s="30"/>
      <c r="G17" s="30"/>
      <c r="H17" s="30"/>
      <c r="I17" s="30"/>
      <c r="M17" s="56" t="s">
        <v>763</v>
      </c>
      <c r="O17" s="407">
        <f>O16</f>
        <v>69</v>
      </c>
      <c r="P17" s="407"/>
      <c r="Q17" s="407"/>
      <c r="R17" s="407"/>
      <c r="S17" s="407"/>
      <c r="T17" s="407"/>
      <c r="U17" s="407">
        <f>IEA_WEO!CL101</f>
        <v>55.666666666666664</v>
      </c>
      <c r="V17" s="408">
        <f>IEA_WEO!CM101</f>
        <v>50.333333333333329</v>
      </c>
      <c r="X17" s="47"/>
      <c r="Y17" s="47"/>
      <c r="Z17" s="47"/>
      <c r="AA17" s="47"/>
      <c r="AB17"/>
      <c r="AC17"/>
    </row>
    <row r="18" spans="1:41" ht="15.75" thickBot="1" x14ac:dyDescent="0.3">
      <c r="A18" s="65" t="s">
        <v>155</v>
      </c>
      <c r="B18" s="66" t="s">
        <v>249</v>
      </c>
      <c r="C18" s="66"/>
      <c r="D18" s="66"/>
      <c r="E18" s="66"/>
      <c r="F18" s="67"/>
      <c r="G18" s="67"/>
      <c r="H18" s="66"/>
      <c r="I18" s="66"/>
      <c r="M18" s="68" t="s">
        <v>761</v>
      </c>
      <c r="N18" s="66"/>
      <c r="O18" s="409">
        <f>O17</f>
        <v>69</v>
      </c>
      <c r="P18" s="409"/>
      <c r="Q18" s="409"/>
      <c r="R18" s="409"/>
      <c r="S18" s="409"/>
      <c r="T18" s="409"/>
      <c r="U18" s="409">
        <f>IEA_WEO!CL102</f>
        <v>63.333333333333336</v>
      </c>
      <c r="V18" s="410">
        <f>IEA_WEO!CM102</f>
        <v>80.666666666666657</v>
      </c>
      <c r="X18" s="47"/>
      <c r="Y18" s="47"/>
      <c r="Z18" s="47"/>
      <c r="AA18" s="47"/>
      <c r="AB18"/>
      <c r="AC18"/>
      <c r="AE18" s="29" t="s">
        <v>250</v>
      </c>
      <c r="AF18"/>
      <c r="AG18"/>
      <c r="AM18" s="30"/>
      <c r="AN18" s="30"/>
    </row>
    <row r="19" spans="1:41" ht="15" x14ac:dyDescent="0.25">
      <c r="A19" s="69" t="s">
        <v>251</v>
      </c>
      <c r="B19" s="52"/>
      <c r="C19" s="52"/>
      <c r="D19" s="52"/>
      <c r="E19" s="52"/>
      <c r="F19" s="70"/>
      <c r="G19" s="70"/>
      <c r="H19" s="52"/>
      <c r="I19" s="52"/>
      <c r="X19" s="47"/>
      <c r="Y19" s="47"/>
      <c r="Z19" s="47"/>
      <c r="AA19" s="47"/>
      <c r="AB19"/>
      <c r="AC19"/>
      <c r="AF19" s="28" t="str">
        <f>[8]Export!D5</f>
        <v>Oil Price (2015$/bbl)</v>
      </c>
      <c r="AM19" s="30"/>
      <c r="AN19" s="30"/>
    </row>
    <row r="20" spans="1:41" ht="15" x14ac:dyDescent="0.25">
      <c r="A20" s="71"/>
      <c r="C20" s="72"/>
      <c r="F20" s="30" t="s">
        <v>252</v>
      </c>
      <c r="G20" s="30" t="s">
        <v>252</v>
      </c>
      <c r="I20" s="74"/>
      <c r="O20" s="75"/>
      <c r="P20" s="75"/>
      <c r="Q20" s="75"/>
      <c r="R20" s="75"/>
      <c r="S20" s="75"/>
      <c r="T20" s="75"/>
      <c r="U20" s="75"/>
      <c r="V20" s="75"/>
      <c r="W20"/>
      <c r="X20"/>
      <c r="Y20"/>
      <c r="Z20"/>
      <c r="AA20"/>
      <c r="AB20"/>
      <c r="AC20"/>
      <c r="AF20" s="28">
        <f>[8]Export!D6</f>
        <v>2010</v>
      </c>
      <c r="AG20" s="28">
        <f>[8]Export!E6</f>
        <v>2015</v>
      </c>
      <c r="AH20" s="28">
        <f>[8]Export!F6</f>
        <v>2020</v>
      </c>
      <c r="AI20" s="28">
        <f>[8]Export!G6</f>
        <v>2030</v>
      </c>
      <c r="AJ20" s="28">
        <f>[8]Export!H6</f>
        <v>2050</v>
      </c>
      <c r="AM20" s="30"/>
      <c r="AN20" s="30"/>
    </row>
    <row r="21" spans="1:41" ht="15" x14ac:dyDescent="0.25">
      <c r="A21" s="71" t="s">
        <v>1055</v>
      </c>
      <c r="B21" s="76" t="s">
        <v>1050</v>
      </c>
      <c r="F21" s="77">
        <f>F15*F16</f>
        <v>1188.1835000000001</v>
      </c>
      <c r="G21" s="77">
        <f>G15*G16</f>
        <v>1225.854</v>
      </c>
      <c r="H21" s="77">
        <f>H15*H16</f>
        <v>1125.18</v>
      </c>
      <c r="I21" s="78">
        <f>I15*I16</f>
        <v>1433.1239999999998</v>
      </c>
      <c r="O21" s="75"/>
      <c r="P21" s="75"/>
      <c r="Q21" s="75"/>
      <c r="R21" s="75"/>
      <c r="S21" s="75"/>
      <c r="T21" s="75"/>
      <c r="U21" s="75"/>
      <c r="V21" s="75"/>
      <c r="W21"/>
      <c r="X21"/>
      <c r="Y21"/>
      <c r="Z21"/>
      <c r="AA21"/>
      <c r="AB21"/>
      <c r="AC21"/>
      <c r="AE21" s="79">
        <f>[8]Export!C7</f>
        <v>0.05</v>
      </c>
      <c r="AF21" s="75">
        <f>[8]Export!D7</f>
        <v>84.76347793442072</v>
      </c>
      <c r="AG21" s="75">
        <f>[8]Export!E7</f>
        <v>51</v>
      </c>
      <c r="AH21" s="75">
        <f>[8]Export!F7</f>
        <v>73.317017874156548</v>
      </c>
      <c r="AI21" s="75">
        <f>[8]Export!G7</f>
        <v>98.605353881111654</v>
      </c>
      <c r="AJ21" s="75">
        <f>[8]Export!H7</f>
        <v>107.66021241145609</v>
      </c>
      <c r="AM21" s="30"/>
      <c r="AN21" s="30"/>
    </row>
    <row r="22" spans="1:41"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s="75"/>
      <c r="S22" s="75"/>
      <c r="T22" s="75"/>
      <c r="U22" s="75"/>
      <c r="V22" s="75"/>
      <c r="W22"/>
      <c r="X22"/>
      <c r="Y22"/>
      <c r="Z22"/>
      <c r="AA22"/>
      <c r="AB22"/>
      <c r="AC22"/>
      <c r="AE22" s="79">
        <f>[8]Export!C8</f>
        <v>0.25</v>
      </c>
      <c r="AF22" s="75">
        <f>[8]Export!D8</f>
        <v>84.76347793442072</v>
      </c>
      <c r="AG22" s="75">
        <f>[8]Export!E8</f>
        <v>51</v>
      </c>
      <c r="AH22" s="75">
        <f>[8]Export!F8</f>
        <v>75.881960716452127</v>
      </c>
      <c r="AI22" s="75">
        <f>[8]Export!G8</f>
        <v>103.77027513658234</v>
      </c>
      <c r="AJ22" s="75">
        <f>[8]Export!H8</f>
        <v>116.71930911569734</v>
      </c>
      <c r="AM22" s="30"/>
      <c r="AN22" s="30"/>
    </row>
    <row r="23" spans="1:41" ht="14.65" customHeight="1" x14ac:dyDescent="0.25">
      <c r="A23" s="80" t="s">
        <v>254</v>
      </c>
      <c r="B23" s="57" t="s">
        <v>1056</v>
      </c>
      <c r="C23" s="81"/>
      <c r="D23" s="81"/>
      <c r="F23" s="82"/>
      <c r="G23" s="57">
        <f>G24*'Liq Fuel Prices'!$AC$9/1000</f>
        <v>9.3213201007950115</v>
      </c>
      <c r="H23" s="82"/>
      <c r="I23" s="83"/>
      <c r="O23" s="75"/>
      <c r="P23" s="75"/>
      <c r="Q23" s="75"/>
      <c r="R23" s="75"/>
      <c r="S23" s="75"/>
      <c r="T23" s="75"/>
      <c r="U23" s="75"/>
      <c r="V23" s="75"/>
      <c r="W23"/>
      <c r="X23"/>
      <c r="Y23"/>
      <c r="Z23"/>
      <c r="AA23"/>
      <c r="AB23"/>
      <c r="AC23"/>
      <c r="AD23"/>
      <c r="AE23" s="79">
        <f>[8]Export!C9</f>
        <v>0.5</v>
      </c>
      <c r="AF23" s="75">
        <f>[8]Export!D9</f>
        <v>84.76347793442072</v>
      </c>
      <c r="AG23" s="75">
        <f>[8]Export!E9</f>
        <v>51</v>
      </c>
      <c r="AH23" s="75">
        <f>[8]Export!F9</f>
        <v>78.619821053733901</v>
      </c>
      <c r="AI23" s="75">
        <f>[8]Export!G9</f>
        <v>107.433752652908</v>
      </c>
      <c r="AJ23" s="75">
        <f>[8]Export!H9</f>
        <v>125.49232908190987</v>
      </c>
      <c r="AM23" s="30"/>
      <c r="AN23" s="30"/>
    </row>
    <row r="24" spans="1:41"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R24" s="75"/>
      <c r="S24" s="75"/>
      <c r="T24" s="75"/>
      <c r="U24" s="75"/>
      <c r="V24" s="75"/>
      <c r="AD24" s="26"/>
      <c r="AE24" s="79">
        <f>[8]Export!C10</f>
        <v>0.75</v>
      </c>
      <c r="AF24" s="75">
        <f>[8]Export!D10</f>
        <v>84.76347793442072</v>
      </c>
      <c r="AG24" s="75">
        <f>[8]Export!E10</f>
        <v>51</v>
      </c>
      <c r="AH24" s="75">
        <f>[8]Export!F10</f>
        <v>81.098305148536369</v>
      </c>
      <c r="AI24" s="75">
        <f>[8]Export!G10</f>
        <v>114.76296804497092</v>
      </c>
      <c r="AJ24" s="75">
        <f>[8]Export!H10</f>
        <v>132.35817079459795</v>
      </c>
      <c r="AM24" s="30"/>
      <c r="AN24" s="30"/>
    </row>
    <row r="25" spans="1:41"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P25" s="77"/>
      <c r="Q25" s="77"/>
      <c r="R25" s="77"/>
      <c r="S25" s="77"/>
      <c r="T25" s="77"/>
      <c r="AE25" s="79">
        <f>[8]Export!C11</f>
        <v>0.95</v>
      </c>
      <c r="AF25" s="75">
        <f>[8]Export!D11</f>
        <v>84.76347793442072</v>
      </c>
      <c r="AG25" s="75">
        <f>[8]Export!E11</f>
        <v>51</v>
      </c>
      <c r="AH25" s="75">
        <f>[8]Export!F11</f>
        <v>84.210820058288292</v>
      </c>
      <c r="AI25" s="75">
        <f>[8]Export!G11</f>
        <v>126.81972514636294</v>
      </c>
      <c r="AJ25" s="75">
        <f>[8]Export!H11</f>
        <v>141.25833597771214</v>
      </c>
      <c r="AM25" s="30"/>
      <c r="AN25" s="30"/>
    </row>
    <row r="26" spans="1:41"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P26" s="77"/>
      <c r="Q26" s="77"/>
      <c r="R26" s="77"/>
      <c r="S26" s="77"/>
      <c r="T26" s="77"/>
      <c r="AE26" s="79"/>
      <c r="AF26" s="28" t="str">
        <f>[8]Export!D12</f>
        <v>LNG (2015$/MMBTU)</v>
      </c>
      <c r="AM26" s="30"/>
      <c r="AN26" s="30"/>
    </row>
    <row r="27" spans="1:41"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AE27" s="79"/>
      <c r="AF27" s="28">
        <f>[8]Export!D13</f>
        <v>2010</v>
      </c>
      <c r="AG27" s="28">
        <f>[8]Export!E13</f>
        <v>2015</v>
      </c>
      <c r="AH27" s="28">
        <f>[8]Export!F13</f>
        <v>2020</v>
      </c>
      <c r="AI27" s="28">
        <f>[8]Export!G13</f>
        <v>2030</v>
      </c>
      <c r="AJ27" s="28">
        <f>[8]Export!H13</f>
        <v>2050</v>
      </c>
      <c r="AK27" s="28">
        <f>AF27</f>
        <v>2010</v>
      </c>
      <c r="AL27" s="28">
        <f>AG27</f>
        <v>2015</v>
      </c>
      <c r="AM27" s="28">
        <f>AH27</f>
        <v>2020</v>
      </c>
      <c r="AN27" s="28">
        <f>AI27</f>
        <v>2030</v>
      </c>
      <c r="AO27" s="28">
        <f>AJ27</f>
        <v>2050</v>
      </c>
    </row>
    <row r="28" spans="1:41"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413"/>
      <c r="Q28" s="413"/>
      <c r="R28" s="413"/>
      <c r="S28" s="413"/>
      <c r="T28" s="413"/>
      <c r="U28" s="85" t="s">
        <v>256</v>
      </c>
      <c r="V28" s="86"/>
      <c r="X28" s="87" t="s">
        <v>257</v>
      </c>
      <c r="Y28" s="88"/>
      <c r="Z28" s="86"/>
      <c r="AA28" s="85" t="s">
        <v>258</v>
      </c>
      <c r="AB28" s="86"/>
      <c r="AE28" s="79">
        <f>[8]Export!C14</f>
        <v>0.05</v>
      </c>
      <c r="AF28" s="75">
        <f>[8]Export!D14</f>
        <v>8.1503344167712228</v>
      </c>
      <c r="AG28" s="75">
        <f>[8]Export!E14</f>
        <v>8.1503344167712228</v>
      </c>
      <c r="AH28" s="75">
        <f>[8]Export!F14</f>
        <v>8.3428147519412956</v>
      </c>
      <c r="AI28" s="75">
        <f>[8]Export!G14</f>
        <v>9.8008280757574973</v>
      </c>
      <c r="AJ28" s="75">
        <f>[8]Export!H14</f>
        <v>10.64026158109483</v>
      </c>
      <c r="AK28" s="89">
        <f t="shared" ref="AK28:AO32" si="5">AF28/AF21</f>
        <v>9.6153846153846145E-2</v>
      </c>
      <c r="AL28" s="89">
        <f t="shared" si="5"/>
        <v>0.15981047876022006</v>
      </c>
      <c r="AM28" s="89">
        <f t="shared" si="5"/>
        <v>0.11379097232597682</v>
      </c>
      <c r="AN28" s="89">
        <f t="shared" si="5"/>
        <v>9.9394482043787827E-2</v>
      </c>
      <c r="AO28" s="89">
        <f t="shared" si="5"/>
        <v>9.883188359716262E-2</v>
      </c>
    </row>
    <row r="29" spans="1:41" ht="15.75" thickBot="1" x14ac:dyDescent="0.3">
      <c r="A29" s="80" t="s">
        <v>259</v>
      </c>
      <c r="B29" s="57" t="s">
        <v>1056</v>
      </c>
      <c r="C29" s="57"/>
      <c r="D29"/>
      <c r="E29" s="30"/>
      <c r="F29" s="77"/>
      <c r="G29" s="403">
        <f>G30*'Liq Fuel Prices'!$AC$9/1000</f>
        <v>18.277098236852964</v>
      </c>
      <c r="H29" s="77"/>
      <c r="I29" s="78"/>
      <c r="N29"/>
      <c r="O29" s="90" t="s">
        <v>252</v>
      </c>
      <c r="P29" s="414"/>
      <c r="Q29" s="414"/>
      <c r="R29" s="414"/>
      <c r="S29" s="414"/>
      <c r="T29" s="414"/>
      <c r="U29" s="91" t="s">
        <v>260</v>
      </c>
      <c r="V29" s="92" t="s">
        <v>261</v>
      </c>
      <c r="W29" s="92" t="s">
        <v>262</v>
      </c>
      <c r="X29" s="92" t="s">
        <v>263</v>
      </c>
      <c r="Y29" s="92" t="s">
        <v>264</v>
      </c>
      <c r="Z29" s="92" t="s">
        <v>265</v>
      </c>
      <c r="AA29" s="92" t="s">
        <v>264</v>
      </c>
      <c r="AB29" s="92" t="s">
        <v>265</v>
      </c>
      <c r="AE29" s="79">
        <f>[8]Export!C15</f>
        <v>0.25</v>
      </c>
      <c r="AF29" s="75">
        <f>[8]Export!D15</f>
        <v>8.1503344167712228</v>
      </c>
      <c r="AG29" s="75">
        <f>[8]Export!E15</f>
        <v>8.1503344167712228</v>
      </c>
      <c r="AH29" s="75">
        <f>[8]Export!F15</f>
        <v>8.6297778388377875</v>
      </c>
      <c r="AI29" s="75">
        <f>[8]Export!G15</f>
        <v>10.297404179962657</v>
      </c>
      <c r="AJ29" s="75">
        <f>[8]Export!H15</f>
        <v>11.434919186730026</v>
      </c>
      <c r="AK29" s="89">
        <f t="shared" si="5"/>
        <v>9.6153846153846145E-2</v>
      </c>
      <c r="AL29" s="89">
        <f t="shared" si="5"/>
        <v>0.15981047876022006</v>
      </c>
      <c r="AM29" s="89">
        <f t="shared" si="5"/>
        <v>0.1137263423000448</v>
      </c>
      <c r="AN29" s="89">
        <f t="shared" si="5"/>
        <v>9.9232696130074072E-2</v>
      </c>
      <c r="AO29" s="89">
        <f t="shared" si="5"/>
        <v>9.7969387185073448E-2</v>
      </c>
    </row>
    <row r="30" spans="1:41"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414"/>
      <c r="Q30" s="414"/>
      <c r="R30" s="414"/>
      <c r="S30" s="414"/>
      <c r="T30" s="414"/>
      <c r="U30" s="93" t="s">
        <v>267</v>
      </c>
      <c r="V30" s="94" t="s">
        <v>268</v>
      </c>
      <c r="W30" s="94" t="s">
        <v>269</v>
      </c>
      <c r="X30" s="94" t="s">
        <v>270</v>
      </c>
      <c r="Y30" s="94" t="s">
        <v>271</v>
      </c>
      <c r="Z30" s="94" t="s">
        <v>271</v>
      </c>
      <c r="AA30" s="94" t="s">
        <v>272</v>
      </c>
      <c r="AB30" s="94" t="s">
        <v>272</v>
      </c>
      <c r="AE30" s="79">
        <f>[8]Export!C16</f>
        <v>0.5</v>
      </c>
      <c r="AF30" s="75">
        <f>[8]Export!D16</f>
        <v>8.1503344167712228</v>
      </c>
      <c r="AG30" s="75">
        <f>[8]Export!E16</f>
        <v>8.1503344167712228</v>
      </c>
      <c r="AH30" s="75">
        <f>[8]Export!F16</f>
        <v>9.0140661065885528</v>
      </c>
      <c r="AI30" s="75">
        <f>[8]Export!G16</f>
        <v>10.959143415150999</v>
      </c>
      <c r="AJ30" s="75">
        <f>[8]Export!H16</f>
        <v>12.559665336244453</v>
      </c>
      <c r="AK30" s="89">
        <f t="shared" si="5"/>
        <v>9.6153846153846145E-2</v>
      </c>
      <c r="AL30" s="89">
        <f t="shared" si="5"/>
        <v>0.15981047876022006</v>
      </c>
      <c r="AM30" s="89">
        <f t="shared" si="5"/>
        <v>0.11465386191133345</v>
      </c>
      <c r="AN30" s="89">
        <f t="shared" si="5"/>
        <v>0.10200838325509576</v>
      </c>
      <c r="AO30" s="89">
        <f t="shared" si="5"/>
        <v>0.10008313199802561</v>
      </c>
    </row>
    <row r="31" spans="1:41"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414"/>
      <c r="Q31" s="414"/>
      <c r="R31" s="414"/>
      <c r="S31" s="414"/>
      <c r="T31" s="414"/>
      <c r="U31" s="93" t="s">
        <v>274</v>
      </c>
      <c r="V31" s="94" t="s">
        <v>274</v>
      </c>
      <c r="W31" s="94" t="s">
        <v>274</v>
      </c>
      <c r="X31" s="94" t="s">
        <v>274</v>
      </c>
      <c r="Y31" s="94" t="s">
        <v>275</v>
      </c>
      <c r="Z31" s="94" t="s">
        <v>275</v>
      </c>
      <c r="AA31" s="94" t="s">
        <v>276</v>
      </c>
      <c r="AB31" s="94" t="s">
        <v>276</v>
      </c>
      <c r="AE31" s="79">
        <f>[8]Export!C17</f>
        <v>0.75</v>
      </c>
      <c r="AF31" s="75">
        <f>[8]Export!D17</f>
        <v>8.1503344167712228</v>
      </c>
      <c r="AG31" s="75">
        <f>[8]Export!E17</f>
        <v>8.1503344167712228</v>
      </c>
      <c r="AH31" s="75">
        <f>[8]Export!F17</f>
        <v>9.7554918405642095</v>
      </c>
      <c r="AI31" s="75">
        <f>[8]Export!G17</f>
        <v>11.953450254270349</v>
      </c>
      <c r="AJ31" s="75">
        <f>[8]Export!H17</f>
        <v>14.283461065391567</v>
      </c>
      <c r="AK31" s="89">
        <f t="shared" si="5"/>
        <v>9.6153846153846145E-2</v>
      </c>
      <c r="AL31" s="89">
        <f t="shared" si="5"/>
        <v>0.15981047876022006</v>
      </c>
      <c r="AM31" s="89">
        <f t="shared" si="5"/>
        <v>0.1202921790128221</v>
      </c>
      <c r="AN31" s="89">
        <f t="shared" si="5"/>
        <v>0.104157730127599</v>
      </c>
      <c r="AO31" s="89">
        <f t="shared" si="5"/>
        <v>0.10791521958668931</v>
      </c>
    </row>
    <row r="32" spans="1:41"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414"/>
      <c r="Q32" s="414"/>
      <c r="R32" s="414"/>
      <c r="S32" s="414"/>
      <c r="T32" s="414"/>
      <c r="U32" s="93" t="s">
        <v>278</v>
      </c>
      <c r="V32" s="94" t="s">
        <v>279</v>
      </c>
      <c r="W32" s="94" t="s">
        <v>280</v>
      </c>
      <c r="X32" s="94" t="s">
        <v>270</v>
      </c>
      <c r="Y32" s="94" t="s">
        <v>281</v>
      </c>
      <c r="Z32" s="94" t="s">
        <v>282</v>
      </c>
      <c r="AA32" s="94" t="s">
        <v>281</v>
      </c>
      <c r="AB32" s="94" t="s">
        <v>282</v>
      </c>
      <c r="AE32" s="79">
        <f>[8]Export!C18</f>
        <v>0.95</v>
      </c>
      <c r="AF32" s="75">
        <f>[8]Export!D18</f>
        <v>8.1503344167712228</v>
      </c>
      <c r="AG32" s="75">
        <f>[8]Export!E18</f>
        <v>8.1503344167712228</v>
      </c>
      <c r="AH32" s="75">
        <f>[8]Export!F18</f>
        <v>10.091744074846128</v>
      </c>
      <c r="AI32" s="75">
        <f>[8]Export!G18</f>
        <v>12.855473233969482</v>
      </c>
      <c r="AJ32" s="75">
        <f>[8]Export!H18</f>
        <v>15.974655456871597</v>
      </c>
      <c r="AK32" s="89">
        <f t="shared" si="5"/>
        <v>9.6153846153846145E-2</v>
      </c>
      <c r="AL32" s="89">
        <f t="shared" si="5"/>
        <v>0.15981047876022006</v>
      </c>
      <c r="AM32" s="89">
        <f t="shared" si="5"/>
        <v>0.11983904286718636</v>
      </c>
      <c r="AN32" s="89">
        <f t="shared" si="5"/>
        <v>0.10136808938146609</v>
      </c>
      <c r="AO32" s="89">
        <f t="shared" si="5"/>
        <v>0.11308823190011308</v>
      </c>
    </row>
    <row r="33" spans="1:48"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414"/>
      <c r="Q33" s="414"/>
      <c r="R33" s="414"/>
      <c r="S33" s="414"/>
      <c r="T33" s="414"/>
      <c r="U33" s="93" t="s">
        <v>284</v>
      </c>
      <c r="V33" s="94" t="s">
        <v>285</v>
      </c>
      <c r="W33" s="94" t="s">
        <v>286</v>
      </c>
      <c r="X33" s="94" t="s">
        <v>287</v>
      </c>
      <c r="Y33" s="94" t="s">
        <v>288</v>
      </c>
      <c r="Z33" s="94" t="s">
        <v>289</v>
      </c>
      <c r="AA33" s="94" t="s">
        <v>290</v>
      </c>
      <c r="AB33" s="94" t="s">
        <v>291</v>
      </c>
      <c r="AE33" s="79"/>
      <c r="AF33" s="28" t="str">
        <f>[8]Export!D19</f>
        <v>Shale(2015$/MMBTU)</v>
      </c>
      <c r="AM33" s="30"/>
      <c r="AN33" s="30"/>
    </row>
    <row r="34" spans="1:48"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P34"/>
      <c r="Q34"/>
      <c r="R34"/>
      <c r="S34"/>
      <c r="T34"/>
      <c r="V34"/>
      <c r="AE34" s="79"/>
      <c r="AF34" s="28">
        <f>[8]Export!D20</f>
        <v>2010</v>
      </c>
      <c r="AG34" s="28">
        <f>[8]Export!E20</f>
        <v>2015</v>
      </c>
      <c r="AH34" s="28">
        <f>[8]Export!F20</f>
        <v>2020</v>
      </c>
      <c r="AI34" s="28">
        <f>[8]Export!G20</f>
        <v>2030</v>
      </c>
      <c r="AJ34" s="28">
        <f>[8]Export!H20</f>
        <v>2050</v>
      </c>
      <c r="AK34" s="28">
        <f>AF34</f>
        <v>2010</v>
      </c>
      <c r="AL34" s="28">
        <f>AG34</f>
        <v>2015</v>
      </c>
      <c r="AM34" s="28">
        <f>AH34</f>
        <v>2020</v>
      </c>
      <c r="AN34" s="28">
        <f>AI34</f>
        <v>2030</v>
      </c>
      <c r="AO34" s="28">
        <f>AJ34</f>
        <v>2050</v>
      </c>
    </row>
    <row r="35" spans="1:48" ht="13.5" customHeight="1" thickBot="1" x14ac:dyDescent="0.3">
      <c r="C35" s="30"/>
      <c r="D35" s="99" t="s">
        <v>292</v>
      </c>
      <c r="O35" s="100" t="s">
        <v>293</v>
      </c>
      <c r="P35" s="100"/>
      <c r="Q35" s="100"/>
      <c r="R35" s="100"/>
      <c r="S35" s="100"/>
      <c r="T35" s="100"/>
      <c r="U35" s="100"/>
      <c r="V35" s="100"/>
      <c r="W35" s="100"/>
      <c r="X35" s="100"/>
      <c r="Y35" s="101"/>
      <c r="AA35" s="102" t="s">
        <v>2</v>
      </c>
      <c r="AE35" s="79">
        <f>[8]Export!C21</f>
        <v>0.05</v>
      </c>
      <c r="AF35" s="75">
        <f>[8]Export!D21</f>
        <v>8.0869454986247469</v>
      </c>
      <c r="AG35" s="75">
        <f>[8]Export!E21</f>
        <v>6.7049296712283812</v>
      </c>
      <c r="AH35" s="75">
        <f>[8]Export!F21</f>
        <v>4.7692975220111435</v>
      </c>
      <c r="AI35" s="75">
        <f>[8]Export!G21</f>
        <v>4.9613919398112687</v>
      </c>
      <c r="AJ35" s="75">
        <f>[8]Export!H21</f>
        <v>4.5057574706483354</v>
      </c>
      <c r="AK35" s="103">
        <f>AF35/AF21</f>
        <v>9.5406013246429139E-2</v>
      </c>
      <c r="AL35" s="103">
        <f t="shared" ref="AL35:AO39" si="7">AG35/AG21</f>
        <v>0.13146920923977218</v>
      </c>
      <c r="AM35" s="103">
        <f t="shared" si="7"/>
        <v>6.5050347931462568E-2</v>
      </c>
      <c r="AN35" s="103">
        <f t="shared" si="7"/>
        <v>5.0315644582475838E-2</v>
      </c>
      <c r="AO35" s="103">
        <f t="shared" si="7"/>
        <v>4.1851649460138717E-2</v>
      </c>
    </row>
    <row r="36" spans="1:48" ht="13.5" customHeight="1" x14ac:dyDescent="0.25">
      <c r="A36" s="29" t="s">
        <v>294</v>
      </c>
      <c r="C36" s="30"/>
      <c r="D36" s="60" t="str">
        <f>D16</f>
        <v>Stated Policies</v>
      </c>
      <c r="F36" s="30"/>
      <c r="G36" s="30"/>
      <c r="J36" s="28" t="s">
        <v>296</v>
      </c>
      <c r="O36" s="104" t="s">
        <v>297</v>
      </c>
      <c r="P36" s="222"/>
      <c r="Q36" s="222"/>
      <c r="R36" s="222"/>
      <c r="S36" s="222"/>
      <c r="T36" s="222"/>
      <c r="U36" s="52" t="s">
        <v>298</v>
      </c>
      <c r="V36" s="52" t="s">
        <v>299</v>
      </c>
      <c r="W36" s="105" t="str">
        <f>M16</f>
        <v>Net Zero</v>
      </c>
      <c r="X36" s="52" t="str">
        <f>M17</f>
        <v>Announced Pledges</v>
      </c>
      <c r="Y36" s="52" t="str">
        <f>M18</f>
        <v>Stated Policies</v>
      </c>
      <c r="Z36" s="28" t="s">
        <v>295</v>
      </c>
      <c r="AA36" s="106"/>
      <c r="AE36" s="79">
        <f>[8]Export!C22</f>
        <v>0.25</v>
      </c>
      <c r="AF36" s="75">
        <f>[8]Export!D22</f>
        <v>8.1465330338997113</v>
      </c>
      <c r="AG36" s="75">
        <f>[8]Export!E22</f>
        <v>8.2025938686525883</v>
      </c>
      <c r="AH36" s="75">
        <f>[8]Export!F22</f>
        <v>7.3517748968881653</v>
      </c>
      <c r="AI36" s="75">
        <f>[8]Export!G22</f>
        <v>8.120572408201209</v>
      </c>
      <c r="AJ36" s="75">
        <f>[8]Export!H22</f>
        <v>7.4201738278995295</v>
      </c>
      <c r="AK36" s="103">
        <f>AF36/AF22</f>
        <v>9.6108999210750529E-2</v>
      </c>
      <c r="AL36" s="103">
        <f t="shared" si="7"/>
        <v>0.16083517389514879</v>
      </c>
      <c r="AM36" s="103">
        <f t="shared" si="7"/>
        <v>9.6884356011299161E-2</v>
      </c>
      <c r="AN36" s="103">
        <f t="shared" si="7"/>
        <v>7.8255284545722933E-2</v>
      </c>
      <c r="AO36" s="103">
        <f t="shared" si="7"/>
        <v>6.3572804569502081E-2</v>
      </c>
    </row>
    <row r="37" spans="1:48" ht="13.5" customHeight="1" x14ac:dyDescent="0.25">
      <c r="A37" s="107" t="str">
        <f>NameConv!B25</f>
        <v>Gas Indigenous Ibhubezi</v>
      </c>
      <c r="C37" s="30" t="str">
        <f>B65</f>
        <v>MINGIB</v>
      </c>
      <c r="D37" s="30" t="str">
        <f>VLOOKUP(A37,FuelNames,2,FALSE)</f>
        <v>GIB</v>
      </c>
      <c r="E37" s="108">
        <f t="shared" ref="E37:E42" si="8">SUMIF($O$36:$Z$36,$D$36,O37:Z37)</f>
        <v>0.10454194041570421</v>
      </c>
      <c r="F37" s="45">
        <f t="shared" ref="F37:F42" si="9">($E37*F$16+$AA37)*F$15/1.055</f>
        <v>117.73934470134871</v>
      </c>
      <c r="G37" s="45">
        <f t="shared" ref="G37:I42" si="10">IF($J37,($E37*G$16+$AA37)*G$15/1.055,F37)</f>
        <v>121.47218561739591</v>
      </c>
      <c r="H37" s="45">
        <f t="shared" si="10"/>
        <v>111.49620902079818</v>
      </c>
      <c r="I37" s="45">
        <f t="shared" si="10"/>
        <v>142.01096096333239</v>
      </c>
      <c r="J37" s="109">
        <v>1</v>
      </c>
      <c r="O37" s="110">
        <v>7.0000000000000007E-2</v>
      </c>
      <c r="P37" s="415"/>
      <c r="Q37" s="415"/>
      <c r="R37" s="415"/>
      <c r="S37" s="415"/>
      <c r="T37" s="415"/>
      <c r="U37" s="89">
        <f>(O37+V37)/2</f>
        <v>9.5000000000000001E-2</v>
      </c>
      <c r="V37" s="111">
        <v>0.12</v>
      </c>
      <c r="W37" s="112">
        <f t="shared" ref="W37:Y40" si="11">$Z37</f>
        <v>0.10454194041570421</v>
      </c>
      <c r="X37" s="112">
        <f t="shared" si="11"/>
        <v>0.10454194041570421</v>
      </c>
      <c r="Y37" s="112">
        <f t="shared" si="11"/>
        <v>0.10454194041570421</v>
      </c>
      <c r="Z37" s="89">
        <f>$Z$41-1%</f>
        <v>0.10454194041570421</v>
      </c>
      <c r="AA37" s="106"/>
      <c r="AE37" s="79">
        <f>[8]Export!C23</f>
        <v>0.5</v>
      </c>
      <c r="AF37" s="75">
        <f>[8]Export!D23</f>
        <v>8.1881379396328526</v>
      </c>
      <c r="AG37" s="75">
        <f>[8]Export!E23</f>
        <v>9.39276444788484</v>
      </c>
      <c r="AH37" s="75">
        <f>[8]Export!F23</f>
        <v>10.773557760174372</v>
      </c>
      <c r="AI37" s="75">
        <f>[8]Export!G23</f>
        <v>10.8172157152895</v>
      </c>
      <c r="AJ37" s="75">
        <f>[8]Export!H23</f>
        <v>10.88496798036755</v>
      </c>
      <c r="AK37" s="103">
        <f>AF37/AF23</f>
        <v>9.659983449437741E-2</v>
      </c>
      <c r="AL37" s="103">
        <f t="shared" si="7"/>
        <v>0.1841718519193106</v>
      </c>
      <c r="AM37" s="103">
        <f t="shared" si="7"/>
        <v>0.13703360826541466</v>
      </c>
      <c r="AN37" s="89">
        <f t="shared" si="7"/>
        <v>0.10068731146567374</v>
      </c>
      <c r="AO37" s="103">
        <f t="shared" si="7"/>
        <v>8.673811427360506E-2</v>
      </c>
    </row>
    <row r="38" spans="1:48"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415"/>
      <c r="Q38" s="415"/>
      <c r="R38" s="415"/>
      <c r="S38" s="415"/>
      <c r="T38" s="415"/>
      <c r="U38" s="89">
        <f>(O38+V38)/2</f>
        <v>8.5000000000000006E-2</v>
      </c>
      <c r="V38" s="113">
        <v>0.1</v>
      </c>
      <c r="W38" s="112">
        <f t="shared" si="11"/>
        <v>9.4541940415704198E-2</v>
      </c>
      <c r="X38" s="112">
        <f t="shared" si="11"/>
        <v>9.4541940415704198E-2</v>
      </c>
      <c r="Y38" s="112">
        <f t="shared" si="11"/>
        <v>9.4541940415704198E-2</v>
      </c>
      <c r="Z38" s="89">
        <f>Z41-2%</f>
        <v>9.4541940415704198E-2</v>
      </c>
      <c r="AA38" s="106"/>
      <c r="AE38" s="79">
        <f>[8]Export!C24</f>
        <v>0.75</v>
      </c>
      <c r="AF38" s="75">
        <f>[8]Export!D24</f>
        <v>8.2301326312875958</v>
      </c>
      <c r="AG38" s="75">
        <f>[8]Export!E24</f>
        <v>10.507400823250775</v>
      </c>
      <c r="AH38" s="75">
        <f>[8]Export!F24</f>
        <v>14.3817212159371</v>
      </c>
      <c r="AI38" s="75">
        <f>[8]Export!G24</f>
        <v>13.406527739419724</v>
      </c>
      <c r="AJ38" s="75">
        <f>[8]Export!H24</f>
        <v>13.997003925763375</v>
      </c>
      <c r="AK38" s="103">
        <f>AF38/AF24</f>
        <v>9.7095268290607814E-2</v>
      </c>
      <c r="AL38" s="103">
        <f t="shared" si="7"/>
        <v>0.2060274671225642</v>
      </c>
      <c r="AM38" s="103">
        <f t="shared" si="7"/>
        <v>0.17733688995837979</v>
      </c>
      <c r="AN38" s="103">
        <f t="shared" si="7"/>
        <v>0.11681928384917907</v>
      </c>
      <c r="AO38" s="103">
        <f t="shared" si="7"/>
        <v>0.10575096226952878</v>
      </c>
    </row>
    <row r="39" spans="1:48"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415"/>
      <c r="Q39" s="415"/>
      <c r="R39" s="415"/>
      <c r="S39" s="415"/>
      <c r="T39" s="415"/>
      <c r="U39" s="89">
        <f>(O39+V39)/2</f>
        <v>0.08</v>
      </c>
      <c r="V39" s="113">
        <v>0.1</v>
      </c>
      <c r="W39" s="112">
        <f t="shared" si="11"/>
        <v>0.10068731146567374</v>
      </c>
      <c r="X39" s="112">
        <f t="shared" si="11"/>
        <v>0.10068731146567374</v>
      </c>
      <c r="Y39" s="112">
        <f t="shared" si="11"/>
        <v>0.10068731146567374</v>
      </c>
      <c r="Z39" s="114">
        <f>AN37</f>
        <v>0.10068731146567374</v>
      </c>
      <c r="AA39" s="106"/>
      <c r="AE39" s="79">
        <f>[8]Export!C25</f>
        <v>0.95</v>
      </c>
      <c r="AF39" s="75">
        <f>[8]Export!D25</f>
        <v>8.2818014980867112</v>
      </c>
      <c r="AG39" s="75">
        <f>[8]Export!E25</f>
        <v>12.017743499367629</v>
      </c>
      <c r="AH39" s="75">
        <f>[8]Export!F25</f>
        <v>16.91401912191181</v>
      </c>
      <c r="AI39" s="75">
        <f>[8]Export!G25</f>
        <v>16.545164815873392</v>
      </c>
      <c r="AJ39" s="75">
        <f>[8]Export!H25</f>
        <v>16.813949721541967</v>
      </c>
      <c r="AK39" s="103">
        <f>AF39/AF25</f>
        <v>9.770483349555481E-2</v>
      </c>
      <c r="AL39" s="103">
        <f t="shared" si="7"/>
        <v>0.23564202939936529</v>
      </c>
      <c r="AM39" s="103">
        <f t="shared" si="7"/>
        <v>0.20085327645787579</v>
      </c>
      <c r="AN39" s="103">
        <f t="shared" si="7"/>
        <v>0.13046207754179073</v>
      </c>
      <c r="AO39" s="103">
        <f t="shared" si="7"/>
        <v>0.11902978755317412</v>
      </c>
    </row>
    <row r="40" spans="1:48"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415"/>
      <c r="Q40" s="415"/>
      <c r="R40" s="415"/>
      <c r="S40" s="415"/>
      <c r="T40" s="415"/>
      <c r="U40" s="89">
        <f>(O40+V40)/2</f>
        <v>5.5E-2</v>
      </c>
      <c r="V40" s="113">
        <v>0.08</v>
      </c>
      <c r="W40" s="112">
        <f t="shared" si="11"/>
        <v>0.10454194041570421</v>
      </c>
      <c r="X40" s="112">
        <f t="shared" si="11"/>
        <v>0.10454194041570421</v>
      </c>
      <c r="Y40" s="112">
        <f t="shared" si="11"/>
        <v>0.10454194041570421</v>
      </c>
      <c r="Z40" s="89">
        <f>$Z$41-1%</f>
        <v>0.10454194041570421</v>
      </c>
      <c r="AA40" s="106"/>
    </row>
    <row r="41" spans="1:48"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415"/>
      <c r="Q41" s="415"/>
      <c r="R41" s="415"/>
      <c r="S41" s="415"/>
      <c r="T41" s="415"/>
      <c r="U41" s="116"/>
      <c r="V41" s="113">
        <v>0.16</v>
      </c>
      <c r="W41" s="112">
        <f>AVERAGE(IEA_WEO!DL108:DM108)</f>
        <v>0.1919642857142857</v>
      </c>
      <c r="X41" s="117">
        <f>AVERAGE(IEA_WEO!DN108:DO108)</f>
        <v>0.13276041666666666</v>
      </c>
      <c r="Y41" s="117">
        <f>AVERAGE(IEA_WEO!DP108:DQ108)</f>
        <v>0.12225288831835687</v>
      </c>
      <c r="Z41" s="114">
        <f>AVERAGE(AK30:AO30)</f>
        <v>0.1145419404157042</v>
      </c>
      <c r="AA41" s="118">
        <v>0.4</v>
      </c>
    </row>
    <row r="42" spans="1:48"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416"/>
      <c r="Q42" s="416"/>
      <c r="R42" s="416"/>
      <c r="S42" s="416"/>
      <c r="T42" s="416"/>
      <c r="U42" s="120"/>
      <c r="V42" s="121">
        <v>0.16</v>
      </c>
      <c r="W42" s="122">
        <f>W41</f>
        <v>0.1919642857142857</v>
      </c>
      <c r="X42" s="123">
        <f>X41</f>
        <v>0.13276041666666666</v>
      </c>
      <c r="Y42" s="123">
        <f>Y41</f>
        <v>0.12225288831835687</v>
      </c>
      <c r="Z42" s="114">
        <f>Z41</f>
        <v>0.1145419404157042</v>
      </c>
      <c r="AA42" s="124">
        <v>0.8</v>
      </c>
      <c r="AE42" s="28" t="s">
        <v>301</v>
      </c>
    </row>
    <row r="43" spans="1:48" ht="13.5" customHeight="1" x14ac:dyDescent="0.25">
      <c r="C43" s="30"/>
      <c r="D43" s="30"/>
      <c r="E43" s="30"/>
      <c r="F43" s="30"/>
      <c r="G43" s="30"/>
      <c r="H43" s="30"/>
      <c r="I43" s="30"/>
      <c r="J43" s="125"/>
      <c r="K43" s="125"/>
      <c r="L43" s="125"/>
      <c r="N43"/>
      <c r="AD43" s="126"/>
      <c r="AE43" s="127"/>
      <c r="AF43" s="127" t="s">
        <v>302</v>
      </c>
      <c r="AG43" s="127">
        <v>2010</v>
      </c>
      <c r="AH43" s="127">
        <v>2020</v>
      </c>
      <c r="AI43" s="127">
        <v>2025</v>
      </c>
      <c r="AJ43" s="127">
        <v>2030</v>
      </c>
      <c r="AK43" s="127">
        <v>2035</v>
      </c>
      <c r="AL43" s="127">
        <v>2040</v>
      </c>
      <c r="AM43" s="127">
        <v>2045</v>
      </c>
      <c r="AN43" s="127">
        <v>2050</v>
      </c>
      <c r="AO43" s="28">
        <f>AG43</f>
        <v>2010</v>
      </c>
      <c r="AP43" s="28">
        <f t="shared" ref="AP43:AV43" si="12">AH43</f>
        <v>2020</v>
      </c>
      <c r="AQ43" s="28">
        <f t="shared" si="12"/>
        <v>2025</v>
      </c>
      <c r="AR43" s="28">
        <f t="shared" si="12"/>
        <v>2030</v>
      </c>
      <c r="AS43" s="28">
        <f t="shared" si="12"/>
        <v>2035</v>
      </c>
      <c r="AT43" s="28">
        <f t="shared" si="12"/>
        <v>2040</v>
      </c>
      <c r="AU43" s="28">
        <f t="shared" si="12"/>
        <v>2045</v>
      </c>
      <c r="AV43" s="28">
        <f t="shared" si="12"/>
        <v>2050</v>
      </c>
    </row>
    <row r="44" spans="1:48" ht="13.5" customHeight="1" x14ac:dyDescent="0.25">
      <c r="C44" s="30"/>
      <c r="D44" s="30"/>
      <c r="E44" s="30"/>
      <c r="F44" s="30"/>
      <c r="G44" s="30"/>
      <c r="H44" s="30"/>
      <c r="I44" s="30"/>
      <c r="J44" s="125"/>
      <c r="K44" s="125"/>
      <c r="L44" s="125"/>
      <c r="N44"/>
      <c r="AD44" s="128" t="s">
        <v>303</v>
      </c>
      <c r="AF44" s="24" t="s">
        <v>304</v>
      </c>
      <c r="AG44" s="129">
        <v>78</v>
      </c>
      <c r="AH44" s="129">
        <v>118</v>
      </c>
      <c r="AI44" s="129">
        <v>127</v>
      </c>
      <c r="AJ44" s="129">
        <v>134</v>
      </c>
      <c r="AK44" s="129">
        <v>140</v>
      </c>
      <c r="AL44" s="129">
        <v>143</v>
      </c>
      <c r="AM44" s="129">
        <v>146</v>
      </c>
      <c r="AN44" s="129">
        <v>149</v>
      </c>
    </row>
    <row r="45" spans="1:48" ht="15" x14ac:dyDescent="0.25">
      <c r="A45" s="130" t="s">
        <v>305</v>
      </c>
      <c r="B45" s="131" t="s">
        <v>306</v>
      </c>
      <c r="C45" s="132"/>
      <c r="D45" s="133" t="s">
        <v>307</v>
      </c>
      <c r="E45" s="134"/>
      <c r="F45" s="134"/>
      <c r="G45" s="134"/>
      <c r="H45" s="134"/>
      <c r="I45" s="134"/>
      <c r="N45"/>
      <c r="U45"/>
      <c r="AD45"/>
      <c r="AE45" s="127" t="s">
        <v>308</v>
      </c>
      <c r="AF45" s="127" t="s">
        <v>309</v>
      </c>
      <c r="AG45" s="135">
        <v>78</v>
      </c>
      <c r="AH45" s="135">
        <v>97</v>
      </c>
      <c r="AI45" s="135">
        <v>97</v>
      </c>
      <c r="AJ45" s="135">
        <v>97</v>
      </c>
      <c r="AK45" s="135">
        <v>97</v>
      </c>
      <c r="AL45" s="135">
        <v>92</v>
      </c>
      <c r="AM45" s="135">
        <v>89</v>
      </c>
      <c r="AN45" s="135">
        <v>87</v>
      </c>
    </row>
    <row r="46" spans="1:48" ht="15" x14ac:dyDescent="0.25">
      <c r="A46" s="136" t="s">
        <v>238</v>
      </c>
      <c r="B46" s="30" t="s">
        <v>310</v>
      </c>
      <c r="C46" s="45" t="s">
        <v>311</v>
      </c>
      <c r="D46" s="45" t="s">
        <v>312</v>
      </c>
      <c r="E46" s="45" t="s">
        <v>313</v>
      </c>
      <c r="F46" s="45" t="s">
        <v>314</v>
      </c>
      <c r="G46" s="45"/>
      <c r="H46" s="45"/>
      <c r="I46" s="45"/>
      <c r="K46" s="50"/>
      <c r="L46" s="50"/>
      <c r="M46" s="38"/>
      <c r="N46"/>
      <c r="U46"/>
      <c r="AD46" s="128" t="s">
        <v>315</v>
      </c>
      <c r="AF46" s="24" t="s">
        <v>304</v>
      </c>
      <c r="AG46" s="129">
        <v>99</v>
      </c>
      <c r="AH46" s="129">
        <v>109</v>
      </c>
      <c r="AI46" s="129">
        <v>113</v>
      </c>
      <c r="AJ46" s="129">
        <v>116</v>
      </c>
      <c r="AK46" s="129">
        <v>118</v>
      </c>
      <c r="AL46" s="129">
        <v>121</v>
      </c>
      <c r="AM46" s="129">
        <v>123</v>
      </c>
      <c r="AN46" s="129">
        <v>126</v>
      </c>
    </row>
    <row r="47" spans="1:48" ht="15" x14ac:dyDescent="0.25">
      <c r="A47" s="28" t="s">
        <v>240</v>
      </c>
      <c r="B47" s="30" t="s">
        <v>316</v>
      </c>
      <c r="C47" s="45"/>
      <c r="D47" s="45"/>
      <c r="E47" s="45"/>
      <c r="F47" s="45"/>
      <c r="G47" s="45"/>
      <c r="H47" s="50"/>
      <c r="I47" s="50"/>
      <c r="K47" s="50"/>
      <c r="L47" s="50"/>
      <c r="M47" s="38"/>
      <c r="N47"/>
      <c r="U47"/>
      <c r="AD47"/>
      <c r="AE47" s="127" t="s">
        <v>317</v>
      </c>
      <c r="AF47" s="127" t="s">
        <v>309</v>
      </c>
      <c r="AG47" s="135">
        <v>99</v>
      </c>
      <c r="AH47" s="135">
        <v>93</v>
      </c>
      <c r="AI47" s="135">
        <v>83</v>
      </c>
      <c r="AJ47" s="135">
        <v>74</v>
      </c>
      <c r="AK47" s="135">
        <v>68</v>
      </c>
      <c r="AL47" s="135">
        <v>64</v>
      </c>
      <c r="AM47" s="135">
        <v>62</v>
      </c>
      <c r="AN47" s="135">
        <v>60</v>
      </c>
    </row>
    <row r="48" spans="1:48" ht="15" x14ac:dyDescent="0.25">
      <c r="A48" s="28" t="s">
        <v>241</v>
      </c>
      <c r="B48" s="30" t="s">
        <v>318</v>
      </c>
      <c r="C48" s="45"/>
      <c r="D48" s="45"/>
      <c r="E48" s="45"/>
      <c r="F48" s="45"/>
      <c r="G48" s="45"/>
      <c r="H48" s="50"/>
      <c r="I48" s="50"/>
      <c r="K48" s="50"/>
      <c r="L48" s="50"/>
      <c r="M48" s="38"/>
      <c r="N48"/>
      <c r="U48"/>
      <c r="AD48" s="127" t="s">
        <v>319</v>
      </c>
      <c r="AE48"/>
      <c r="AF48" s="24" t="s">
        <v>304</v>
      </c>
      <c r="AG48" s="129">
        <v>4</v>
      </c>
      <c r="AH48" s="129">
        <v>7</v>
      </c>
      <c r="AI48" s="129">
        <v>8</v>
      </c>
      <c r="AJ48" s="129">
        <v>8</v>
      </c>
      <c r="AK48" s="129">
        <v>9</v>
      </c>
      <c r="AL48" s="129">
        <v>9</v>
      </c>
      <c r="AM48" s="129">
        <v>9</v>
      </c>
      <c r="AN48" s="129">
        <v>10</v>
      </c>
    </row>
    <row r="49" spans="1:58" ht="15" x14ac:dyDescent="0.25">
      <c r="A49" s="28" t="s">
        <v>320</v>
      </c>
      <c r="B49" s="30" t="s">
        <v>321</v>
      </c>
      <c r="C49" s="45"/>
      <c r="D49" s="45"/>
      <c r="E49" s="45"/>
      <c r="F49" s="45"/>
      <c r="G49" s="45"/>
      <c r="H49" s="50"/>
      <c r="I49" s="50"/>
      <c r="K49" s="50"/>
      <c r="L49" s="50"/>
      <c r="M49" s="38"/>
      <c r="N49"/>
      <c r="U49"/>
      <c r="AD49"/>
      <c r="AE49" s="127" t="s">
        <v>322</v>
      </c>
      <c r="AF49" s="127" t="s">
        <v>309</v>
      </c>
      <c r="AG49" s="135">
        <v>4</v>
      </c>
      <c r="AH49" s="135">
        <v>7</v>
      </c>
      <c r="AI49" s="135">
        <v>8</v>
      </c>
      <c r="AJ49" s="135">
        <v>8</v>
      </c>
      <c r="AK49" s="135">
        <v>8</v>
      </c>
      <c r="AL49" s="135">
        <v>7</v>
      </c>
      <c r="AM49" s="135">
        <v>7</v>
      </c>
      <c r="AN49" s="135">
        <v>7</v>
      </c>
    </row>
    <row r="50" spans="1:58" ht="15" x14ac:dyDescent="0.25">
      <c r="A50" s="130" t="s">
        <v>323</v>
      </c>
      <c r="B50" s="131" t="s">
        <v>306</v>
      </c>
      <c r="C50" s="45"/>
      <c r="D50" s="45"/>
      <c r="E50" s="45"/>
      <c r="F50" s="45"/>
      <c r="G50" s="45"/>
      <c r="H50" s="50"/>
      <c r="I50" s="50"/>
      <c r="K50" s="50"/>
      <c r="L50" s="50"/>
      <c r="M50" s="38"/>
      <c r="N50" s="38"/>
      <c r="AD50" s="127" t="s">
        <v>324</v>
      </c>
      <c r="AE50"/>
      <c r="AF50" s="24" t="s">
        <v>304</v>
      </c>
      <c r="AG50" s="129">
        <v>7</v>
      </c>
      <c r="AH50" s="129">
        <v>11</v>
      </c>
      <c r="AI50" s="129">
        <v>12</v>
      </c>
      <c r="AJ50" s="129">
        <v>13</v>
      </c>
      <c r="AK50" s="129">
        <v>13</v>
      </c>
      <c r="AL50" s="129">
        <v>13</v>
      </c>
      <c r="AM50" s="129">
        <v>14</v>
      </c>
      <c r="AN50" s="129">
        <v>14</v>
      </c>
    </row>
    <row r="51" spans="1:58" ht="15" x14ac:dyDescent="0.25">
      <c r="A51" s="29" t="s">
        <v>325</v>
      </c>
      <c r="B51" s="30" t="s">
        <v>168</v>
      </c>
      <c r="C51" s="45"/>
      <c r="D51" s="45"/>
      <c r="E51" s="45"/>
      <c r="F51" s="45"/>
      <c r="G51" s="45"/>
      <c r="H51" s="50"/>
      <c r="I51" s="50"/>
      <c r="K51" s="50"/>
      <c r="L51" s="50"/>
      <c r="M51" s="38"/>
      <c r="N51" s="38"/>
      <c r="AB51" t="s">
        <v>326</v>
      </c>
      <c r="AC51">
        <v>0.5</v>
      </c>
      <c r="AE51" s="127" t="s">
        <v>322</v>
      </c>
      <c r="AF51" s="127" t="s">
        <v>309</v>
      </c>
      <c r="AG51" s="135">
        <v>7</v>
      </c>
      <c r="AH51" s="135">
        <v>10</v>
      </c>
      <c r="AI51" s="135">
        <v>10</v>
      </c>
      <c r="AJ51" s="135">
        <v>10</v>
      </c>
      <c r="AK51" s="135">
        <v>9</v>
      </c>
      <c r="AL51" s="135">
        <v>9</v>
      </c>
      <c r="AM51" s="135">
        <v>9</v>
      </c>
      <c r="AN51" s="135">
        <v>8</v>
      </c>
    </row>
    <row r="52" spans="1:58" ht="15" x14ac:dyDescent="0.2">
      <c r="A52" s="29" t="s">
        <v>327</v>
      </c>
      <c r="B52" s="30" t="s">
        <v>166</v>
      </c>
      <c r="C52" s="45"/>
      <c r="D52" s="45"/>
      <c r="E52" s="45" t="s">
        <v>328</v>
      </c>
      <c r="F52" s="45"/>
      <c r="G52" s="45"/>
      <c r="H52" s="50"/>
      <c r="I52" s="50"/>
      <c r="K52" s="50"/>
      <c r="L52" s="50"/>
      <c r="M52" s="38"/>
      <c r="N52" s="38"/>
      <c r="AD52" s="127" t="s">
        <v>329</v>
      </c>
      <c r="AF52" s="24" t="s">
        <v>304</v>
      </c>
      <c r="AG52" s="129">
        <v>11</v>
      </c>
      <c r="AH52" s="129">
        <v>14</v>
      </c>
      <c r="AI52" s="129">
        <v>14</v>
      </c>
      <c r="AJ52" s="129">
        <v>15</v>
      </c>
      <c r="AK52" s="129">
        <v>15</v>
      </c>
      <c r="AL52" s="129">
        <v>15</v>
      </c>
      <c r="AM52" s="129">
        <v>16</v>
      </c>
      <c r="AN52" s="129">
        <v>16</v>
      </c>
    </row>
    <row r="53" spans="1:58" ht="15.75" thickBot="1" x14ac:dyDescent="0.3">
      <c r="A53" s="137"/>
      <c r="B53" s="138"/>
      <c r="C53" s="138"/>
      <c r="D53" s="139"/>
      <c r="E53" s="140"/>
      <c r="F53" s="45"/>
      <c r="G53" s="138"/>
      <c r="H53" s="138"/>
      <c r="I53" s="138"/>
      <c r="K53" s="138"/>
      <c r="L53" s="138"/>
      <c r="M53" s="38"/>
      <c r="N53" s="38"/>
      <c r="AB53" t="str">
        <f>AB51</f>
        <v>weighting</v>
      </c>
      <c r="AC53">
        <v>0.5</v>
      </c>
      <c r="AE53" s="127" t="s">
        <v>322</v>
      </c>
      <c r="AF53" s="127" t="s">
        <v>309</v>
      </c>
      <c r="AG53" s="135">
        <v>11</v>
      </c>
      <c r="AH53" s="135">
        <v>12</v>
      </c>
      <c r="AI53" s="135">
        <v>12</v>
      </c>
      <c r="AJ53" s="135">
        <v>12</v>
      </c>
      <c r="AK53" s="135">
        <v>12</v>
      </c>
      <c r="AL53" s="135">
        <v>12</v>
      </c>
      <c r="AM53" s="135">
        <v>11</v>
      </c>
      <c r="AN53" s="135">
        <v>11</v>
      </c>
    </row>
    <row r="54" spans="1:58" ht="15" x14ac:dyDescent="0.25">
      <c r="C54" s="39"/>
      <c r="D54" s="139" t="s">
        <v>330</v>
      </c>
      <c r="E54" s="141">
        <v>1</v>
      </c>
      <c r="H54" s="39"/>
      <c r="I54" s="39"/>
      <c r="J54" s="39"/>
      <c r="K54" s="38"/>
      <c r="AD54" t="s">
        <v>230</v>
      </c>
      <c r="AF54" s="142" t="str">
        <f>AF52</f>
        <v>6DS</v>
      </c>
      <c r="AG54">
        <f t="shared" ref="AG54:AN55" si="13">AG50*$AC$51+AG52*$AC$53</f>
        <v>9</v>
      </c>
      <c r="AH54">
        <f t="shared" si="13"/>
        <v>12.5</v>
      </c>
      <c r="AI54">
        <f t="shared" si="13"/>
        <v>13</v>
      </c>
      <c r="AJ54">
        <f t="shared" si="13"/>
        <v>14</v>
      </c>
      <c r="AK54">
        <f t="shared" si="13"/>
        <v>14</v>
      </c>
      <c r="AL54">
        <f t="shared" si="13"/>
        <v>14</v>
      </c>
      <c r="AM54">
        <f t="shared" si="13"/>
        <v>15</v>
      </c>
      <c r="AN54">
        <f t="shared" si="13"/>
        <v>15</v>
      </c>
      <c r="AO54" s="89">
        <f>AG54/AG44</f>
        <v>0.11538461538461539</v>
      </c>
      <c r="AP54" s="89">
        <f t="shared" ref="AP54:AV55" si="14">AH54/AH44</f>
        <v>0.1059322033898305</v>
      </c>
      <c r="AQ54" s="89">
        <f t="shared" si="14"/>
        <v>0.10236220472440945</v>
      </c>
      <c r="AR54" s="89">
        <f t="shared" si="14"/>
        <v>0.1044776119402985</v>
      </c>
      <c r="AS54" s="89">
        <f t="shared" si="14"/>
        <v>0.1</v>
      </c>
      <c r="AT54" s="89">
        <f t="shared" si="14"/>
        <v>9.7902097902097904E-2</v>
      </c>
      <c r="AU54" s="89">
        <f t="shared" si="14"/>
        <v>0.10273972602739725</v>
      </c>
      <c r="AV54" s="89">
        <f t="shared" si="14"/>
        <v>0.10067114093959731</v>
      </c>
    </row>
    <row r="55" spans="1:58"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W55" s="296"/>
      <c r="X55" s="296"/>
      <c r="Y55" s="296"/>
      <c r="Z55" s="296"/>
      <c r="AA55" s="296"/>
      <c r="AD55"/>
      <c r="AE55" t="str">
        <f>AE53</f>
        <v>(2010 US$/Mbtu)</v>
      </c>
      <c r="AF55" s="142" t="str">
        <f>AF53</f>
        <v>2DS</v>
      </c>
      <c r="AG55">
        <f t="shared" si="13"/>
        <v>9</v>
      </c>
      <c r="AH55">
        <f t="shared" si="13"/>
        <v>11</v>
      </c>
      <c r="AI55">
        <f t="shared" si="13"/>
        <v>11</v>
      </c>
      <c r="AJ55">
        <f t="shared" si="13"/>
        <v>11</v>
      </c>
      <c r="AK55">
        <f t="shared" si="13"/>
        <v>10.5</v>
      </c>
      <c r="AL55">
        <f t="shared" si="13"/>
        <v>10.5</v>
      </c>
      <c r="AM55">
        <f t="shared" si="13"/>
        <v>10</v>
      </c>
      <c r="AN55">
        <f t="shared" si="13"/>
        <v>9.5</v>
      </c>
      <c r="AO55" s="89">
        <f>AG55/AG45</f>
        <v>0.11538461538461539</v>
      </c>
      <c r="AP55" s="89">
        <f t="shared" si="14"/>
        <v>0.1134020618556701</v>
      </c>
      <c r="AQ55" s="89">
        <f t="shared" si="14"/>
        <v>0.1134020618556701</v>
      </c>
      <c r="AR55" s="89">
        <f t="shared" si="14"/>
        <v>0.1134020618556701</v>
      </c>
      <c r="AS55" s="89">
        <f t="shared" si="14"/>
        <v>0.10824742268041238</v>
      </c>
      <c r="AT55" s="89">
        <f t="shared" si="14"/>
        <v>0.11413043478260869</v>
      </c>
      <c r="AU55" s="89">
        <f t="shared" si="14"/>
        <v>0.11235955056179775</v>
      </c>
      <c r="AV55" s="89">
        <f t="shared" si="14"/>
        <v>0.10919540229885058</v>
      </c>
      <c r="AW55" s="30"/>
    </row>
    <row r="56" spans="1:58"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tr">
        <f>"BNDACT~FX"&amp;$E$52&amp;P57</f>
        <v>BNDACT~FX~0</v>
      </c>
      <c r="Q56" s="386" t="str">
        <f t="shared" ref="Q56:T56" si="17">"BNDACT~FX"&amp;$E$52&amp;Q57</f>
        <v>BNDACT~FX~2020</v>
      </c>
      <c r="R56" s="386" t="str">
        <f t="shared" si="17"/>
        <v>BNDACT~FX~2030</v>
      </c>
      <c r="S56" s="386" t="str">
        <f t="shared" si="17"/>
        <v>BNDACT~FX~2040</v>
      </c>
      <c r="T56" s="386" t="str">
        <f t="shared" si="17"/>
        <v>BNDACT~FX~2050</v>
      </c>
      <c r="U56" s="386" t="s">
        <v>337</v>
      </c>
      <c r="V56" s="386" t="s">
        <v>338</v>
      </c>
      <c r="W56" s="387" t="s">
        <v>1093</v>
      </c>
      <c r="X56" s="387" t="s">
        <v>1094</v>
      </c>
      <c r="Y56" s="145" t="s">
        <v>339</v>
      </c>
      <c r="Z56" s="145" t="s">
        <v>340</v>
      </c>
      <c r="AA56" s="145"/>
      <c r="AB56" s="145"/>
      <c r="AC56" s="145"/>
      <c r="AD56" s="145" t="s">
        <v>341</v>
      </c>
      <c r="AE56" s="145">
        <f t="shared" ref="AE56:AL56" si="18">AVERAGE(AG54:AG55)</f>
        <v>9</v>
      </c>
      <c r="AF56" s="145">
        <f t="shared" si="18"/>
        <v>11.75</v>
      </c>
      <c r="AG56" s="145">
        <f t="shared" si="18"/>
        <v>12</v>
      </c>
      <c r="AH56" s="145">
        <f t="shared" si="18"/>
        <v>12.5</v>
      </c>
      <c r="AI56" s="145">
        <f t="shared" si="18"/>
        <v>12.25</v>
      </c>
      <c r="AJ56" s="145">
        <f t="shared" si="18"/>
        <v>12.25</v>
      </c>
      <c r="AK56" s="145">
        <f t="shared" si="18"/>
        <v>12.5</v>
      </c>
      <c r="AL56" s="145">
        <f t="shared" si="18"/>
        <v>12.25</v>
      </c>
      <c r="AM56" s="146">
        <f t="shared" ref="AM56:AT56" si="19">AE56/AVERAGE(AG44:AG45)</f>
        <v>0.11538461538461539</v>
      </c>
      <c r="AN56" s="146">
        <f t="shared" si="19"/>
        <v>0.10930232558139535</v>
      </c>
      <c r="AO56" s="146">
        <f t="shared" si="19"/>
        <v>0.10714285714285714</v>
      </c>
      <c r="AP56" s="146">
        <f t="shared" si="19"/>
        <v>0.10822510822510822</v>
      </c>
      <c r="AQ56" s="146">
        <f t="shared" si="19"/>
        <v>0.10337552742616034</v>
      </c>
      <c r="AR56" s="146">
        <f t="shared" si="19"/>
        <v>0.10425531914893617</v>
      </c>
      <c r="AS56" s="146">
        <f t="shared" si="19"/>
        <v>0.10638297872340426</v>
      </c>
      <c r="AT56" s="146">
        <f t="shared" si="19"/>
        <v>0.1038135593220339</v>
      </c>
      <c r="AU56" s="145"/>
      <c r="AW56" s="418"/>
      <c r="AX56" s="418"/>
      <c r="AY56" s="418"/>
      <c r="AZ56" s="418"/>
      <c r="BA56" s="418"/>
      <c r="BB56" s="418"/>
      <c r="BC56" s="418"/>
    </row>
    <row r="57" spans="1:58"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v>0</v>
      </c>
      <c r="Q57" s="148">
        <v>2020</v>
      </c>
      <c r="R57" s="148">
        <v>2030</v>
      </c>
      <c r="S57" s="148">
        <v>2040</v>
      </c>
      <c r="T57" s="148">
        <v>2050</v>
      </c>
      <c r="U57" s="148"/>
      <c r="V57" s="148" t="s">
        <v>239</v>
      </c>
      <c r="Y57" s="148"/>
      <c r="Z57" s="148"/>
      <c r="AA57" s="148"/>
      <c r="AB57" s="148"/>
      <c r="AC57" s="149"/>
      <c r="AD57" s="149"/>
      <c r="AE57" s="149"/>
      <c r="AF57" s="149"/>
      <c r="AG57" s="149"/>
      <c r="AH57" s="149"/>
      <c r="AI57" s="149"/>
      <c r="AJ57" s="149"/>
      <c r="AK57" s="149"/>
      <c r="AL57" s="149"/>
      <c r="AM57" s="149"/>
      <c r="AN57" s="149"/>
      <c r="AO57" s="149"/>
      <c r="AP57" s="149"/>
      <c r="AQ57" s="149"/>
      <c r="AR57" s="149"/>
      <c r="AS57" s="149"/>
      <c r="AT57" s="149"/>
      <c r="AU57" s="149"/>
      <c r="AX57" s="419"/>
      <c r="AY57" s="418"/>
      <c r="AZ57" s="418"/>
      <c r="BA57" s="418"/>
      <c r="BB57" s="418"/>
      <c r="BC57" s="418"/>
      <c r="BE57" s="42"/>
      <c r="BF57" s="42"/>
    </row>
    <row r="58" spans="1:58" s="66" customFormat="1" ht="13.5" thickBot="1" x14ac:dyDescent="0.25">
      <c r="A58" s="66" t="s">
        <v>346</v>
      </c>
      <c r="B58" s="150"/>
      <c r="C58" s="150"/>
      <c r="D58" s="150"/>
      <c r="E58" s="150"/>
      <c r="F58" s="67"/>
      <c r="G58" s="67"/>
      <c r="H58" s="140"/>
      <c r="I58" s="140"/>
      <c r="J58" s="140"/>
      <c r="K58" s="151"/>
      <c r="L58" s="151"/>
      <c r="M58" s="151"/>
      <c r="N58" s="151"/>
      <c r="O58" s="151"/>
      <c r="P58" s="151"/>
      <c r="Q58" s="151"/>
      <c r="R58" s="151"/>
      <c r="S58" s="151"/>
      <c r="T58" s="151"/>
      <c r="U58" s="151"/>
      <c r="V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X58" s="152"/>
      <c r="AY58" s="153"/>
      <c r="AZ58" s="153"/>
      <c r="BA58" s="153"/>
      <c r="BB58" s="153"/>
      <c r="BC58" s="153"/>
      <c r="BD58" s="154"/>
      <c r="BE58" s="154"/>
    </row>
    <row r="59" spans="1:58" x14ac:dyDescent="0.2">
      <c r="A59" s="155" t="s">
        <v>347</v>
      </c>
      <c r="B59" s="156"/>
      <c r="C59" s="157"/>
      <c r="D59" s="157"/>
      <c r="E59" s="157"/>
      <c r="F59" s="157"/>
      <c r="G59" s="157"/>
      <c r="H59" s="157"/>
      <c r="I59" s="157"/>
      <c r="J59" s="157"/>
      <c r="K59" s="157"/>
      <c r="L59" s="157"/>
      <c r="M59" s="157"/>
      <c r="N59" s="157"/>
      <c r="O59" s="157"/>
      <c r="P59" s="157"/>
      <c r="Q59" s="157"/>
      <c r="R59" s="157"/>
      <c r="S59" s="157"/>
      <c r="T59" s="157"/>
      <c r="U59" s="157"/>
      <c r="V59" s="157"/>
      <c r="Y59" s="157"/>
      <c r="Z59" s="157"/>
      <c r="AA59" s="157"/>
      <c r="AB59" s="157"/>
      <c r="AC59" s="157"/>
      <c r="AD59" s="157"/>
      <c r="AE59" s="157"/>
      <c r="AF59" s="157"/>
      <c r="AG59" s="157"/>
      <c r="AH59" s="157"/>
      <c r="AI59" s="157"/>
      <c r="AJ59" s="157"/>
      <c r="AK59" s="157"/>
      <c r="AL59" s="157"/>
      <c r="AM59" s="157"/>
      <c r="AN59" s="157"/>
      <c r="AO59" s="157"/>
      <c r="AP59" s="157"/>
      <c r="AQ59" s="157"/>
      <c r="AR59" s="157"/>
      <c r="AS59" s="157"/>
      <c r="AT59" s="157"/>
      <c r="AU59" s="157"/>
      <c r="AV59" s="157"/>
      <c r="AW59" s="157"/>
    </row>
    <row r="60" spans="1:58" ht="15" x14ac:dyDescent="0.25">
      <c r="A60" s="158" t="str">
        <f t="shared" ref="A60:A65" si="20">"Extraction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c r="R60"/>
      <c r="S60"/>
      <c r="T60"/>
      <c r="U60"/>
      <c r="V60" t="str">
        <f>""</f>
        <v/>
      </c>
      <c r="W60" s="379">
        <f>FugitiveEmissions!V140</f>
        <v>3.4182298104635631E-3</v>
      </c>
      <c r="X60" s="379">
        <f>FugitiveEmissions!V141</f>
        <v>1.0719713938661056E-2</v>
      </c>
      <c r="Y60" s="144"/>
      <c r="Z60" s="144"/>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row>
    <row r="61" spans="1:58" ht="15" x14ac:dyDescent="0.25">
      <c r="A61" s="158" t="str">
        <f t="shared" si="20"/>
        <v>Extraction of Coal low grade</v>
      </c>
      <c r="B61" s="30" t="str">
        <f t="shared" ref="B61:B67" si="21">$B$46&amp;D61</f>
        <v>MINCLE</v>
      </c>
      <c r="D61" s="159" t="str">
        <f>NameConv!C14</f>
        <v>CLE</v>
      </c>
      <c r="E61" s="30">
        <v>0</v>
      </c>
      <c r="F61" s="82">
        <f>F60/2</f>
        <v>28.26</v>
      </c>
      <c r="G61" s="82">
        <f>G60/2</f>
        <v>28.26</v>
      </c>
      <c r="H61" s="82">
        <f>G61</f>
        <v>28.26</v>
      </c>
      <c r="I61" s="82">
        <f>H61</f>
        <v>28.26</v>
      </c>
      <c r="J61" s="82"/>
      <c r="K61" s="82"/>
      <c r="L61" s="82"/>
      <c r="M61"/>
      <c r="N61"/>
      <c r="O61"/>
      <c r="P61"/>
      <c r="Q61"/>
      <c r="R61"/>
      <c r="S61"/>
      <c r="T61"/>
      <c r="U61"/>
      <c r="V61" t="str">
        <f>$V$60</f>
        <v/>
      </c>
      <c r="W61" s="379">
        <f>FugitiveEmissions!V135</f>
        <v>3.9065483548155009E-3</v>
      </c>
      <c r="X61" s="379">
        <f>FugitiveEmissions!V136</f>
        <v>1.2251101644184062E-2</v>
      </c>
      <c r="Y61" s="144"/>
      <c r="AA61" s="34"/>
      <c r="AB61" s="35"/>
      <c r="AC61" s="160"/>
      <c r="AD61" s="160"/>
      <c r="AE61" s="160"/>
      <c r="AF61" s="160"/>
      <c r="AG61" s="160"/>
      <c r="AH61" s="160"/>
      <c r="AI61" s="160"/>
      <c r="AJ61" s="160"/>
      <c r="AK61" s="160"/>
      <c r="AL61" s="160"/>
      <c r="AM61" s="160"/>
      <c r="AN61" s="160"/>
      <c r="AO61" s="160"/>
      <c r="AP61" s="160"/>
      <c r="AQ61" s="160"/>
      <c r="AR61" s="160"/>
      <c r="AS61" s="160"/>
      <c r="AT61" s="160"/>
      <c r="AU61" s="160"/>
      <c r="AW61" s="157"/>
    </row>
    <row r="62" spans="1:58" ht="15" x14ac:dyDescent="0.25">
      <c r="A62" s="158" t="str">
        <f t="shared" si="20"/>
        <v>Extraction of Coal Discard</v>
      </c>
      <c r="B62" s="30" t="str">
        <f t="shared" si="21"/>
        <v>MINCLD</v>
      </c>
      <c r="D62" s="159" t="str">
        <f>NameConv!C13</f>
        <v>CLD</v>
      </c>
      <c r="E62" s="30">
        <v>0</v>
      </c>
      <c r="F62" s="82">
        <f>F61/2</f>
        <v>14.13</v>
      </c>
      <c r="G62" s="82">
        <f t="shared" ref="G62:I62" si="22">G61/2</f>
        <v>14.13</v>
      </c>
      <c r="H62" s="82">
        <f t="shared" si="22"/>
        <v>14.13</v>
      </c>
      <c r="I62" s="82">
        <f t="shared" si="22"/>
        <v>14.13</v>
      </c>
      <c r="J62" s="82"/>
      <c r="K62" s="82"/>
      <c r="L62" s="82"/>
      <c r="M62"/>
      <c r="N62"/>
      <c r="O62"/>
      <c r="P62"/>
      <c r="Q62"/>
      <c r="R62"/>
      <c r="S62"/>
      <c r="T62"/>
      <c r="U62"/>
      <c r="V62" t="str">
        <f>$V$60</f>
        <v/>
      </c>
      <c r="AA62" s="35"/>
      <c r="AB62" s="35"/>
      <c r="AC62" s="160"/>
      <c r="AD62" s="160"/>
      <c r="AE62" s="160"/>
      <c r="AF62" s="160"/>
      <c r="AG62" s="160"/>
      <c r="AH62" s="160"/>
      <c r="AI62" s="160"/>
      <c r="AJ62" s="160"/>
      <c r="AK62" s="160"/>
      <c r="AL62" s="160"/>
      <c r="AM62" s="160"/>
      <c r="AN62" s="160"/>
      <c r="AO62" s="160"/>
      <c r="AP62" s="160"/>
      <c r="AQ62" s="160"/>
      <c r="AR62" s="160"/>
      <c r="AS62" s="160"/>
      <c r="AT62" s="160"/>
      <c r="AU62" s="160"/>
      <c r="AW62" s="157"/>
    </row>
    <row r="63" spans="1:58" ht="15" x14ac:dyDescent="0.25">
      <c r="A63" s="158" t="str">
        <f t="shared" si="20"/>
        <v>Extraction of Oil Crude</v>
      </c>
      <c r="B63" s="30" t="str">
        <f t="shared" si="21"/>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3">N63</f>
        <v>0</v>
      </c>
      <c r="P63"/>
      <c r="Q63"/>
      <c r="R63"/>
      <c r="S63"/>
      <c r="T63"/>
      <c r="U63"/>
      <c r="V63" t="str">
        <f>$V$60</f>
        <v/>
      </c>
      <c r="AA63" s="35"/>
      <c r="AB63" s="35"/>
      <c r="AC63" s="160"/>
      <c r="AD63" s="160"/>
      <c r="AE63" s="160"/>
      <c r="AF63" s="160"/>
      <c r="AG63" s="160"/>
      <c r="AH63" s="160"/>
      <c r="AI63" s="160"/>
      <c r="AJ63" s="160"/>
      <c r="AK63" s="160"/>
      <c r="AL63" s="160"/>
      <c r="AM63" s="160"/>
      <c r="AN63" s="160"/>
      <c r="AO63" s="160"/>
      <c r="AP63" s="160"/>
      <c r="AQ63" s="160"/>
      <c r="AR63" s="160"/>
      <c r="AS63" s="160"/>
      <c r="AT63" s="160"/>
      <c r="AU63" s="160"/>
      <c r="AW63" s="157"/>
    </row>
    <row r="64" spans="1:58" ht="15" x14ac:dyDescent="0.25">
      <c r="A64" s="158" t="str">
        <f t="shared" si="20"/>
        <v>Extraction of Coastal Gas</v>
      </c>
      <c r="B64" s="30" t="str">
        <f t="shared" si="21"/>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R64"/>
      <c r="S64"/>
      <c r="T64"/>
      <c r="U64"/>
      <c r="V64"/>
      <c r="AA64" s="35"/>
      <c r="AB64" s="35"/>
      <c r="AC64" s="160"/>
      <c r="AD64" s="160"/>
      <c r="AE64" s="160"/>
      <c r="AF64" s="160"/>
      <c r="AG64" s="160"/>
      <c r="AH64" s="160"/>
      <c r="AI64" s="160"/>
      <c r="AJ64" s="160"/>
      <c r="AK64" s="160"/>
      <c r="AL64" s="160"/>
      <c r="AM64" s="160"/>
      <c r="AN64" s="160"/>
      <c r="AO64" s="160"/>
      <c r="AP64" s="160"/>
      <c r="AQ64" s="160"/>
      <c r="AR64" s="160"/>
      <c r="AS64" s="160"/>
      <c r="AT64" s="160"/>
      <c r="AU64" s="160"/>
      <c r="AW64" s="157"/>
    </row>
    <row r="65" spans="1:56" ht="15" x14ac:dyDescent="0.25">
      <c r="A65" s="158" t="str">
        <f t="shared" si="20"/>
        <v>Extraction of Gas Indigenous Ibhubezi</v>
      </c>
      <c r="B65" s="30" t="str">
        <f t="shared" si="21"/>
        <v>MINGIB</v>
      </c>
      <c r="D65" s="159" t="str">
        <f>NameConv!C25</f>
        <v>GIB</v>
      </c>
      <c r="E65" s="30">
        <v>0</v>
      </c>
      <c r="F65" s="82">
        <f t="shared" ref="F65:I66" si="24">SUMIF($D$37:$D$42,$D65,F$37:F$42)*$E$54</f>
        <v>117.73934470134871</v>
      </c>
      <c r="G65" s="82">
        <f t="shared" si="24"/>
        <v>121.47218561739591</v>
      </c>
      <c r="H65" s="82">
        <f t="shared" si="24"/>
        <v>111.49620902079818</v>
      </c>
      <c r="I65" s="82">
        <f t="shared" si="24"/>
        <v>142.01096096333239</v>
      </c>
      <c r="J65" s="82">
        <v>3</v>
      </c>
      <c r="K65" s="82"/>
      <c r="L65" s="82"/>
      <c r="M65"/>
      <c r="N65">
        <f>80*365/1000</f>
        <v>29.2</v>
      </c>
      <c r="O65"/>
      <c r="P65"/>
      <c r="Q65"/>
      <c r="R65"/>
      <c r="S65"/>
      <c r="T65"/>
      <c r="U65">
        <v>2025</v>
      </c>
      <c r="V65">
        <f>544*1.055</f>
        <v>573.91999999999996</v>
      </c>
      <c r="AA65" s="35"/>
      <c r="AB65" s="35"/>
      <c r="AC65" s="160"/>
      <c r="AD65" s="160"/>
      <c r="AE65" s="160"/>
      <c r="AF65" s="160"/>
      <c r="AG65" s="160"/>
      <c r="AH65" s="160"/>
      <c r="AI65" s="160"/>
      <c r="AJ65" s="160"/>
      <c r="AK65" s="160"/>
      <c r="AL65" s="160"/>
      <c r="AM65" s="160"/>
      <c r="AN65" s="160"/>
      <c r="AO65" s="160"/>
      <c r="AP65" s="160"/>
      <c r="AQ65" s="160"/>
      <c r="AR65" s="160"/>
      <c r="AS65" s="160"/>
      <c r="AT65" s="160"/>
      <c r="AU65" s="160"/>
      <c r="AW65" s="157"/>
    </row>
    <row r="66" spans="1:56" ht="15" x14ac:dyDescent="0.25">
      <c r="A66" s="158" t="s">
        <v>348</v>
      </c>
      <c r="B66" s="30" t="str">
        <f>$B$46&amp;D66</f>
        <v>MINGAS</v>
      </c>
      <c r="D66" s="159" t="str">
        <f>NameConv!C19</f>
        <v>GAS</v>
      </c>
      <c r="E66" s="30">
        <v>0</v>
      </c>
      <c r="F66" s="82">
        <f t="shared" si="24"/>
        <v>106.47694185774681</v>
      </c>
      <c r="G66" s="82">
        <f t="shared" si="24"/>
        <v>106.47694185774681</v>
      </c>
      <c r="H66" s="82">
        <f t="shared" si="24"/>
        <v>106.47694185774681</v>
      </c>
      <c r="I66" s="82">
        <f t="shared" si="24"/>
        <v>106.47694185774681</v>
      </c>
      <c r="J66" s="82">
        <v>3</v>
      </c>
      <c r="K66" s="82">
        <v>0</v>
      </c>
      <c r="L66" s="82"/>
      <c r="M66"/>
      <c r="N66"/>
      <c r="O66"/>
      <c r="P66"/>
      <c r="Q66"/>
      <c r="R66"/>
      <c r="S66"/>
      <c r="T66"/>
      <c r="U66">
        <v>2030</v>
      </c>
      <c r="V66">
        <v>6100</v>
      </c>
      <c r="AA66" s="35"/>
      <c r="AB66" s="35"/>
      <c r="AC66" s="160"/>
      <c r="AD66" s="160"/>
      <c r="AE66" s="160"/>
      <c r="AF66" s="160"/>
      <c r="AG66" s="160"/>
      <c r="AH66" s="160"/>
      <c r="AI66" s="160"/>
      <c r="AJ66" s="160"/>
      <c r="AK66" s="160"/>
      <c r="AL66" s="160"/>
      <c r="AM66" s="160"/>
      <c r="AN66" s="160"/>
      <c r="AO66" s="160"/>
      <c r="AP66" s="160"/>
      <c r="AQ66" s="160"/>
      <c r="AR66" s="160"/>
      <c r="AS66" s="160"/>
      <c r="AT66" s="160"/>
      <c r="AU66" s="160"/>
      <c r="AW66" s="157"/>
    </row>
    <row r="67" spans="1:56" ht="15" x14ac:dyDescent="0.25">
      <c r="A67" s="158" t="str">
        <f>"Extraction of "&amp;INDEX(FuelNamesLong,MATCH(D67,FuelNamesShort,0))</f>
        <v>Extraction of Gas Indigenous Shale</v>
      </c>
      <c r="B67" s="30" t="str">
        <f t="shared" si="21"/>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c r="Q67"/>
      <c r="R67"/>
      <c r="S67"/>
      <c r="T67"/>
      <c r="U67">
        <v>2027</v>
      </c>
      <c r="V67">
        <v>40000</v>
      </c>
      <c r="AA67" s="35"/>
      <c r="AB67" s="35"/>
      <c r="AC67" s="160"/>
      <c r="AD67" s="160"/>
      <c r="AE67" s="160"/>
      <c r="AF67" s="160"/>
      <c r="AG67" s="160"/>
      <c r="AH67" s="160"/>
      <c r="AI67" s="160"/>
      <c r="AJ67" s="160"/>
      <c r="AK67" s="160"/>
      <c r="AL67" s="160"/>
      <c r="AM67" s="160"/>
      <c r="AN67" s="160"/>
      <c r="AO67" s="160"/>
      <c r="AP67" s="160"/>
      <c r="AQ67" s="160"/>
      <c r="AR67" s="160"/>
      <c r="AS67" s="160"/>
      <c r="AT67" s="160"/>
      <c r="AU67" s="160"/>
      <c r="AW67" s="157"/>
    </row>
    <row r="68" spans="1:56" ht="15" x14ac:dyDescent="0.25">
      <c r="A68" s="155" t="s">
        <v>349</v>
      </c>
      <c r="B68" s="30"/>
      <c r="D68" s="159"/>
      <c r="F68" s="82"/>
      <c r="G68" s="82"/>
      <c r="H68" s="82"/>
      <c r="I68" s="82"/>
      <c r="J68" s="82"/>
      <c r="K68" s="82"/>
      <c r="L68" s="82"/>
      <c r="M68"/>
      <c r="N68"/>
      <c r="O68"/>
      <c r="P68"/>
      <c r="Q68"/>
      <c r="R68"/>
      <c r="S68"/>
      <c r="T68"/>
      <c r="U68"/>
      <c r="V68"/>
      <c r="AA68" s="35"/>
      <c r="AB68" s="35"/>
      <c r="AC68" s="35"/>
      <c r="AD68" s="35"/>
      <c r="AE68" s="35"/>
      <c r="AF68" s="35"/>
      <c r="AG68" s="35"/>
      <c r="AH68" s="35"/>
      <c r="AI68" s="160"/>
      <c r="AJ68" s="160"/>
      <c r="AK68" s="160"/>
      <c r="AL68" s="160"/>
      <c r="AM68" s="160"/>
      <c r="AN68" s="160"/>
      <c r="AO68" s="160"/>
      <c r="AP68" s="160"/>
      <c r="AQ68" s="160"/>
      <c r="AR68" s="160"/>
      <c r="AS68" s="160"/>
      <c r="AT68" s="160"/>
      <c r="AU68" s="160"/>
      <c r="AV68" s="160"/>
      <c r="AW68" s="160"/>
      <c r="AX68" s="160"/>
      <c r="AY68" s="160"/>
      <c r="AZ68" s="160"/>
      <c r="BA68" s="160"/>
      <c r="BB68" s="160"/>
      <c r="BD68" s="157"/>
    </row>
    <row r="69" spans="1:56" ht="15" x14ac:dyDescent="0.25">
      <c r="A69" s="158" t="str">
        <f t="shared" ref="A69:A76" si="25">"Extraction of "&amp;INDEX(FuelNamesLong,MATCH(D69,FuelNamesShort,0))</f>
        <v>Extraction of Biogas</v>
      </c>
      <c r="B69" s="30" t="str">
        <f t="shared" ref="B69:B75" si="26">$B$46&amp;D69</f>
        <v>MINBIG</v>
      </c>
      <c r="D69" s="159" t="str">
        <f>NameConv!C5</f>
        <v>BIG</v>
      </c>
      <c r="E69" s="30">
        <v>0</v>
      </c>
      <c r="F69" s="82">
        <f>F71</f>
        <v>59.346000000000004</v>
      </c>
      <c r="G69" s="82">
        <f t="shared" ref="G69:I69" si="27">G71</f>
        <v>59.346000000000004</v>
      </c>
      <c r="H69" s="82">
        <f t="shared" si="27"/>
        <v>59.346000000000004</v>
      </c>
      <c r="I69" s="82">
        <f t="shared" si="27"/>
        <v>59.346000000000004</v>
      </c>
      <c r="J69" s="82"/>
      <c r="K69" s="82"/>
      <c r="L69" s="82"/>
      <c r="M69"/>
      <c r="N69"/>
      <c r="O69"/>
      <c r="P69"/>
      <c r="Q69"/>
      <c r="R69"/>
      <c r="S69"/>
      <c r="T69"/>
      <c r="U69"/>
      <c r="V69" t="str">
        <f t="shared" ref="V69:V76" si="28">$V$60</f>
        <v/>
      </c>
      <c r="AA69" s="35"/>
      <c r="AB69" s="35"/>
      <c r="AC69" s="35"/>
      <c r="AD69" s="35"/>
      <c r="AE69" s="35"/>
      <c r="AF69" s="35"/>
      <c r="AG69" s="35"/>
      <c r="AH69" s="35"/>
      <c r="AI69" s="160"/>
      <c r="AJ69" s="160"/>
      <c r="AK69" s="160"/>
      <c r="AL69" s="160"/>
      <c r="AM69" s="160"/>
      <c r="AN69" s="160"/>
      <c r="AO69" s="160"/>
      <c r="AP69" s="160"/>
      <c r="AQ69" s="160"/>
      <c r="AR69" s="160"/>
      <c r="AS69" s="160"/>
      <c r="AT69" s="160"/>
      <c r="AU69" s="160"/>
      <c r="AV69" s="160"/>
      <c r="AW69" s="160"/>
      <c r="AX69" s="160"/>
      <c r="AY69" s="160"/>
      <c r="AZ69" s="160"/>
      <c r="BA69" s="160"/>
      <c r="BB69" s="160"/>
      <c r="BD69" s="157"/>
    </row>
    <row r="70" spans="1:56" ht="15" x14ac:dyDescent="0.25">
      <c r="A70" s="158" t="str">
        <f t="shared" si="25"/>
        <v>Extraction of Biomass bagasse</v>
      </c>
      <c r="B70" s="30" t="str">
        <f t="shared" si="26"/>
        <v>MINBIB</v>
      </c>
      <c r="D70" s="159" t="str">
        <f>NameConv!C8</f>
        <v>BIB</v>
      </c>
      <c r="E70" s="30">
        <v>0</v>
      </c>
      <c r="F70" s="82">
        <f>F60</f>
        <v>56.52</v>
      </c>
      <c r="G70" s="82">
        <f>F70</f>
        <v>56.52</v>
      </c>
      <c r="H70" s="82">
        <f>G70</f>
        <v>56.52</v>
      </c>
      <c r="I70" s="82">
        <f>H70</f>
        <v>56.52</v>
      </c>
      <c r="J70" s="82"/>
      <c r="K70" s="82"/>
      <c r="L70" s="82"/>
      <c r="M70"/>
      <c r="N70"/>
      <c r="O70"/>
      <c r="P70"/>
      <c r="Q70"/>
      <c r="R70"/>
      <c r="S70"/>
      <c r="T70"/>
      <c r="U70"/>
      <c r="V70" t="str">
        <f t="shared" si="28"/>
        <v/>
      </c>
      <c r="AA70" s="35"/>
      <c r="AB70" s="35"/>
      <c r="AC70" s="35"/>
      <c r="AD70" s="35"/>
      <c r="AE70" s="35"/>
      <c r="AF70" s="35"/>
      <c r="AG70" s="35"/>
      <c r="AH70" s="35"/>
      <c r="AI70" s="160"/>
      <c r="AJ70" s="160"/>
      <c r="AK70" s="160"/>
      <c r="AL70" s="160"/>
      <c r="AM70" s="160"/>
      <c r="AN70" s="160"/>
      <c r="AO70" s="160"/>
      <c r="AP70" s="160"/>
      <c r="AQ70" s="160"/>
      <c r="AR70" s="160"/>
      <c r="AS70" s="160"/>
      <c r="AT70" s="160"/>
      <c r="AU70" s="160"/>
      <c r="AV70" s="160"/>
      <c r="AW70" s="160"/>
      <c r="AX70" s="160"/>
      <c r="AY70" s="160"/>
      <c r="AZ70" s="160"/>
      <c r="BA70" s="160"/>
      <c r="BB70" s="160"/>
      <c r="BD70" s="157"/>
    </row>
    <row r="71" spans="1:56" ht="15" x14ac:dyDescent="0.25">
      <c r="A71" s="158" t="str">
        <f t="shared" si="25"/>
        <v>Extraction of Biomass Other</v>
      </c>
      <c r="B71" s="30" t="str">
        <f t="shared" si="26"/>
        <v>MINBIO</v>
      </c>
      <c r="D71" s="159" t="str">
        <f>NameConv!C9</f>
        <v>BIO</v>
      </c>
      <c r="E71" s="30">
        <v>0</v>
      </c>
      <c r="F71" s="82">
        <f t="shared" ref="F71:I71" si="29">F60*1.05</f>
        <v>59.346000000000004</v>
      </c>
      <c r="G71" s="82">
        <f t="shared" si="29"/>
        <v>59.346000000000004</v>
      </c>
      <c r="H71" s="82">
        <f t="shared" si="29"/>
        <v>59.346000000000004</v>
      </c>
      <c r="I71" s="82">
        <f t="shared" si="29"/>
        <v>59.346000000000004</v>
      </c>
      <c r="J71" s="82">
        <v>3</v>
      </c>
      <c r="K71" s="82">
        <v>167</v>
      </c>
      <c r="M71"/>
      <c r="N71"/>
      <c r="O71" s="82">
        <f>K71*1.5</f>
        <v>250.5</v>
      </c>
      <c r="P71" s="82"/>
      <c r="Q71" s="82"/>
      <c r="R71" s="82"/>
      <c r="S71" s="82"/>
      <c r="T71" s="82"/>
      <c r="U71"/>
      <c r="V71" t="str">
        <f t="shared" si="28"/>
        <v/>
      </c>
      <c r="AA71" s="35"/>
      <c r="AB71" s="35"/>
      <c r="AC71" s="35"/>
      <c r="AD71" s="35"/>
      <c r="AE71" s="35"/>
      <c r="AF71" s="35"/>
      <c r="AG71" s="35"/>
      <c r="AH71" s="35"/>
      <c r="AI71" s="160"/>
      <c r="AJ71" s="160"/>
      <c r="AK71" s="160"/>
      <c r="AL71" s="160"/>
      <c r="AM71" s="160"/>
      <c r="AN71" s="160"/>
      <c r="AO71" s="160"/>
      <c r="AP71" s="160"/>
      <c r="AQ71" s="160"/>
      <c r="AR71" s="160"/>
      <c r="AS71" s="160"/>
      <c r="AT71" s="160"/>
      <c r="AU71" s="160"/>
      <c r="AV71" s="160"/>
      <c r="AW71" s="160"/>
      <c r="AX71" s="160"/>
      <c r="AY71" s="160"/>
      <c r="AZ71" s="160"/>
      <c r="BA71" s="160"/>
      <c r="BB71" s="160"/>
      <c r="BD71" s="157"/>
    </row>
    <row r="72" spans="1:56" ht="15" x14ac:dyDescent="0.25">
      <c r="A72" s="158" t="str">
        <f t="shared" si="25"/>
        <v>Extraction of Biomass Wood</v>
      </c>
      <c r="B72" s="30" t="str">
        <f t="shared" si="26"/>
        <v>MINBIW</v>
      </c>
      <c r="D72" s="159" t="str">
        <f>NameConv!C10</f>
        <v>BIW</v>
      </c>
      <c r="E72" s="30">
        <v>0</v>
      </c>
      <c r="F72" s="82">
        <f>F60</f>
        <v>56.52</v>
      </c>
      <c r="G72" s="82">
        <f t="shared" ref="G72:I73" si="30">F72</f>
        <v>56.52</v>
      </c>
      <c r="H72" s="82">
        <f t="shared" si="30"/>
        <v>56.52</v>
      </c>
      <c r="I72" s="82">
        <f t="shared" si="30"/>
        <v>56.52</v>
      </c>
      <c r="J72" s="82">
        <v>3</v>
      </c>
      <c r="K72" s="82">
        <v>177</v>
      </c>
      <c r="M72"/>
      <c r="N72"/>
      <c r="O72" s="82">
        <f>K72*1.5</f>
        <v>265.5</v>
      </c>
      <c r="P72" s="82"/>
      <c r="Q72" s="82"/>
      <c r="R72" s="82"/>
      <c r="S72" s="82"/>
      <c r="T72" s="82"/>
      <c r="U72"/>
      <c r="V72" t="str">
        <f t="shared" si="28"/>
        <v/>
      </c>
      <c r="AA72" s="35"/>
      <c r="AB72" s="35"/>
      <c r="AC72" s="35"/>
      <c r="AD72" s="35"/>
      <c r="AE72" s="35"/>
      <c r="AF72" s="35"/>
      <c r="AG72" s="35"/>
      <c r="AH72" s="35"/>
      <c r="AI72" s="160"/>
      <c r="AJ72" s="160"/>
      <c r="AK72" s="160"/>
      <c r="AL72" s="160"/>
      <c r="AM72" s="160"/>
      <c r="AN72" s="160"/>
      <c r="AO72" s="160"/>
      <c r="AP72" s="160"/>
      <c r="AQ72" s="160"/>
      <c r="AR72" s="160"/>
      <c r="AS72" s="160"/>
      <c r="AT72" s="160"/>
      <c r="AU72" s="160"/>
      <c r="AV72" s="160"/>
      <c r="AW72" s="160"/>
      <c r="AX72" s="160"/>
      <c r="AY72" s="160"/>
      <c r="AZ72" s="160"/>
      <c r="BA72" s="160"/>
      <c r="BB72" s="160"/>
      <c r="BD72" s="157"/>
    </row>
    <row r="73" spans="1:56" ht="15" x14ac:dyDescent="0.25">
      <c r="A73" s="158" t="str">
        <f t="shared" si="25"/>
        <v>Extraction of Waste</v>
      </c>
      <c r="B73" s="30" t="str">
        <f>$B$46&amp;D73</f>
        <v>MINWAS</v>
      </c>
      <c r="D73" s="159" t="str">
        <f>NameConv!C47</f>
        <v>WAS</v>
      </c>
      <c r="E73" s="30">
        <v>0</v>
      </c>
      <c r="F73" s="82">
        <v>0</v>
      </c>
      <c r="G73" s="82">
        <f t="shared" si="30"/>
        <v>0</v>
      </c>
      <c r="H73" s="82">
        <f t="shared" si="30"/>
        <v>0</v>
      </c>
      <c r="I73" s="82">
        <f t="shared" si="30"/>
        <v>0</v>
      </c>
      <c r="J73" s="82">
        <v>3</v>
      </c>
      <c r="K73" s="82">
        <v>25</v>
      </c>
      <c r="L73" s="82"/>
      <c r="M73"/>
      <c r="N73"/>
      <c r="O73"/>
      <c r="P73"/>
      <c r="Q73"/>
      <c r="R73"/>
      <c r="S73"/>
      <c r="T73"/>
      <c r="U73"/>
      <c r="V73" t="str">
        <f t="shared" si="28"/>
        <v/>
      </c>
      <c r="AA73" s="35"/>
      <c r="AB73" s="35"/>
      <c r="AC73" s="35"/>
      <c r="AD73" s="35"/>
      <c r="AE73" s="35"/>
      <c r="AF73" s="35"/>
      <c r="AG73" s="35"/>
      <c r="AH73" s="35"/>
      <c r="AI73" s="160"/>
      <c r="AJ73" s="160"/>
      <c r="AK73" s="160"/>
      <c r="AL73" s="160"/>
      <c r="AM73" s="160"/>
      <c r="AN73" s="160"/>
      <c r="AO73" s="160"/>
      <c r="AP73" s="160"/>
      <c r="AQ73" s="160"/>
      <c r="AR73" s="160"/>
      <c r="AS73" s="160"/>
      <c r="AT73" s="160"/>
      <c r="AU73" s="160"/>
      <c r="AV73" s="160"/>
      <c r="AW73" s="160"/>
      <c r="AX73" s="160"/>
      <c r="AY73" s="160"/>
      <c r="AZ73" s="160"/>
      <c r="BA73" s="160"/>
      <c r="BB73" s="160"/>
      <c r="BD73" s="157"/>
    </row>
    <row r="74" spans="1:56" ht="15" x14ac:dyDescent="0.25">
      <c r="A74" s="158" t="str">
        <f t="shared" si="25"/>
        <v>Extraction of Hydro</v>
      </c>
      <c r="B74" s="30" t="str">
        <f>$B$46&amp;D74</f>
        <v>MINHYD</v>
      </c>
      <c r="D74" s="159" t="str">
        <f>NameConv!C33</f>
        <v>HYD</v>
      </c>
      <c r="E74" s="30">
        <v>0</v>
      </c>
      <c r="F74" s="82"/>
      <c r="G74" s="82"/>
      <c r="H74" s="82"/>
      <c r="I74" s="82"/>
      <c r="J74" s="82"/>
      <c r="K74" s="82"/>
      <c r="L74" s="82"/>
      <c r="M74"/>
      <c r="N74"/>
      <c r="O74"/>
      <c r="P74"/>
      <c r="Q74"/>
      <c r="R74"/>
      <c r="S74"/>
      <c r="T74"/>
      <c r="U74"/>
      <c r="V74" t="str">
        <f t="shared" si="28"/>
        <v/>
      </c>
      <c r="AA74" s="35"/>
      <c r="AB74" s="35"/>
      <c r="AC74" s="35"/>
      <c r="AD74" s="35"/>
      <c r="AE74" s="35"/>
      <c r="AF74" s="35"/>
      <c r="AG74" s="35"/>
      <c r="AH74" s="35"/>
      <c r="AI74" s="160"/>
      <c r="AJ74" s="160"/>
      <c r="AK74" s="160"/>
      <c r="AL74" s="160"/>
      <c r="AM74" s="160"/>
      <c r="AN74" s="160"/>
      <c r="AO74" s="160"/>
      <c r="AP74" s="160"/>
      <c r="AQ74" s="160"/>
      <c r="AR74" s="160"/>
      <c r="AS74" s="160"/>
      <c r="AT74" s="160"/>
      <c r="AU74" s="160"/>
      <c r="AV74" s="160"/>
      <c r="AW74" s="160"/>
      <c r="AX74" s="160"/>
      <c r="AY74" s="160"/>
      <c r="AZ74" s="160"/>
      <c r="BA74" s="160"/>
      <c r="BB74" s="160"/>
      <c r="BD74" s="157"/>
    </row>
    <row r="75" spans="1:56" ht="15" x14ac:dyDescent="0.25">
      <c r="A75" s="158" t="str">
        <f t="shared" si="25"/>
        <v>Extraction of Solar</v>
      </c>
      <c r="B75" s="30" t="str">
        <f t="shared" si="26"/>
        <v>MINSOL</v>
      </c>
      <c r="D75" s="159" t="str">
        <f>NameConv!C45</f>
        <v>SOL</v>
      </c>
      <c r="E75" s="30">
        <v>0</v>
      </c>
      <c r="F75" s="82"/>
      <c r="G75" s="82"/>
      <c r="H75" s="82"/>
      <c r="I75" s="82"/>
      <c r="J75" s="82"/>
      <c r="K75" s="82"/>
      <c r="L75" s="82"/>
      <c r="M75"/>
      <c r="N75"/>
      <c r="O75"/>
      <c r="P75"/>
      <c r="Q75"/>
      <c r="R75"/>
      <c r="S75"/>
      <c r="T75"/>
      <c r="U75"/>
      <c r="V75" t="str">
        <f t="shared" si="28"/>
        <v/>
      </c>
      <c r="AA75" s="35"/>
      <c r="AB75" s="35"/>
      <c r="AC75" s="35"/>
      <c r="AD75" s="35"/>
      <c r="AE75" s="35"/>
      <c r="AF75" s="35"/>
      <c r="AG75" s="35"/>
      <c r="AH75" s="35"/>
      <c r="AI75" s="160"/>
      <c r="AJ75" s="160"/>
      <c r="AK75" s="160"/>
      <c r="AL75" s="160"/>
      <c r="AM75" s="160"/>
      <c r="AN75" s="160"/>
      <c r="AO75" s="160"/>
      <c r="AP75" s="160"/>
      <c r="AQ75" s="160"/>
      <c r="AR75" s="160"/>
      <c r="AS75" s="160"/>
      <c r="AT75" s="160"/>
      <c r="AU75" s="160"/>
      <c r="AV75" s="160"/>
      <c r="AW75" s="160"/>
      <c r="AX75" s="160"/>
      <c r="AY75" s="160"/>
      <c r="AZ75" s="160"/>
      <c r="BA75" s="160"/>
      <c r="BB75" s="160"/>
      <c r="BD75" s="157"/>
    </row>
    <row r="76" spans="1:56" ht="15" x14ac:dyDescent="0.25">
      <c r="A76" s="158" t="str">
        <f t="shared" si="25"/>
        <v>Extraction of Wind</v>
      </c>
      <c r="B76" s="30" t="str">
        <f>$B$46&amp;D76</f>
        <v>MINWND</v>
      </c>
      <c r="D76" s="159" t="str">
        <f>NameConv!C46</f>
        <v>WND</v>
      </c>
      <c r="E76" s="30">
        <v>0</v>
      </c>
      <c r="F76" s="82"/>
      <c r="G76" s="82"/>
      <c r="H76" s="82"/>
      <c r="I76" s="82"/>
      <c r="J76" s="82"/>
      <c r="K76" s="82"/>
      <c r="L76" s="82"/>
      <c r="M76"/>
      <c r="N76"/>
      <c r="O76"/>
      <c r="P76"/>
      <c r="Q76"/>
      <c r="R76"/>
      <c r="S76"/>
      <c r="T76"/>
      <c r="U76"/>
      <c r="V76" t="str">
        <f t="shared" si="28"/>
        <v/>
      </c>
      <c r="AA76" s="35"/>
      <c r="AB76" s="35"/>
      <c r="AC76" s="35"/>
      <c r="AD76" s="35"/>
      <c r="AE76" s="35"/>
      <c r="AF76" s="35"/>
      <c r="AG76" s="35"/>
      <c r="AH76" s="35"/>
      <c r="AI76" s="160"/>
      <c r="AJ76" s="160"/>
      <c r="AK76" s="160"/>
      <c r="AL76" s="160"/>
      <c r="AM76" s="160"/>
      <c r="AN76" s="160"/>
      <c r="AO76" s="160"/>
      <c r="AP76" s="160"/>
      <c r="AQ76" s="160"/>
      <c r="AR76" s="160"/>
      <c r="AS76" s="160"/>
      <c r="AT76" s="160"/>
      <c r="AU76" s="160"/>
      <c r="AV76" s="160"/>
      <c r="AW76" s="160"/>
      <c r="AX76" s="160"/>
      <c r="AY76" s="160"/>
      <c r="AZ76" s="160"/>
      <c r="BA76" s="160"/>
      <c r="BB76" s="160"/>
      <c r="BD76" s="157"/>
    </row>
    <row r="77" spans="1:56" ht="15" x14ac:dyDescent="0.25">
      <c r="A77" s="155" t="s">
        <v>350</v>
      </c>
      <c r="B77" s="38"/>
      <c r="D77" s="159"/>
      <c r="F77" s="82"/>
      <c r="G77" s="82"/>
      <c r="H77" s="82"/>
      <c r="I77" s="82"/>
      <c r="J77" s="82"/>
      <c r="K77" s="82"/>
      <c r="L77" s="82"/>
      <c r="M77"/>
      <c r="N77"/>
      <c r="O77"/>
      <c r="P77"/>
      <c r="Q77"/>
      <c r="R77"/>
      <c r="S77"/>
      <c r="T77"/>
      <c r="U77"/>
      <c r="V77"/>
      <c r="AA77" s="35"/>
      <c r="AB77" s="35"/>
      <c r="AC77" s="35"/>
      <c r="AD77" s="35"/>
      <c r="AE77" s="35"/>
      <c r="AF77" s="35"/>
      <c r="AG77" s="35"/>
      <c r="AH77" s="35"/>
      <c r="AI77" s="160"/>
      <c r="AJ77" s="160"/>
      <c r="AK77" s="160"/>
      <c r="AL77" s="160"/>
      <c r="AM77" s="160"/>
      <c r="AN77" s="160"/>
      <c r="AO77" s="160"/>
      <c r="AP77" s="160"/>
      <c r="AQ77" s="160"/>
      <c r="AR77" s="160"/>
      <c r="AS77" s="160"/>
      <c r="AT77" s="160"/>
      <c r="AU77" s="160"/>
      <c r="AV77" s="160"/>
      <c r="AW77" s="160"/>
      <c r="AX77" s="160"/>
      <c r="AY77" s="160"/>
      <c r="AZ77" s="160"/>
      <c r="BA77" s="160"/>
      <c r="BB77" s="160"/>
      <c r="BD77" s="157"/>
    </row>
    <row r="78" spans="1:56" ht="15" x14ac:dyDescent="0.25">
      <c r="A78" s="158" t="str">
        <f t="shared" ref="A78:A92" si="31">"Imports of "&amp;INDEX(FuelNamesLong,MATCH(D78,FuelNamesShort,0))</f>
        <v>Imports of Coal Coking</v>
      </c>
      <c r="B78" s="30" t="str">
        <f>"IMP"&amp;D78</f>
        <v>IMPCOK</v>
      </c>
      <c r="D78" s="159" t="str">
        <f>NameConv!C12</f>
        <v>COK</v>
      </c>
      <c r="E78" s="30">
        <v>0</v>
      </c>
      <c r="F78" s="82">
        <f t="shared" ref="F78" si="32">F60*1.5</f>
        <v>84.78</v>
      </c>
      <c r="G78" s="82">
        <f>G60*1.5</f>
        <v>84.78</v>
      </c>
      <c r="H78" s="82">
        <f t="shared" ref="H78:I78" si="33">H60*1.5</f>
        <v>84.78</v>
      </c>
      <c r="I78" s="82">
        <f t="shared" si="33"/>
        <v>84.78</v>
      </c>
      <c r="J78" s="82">
        <v>3</v>
      </c>
      <c r="K78" s="82"/>
      <c r="L78" s="82"/>
      <c r="M78"/>
      <c r="N78"/>
      <c r="O78"/>
      <c r="P78"/>
      <c r="Q78"/>
      <c r="R78"/>
      <c r="S78"/>
      <c r="T78"/>
      <c r="U78"/>
      <c r="V78" t="str">
        <f t="shared" ref="V78:V92" si="34">$V$60</f>
        <v/>
      </c>
      <c r="AA78" s="35"/>
      <c r="AB78" s="35"/>
      <c r="AC78" s="35"/>
      <c r="AD78" s="35"/>
      <c r="AE78" s="35"/>
      <c r="AF78" s="35"/>
      <c r="AG78" s="35"/>
      <c r="AH78" s="35"/>
      <c r="AI78" s="160"/>
      <c r="AJ78" s="160"/>
      <c r="AK78" s="160"/>
      <c r="AL78" s="160"/>
      <c r="AM78" s="160"/>
      <c r="AN78" s="160"/>
      <c r="AO78" s="160"/>
      <c r="AP78" s="160"/>
      <c r="AQ78" s="160"/>
      <c r="AR78" s="160"/>
      <c r="AS78" s="160"/>
      <c r="AT78" s="160"/>
      <c r="AU78" s="160"/>
      <c r="AV78" s="160"/>
      <c r="AW78" s="160"/>
      <c r="AX78" s="160"/>
      <c r="AY78" s="160"/>
      <c r="AZ78" s="160"/>
      <c r="BA78" s="160"/>
      <c r="BB78" s="160"/>
      <c r="BD78" s="157"/>
    </row>
    <row r="79" spans="1:56" ht="15" x14ac:dyDescent="0.25">
      <c r="A79" s="158" t="s">
        <v>1058</v>
      </c>
      <c r="B79" s="30"/>
      <c r="D79" s="159" t="str">
        <f>D80</f>
        <v>GRL</v>
      </c>
      <c r="E79" s="30"/>
      <c r="F79" s="82">
        <f>F80/F15</f>
        <v>8.7491242874264614</v>
      </c>
      <c r="G79" s="82">
        <f t="shared" ref="G79:I79" si="35">G80/G15</f>
        <v>9.0144883767620421</v>
      </c>
      <c r="H79" s="82">
        <f t="shared" si="35"/>
        <v>8.3053057450005809</v>
      </c>
      <c r="I79" s="82">
        <f t="shared" si="35"/>
        <v>10.474570265682702</v>
      </c>
      <c r="J79" s="82"/>
      <c r="K79" s="82"/>
      <c r="L79" s="82"/>
      <c r="M79"/>
      <c r="N79"/>
      <c r="O79"/>
      <c r="P79"/>
      <c r="Q79"/>
      <c r="R79"/>
      <c r="S79"/>
      <c r="T79"/>
      <c r="U79"/>
      <c r="V79"/>
      <c r="AA79" s="35"/>
      <c r="AB79" s="35"/>
      <c r="AC79" s="35"/>
      <c r="AD79" s="35"/>
      <c r="AE79" s="35"/>
      <c r="AF79" s="35"/>
      <c r="AG79" s="35"/>
      <c r="AH79" s="35"/>
      <c r="AI79" s="160"/>
      <c r="AJ79" s="160"/>
      <c r="AK79" s="160"/>
      <c r="AL79" s="160"/>
      <c r="AM79" s="160"/>
      <c r="AN79" s="160"/>
      <c r="AO79" s="160"/>
      <c r="AP79" s="160"/>
      <c r="AQ79" s="160"/>
      <c r="AR79" s="160"/>
      <c r="AS79" s="160"/>
      <c r="AT79" s="160"/>
      <c r="AU79" s="160"/>
      <c r="AV79" s="160"/>
      <c r="AW79" s="160"/>
      <c r="AX79" s="160"/>
      <c r="AY79" s="160"/>
      <c r="AZ79" s="160"/>
      <c r="BA79" s="160"/>
      <c r="BB79" s="160"/>
      <c r="BD79" s="157"/>
    </row>
    <row r="80" spans="1:56" ht="15" x14ac:dyDescent="0.25">
      <c r="A80" s="158" t="str">
        <f t="shared" si="31"/>
        <v>Imports of Gas Regional LNG</v>
      </c>
      <c r="B80" s="30" t="str">
        <f>"IMP"&amp;D80</f>
        <v>IMPGRL</v>
      </c>
      <c r="D80" s="159" t="str">
        <f>NameConv!C22</f>
        <v>GRL</v>
      </c>
      <c r="E80" s="30">
        <v>0</v>
      </c>
      <c r="F80" s="82">
        <f t="shared" ref="F80:I81" si="36">SUMIF($C$37:$C$42,$B80,F$37:F$42)*$E$54</f>
        <v>143.92309452816528</v>
      </c>
      <c r="G80" s="82">
        <f t="shared" si="36"/>
        <v>148.28833379773559</v>
      </c>
      <c r="H80" s="82">
        <f t="shared" si="36"/>
        <v>136.62227950525954</v>
      </c>
      <c r="I80" s="82">
        <f t="shared" si="36"/>
        <v>172.30668087048045</v>
      </c>
      <c r="J80" s="82"/>
      <c r="K80" s="82"/>
      <c r="L80" s="82"/>
      <c r="M80"/>
      <c r="N80"/>
      <c r="O80"/>
      <c r="P80"/>
      <c r="Q80"/>
      <c r="R80"/>
      <c r="S80"/>
      <c r="T80"/>
      <c r="U80">
        <v>2027</v>
      </c>
      <c r="V80" t="str">
        <f t="shared" si="34"/>
        <v/>
      </c>
      <c r="AA80" s="35"/>
      <c r="AB80" s="35"/>
      <c r="AC80" s="35"/>
      <c r="AD80" s="35"/>
      <c r="AE80" s="35"/>
      <c r="AF80" s="35"/>
      <c r="AG80" s="35"/>
      <c r="AH80" s="35"/>
      <c r="AI80" s="160"/>
      <c r="AJ80" s="160"/>
      <c r="AK80" s="160"/>
      <c r="AL80" s="160"/>
      <c r="AM80" s="160"/>
      <c r="AN80" s="160"/>
      <c r="AO80" s="160"/>
      <c r="AP80" s="160"/>
      <c r="AQ80" s="160"/>
      <c r="AR80" s="160"/>
      <c r="AS80" s="160"/>
      <c r="AT80" s="160"/>
      <c r="AU80" s="160"/>
      <c r="AV80" s="160"/>
      <c r="AW80" s="160"/>
      <c r="AX80" s="160"/>
      <c r="AY80" s="160"/>
      <c r="AZ80" s="160"/>
      <c r="BA80" s="160"/>
      <c r="BB80" s="160"/>
      <c r="BD80" s="157"/>
    </row>
    <row r="81" spans="1:56" ht="15" x14ac:dyDescent="0.25">
      <c r="A81" s="158" t="str">
        <f t="shared" si="31"/>
        <v>Imports of Gas International LNG</v>
      </c>
      <c r="B81" s="30" t="str">
        <f>"IMP"&amp;NameConv!C23</f>
        <v>IMPGWL</v>
      </c>
      <c r="D81" s="159" t="str">
        <f>NameConv!C23</f>
        <v>GWL</v>
      </c>
      <c r="E81" s="30">
        <v>0</v>
      </c>
      <c r="F81" s="82">
        <f t="shared" si="36"/>
        <v>150.16006135280986</v>
      </c>
      <c r="G81" s="82">
        <f t="shared" si="36"/>
        <v>154.52530062238017</v>
      </c>
      <c r="H81" s="82">
        <f t="shared" si="36"/>
        <v>142.85924632990407</v>
      </c>
      <c r="I81" s="82">
        <f t="shared" si="36"/>
        <v>178.543647695125</v>
      </c>
      <c r="J81" s="82" t="s">
        <v>252</v>
      </c>
      <c r="K81" s="82" t="s">
        <v>252</v>
      </c>
      <c r="L81" s="82" t="s">
        <v>252</v>
      </c>
      <c r="M81"/>
      <c r="N81" t="s">
        <v>252</v>
      </c>
      <c r="O81" t="s">
        <v>252</v>
      </c>
      <c r="P81"/>
      <c r="Q81"/>
      <c r="R81"/>
      <c r="S81"/>
      <c r="T81"/>
      <c r="U81">
        <v>2027</v>
      </c>
      <c r="V81" t="str">
        <f t="shared" si="34"/>
        <v/>
      </c>
      <c r="Z81" s="161"/>
      <c r="AA81" s="162"/>
      <c r="AB81" s="35"/>
      <c r="AC81" s="35"/>
      <c r="AD81" s="35"/>
      <c r="AE81" s="35"/>
      <c r="AF81" s="35"/>
      <c r="AG81" s="35"/>
      <c r="AH81" s="35"/>
      <c r="AI81" s="160"/>
      <c r="AJ81" s="160"/>
      <c r="AK81" s="160"/>
      <c r="AL81" s="160"/>
      <c r="AM81" s="160"/>
      <c r="AN81" s="160"/>
      <c r="AO81" s="160"/>
      <c r="AP81" s="160"/>
      <c r="AQ81" s="160"/>
      <c r="AR81" s="160"/>
      <c r="AS81" s="160"/>
      <c r="AT81" s="160"/>
      <c r="AU81" s="160"/>
      <c r="AV81" s="160"/>
      <c r="AW81" s="160"/>
      <c r="AX81" s="160"/>
      <c r="AY81" s="160"/>
      <c r="AZ81" s="160"/>
      <c r="BA81" s="160"/>
      <c r="BB81" s="160"/>
      <c r="BD81" s="157"/>
    </row>
    <row r="82" spans="1:56" ht="15" x14ac:dyDescent="0.25">
      <c r="A82" s="158" t="s">
        <v>1058</v>
      </c>
      <c r="B82" s="30"/>
      <c r="D82" s="159" t="str">
        <f>D81</f>
        <v>GWL</v>
      </c>
      <c r="E82" s="30"/>
      <c r="F82" s="82">
        <f>F81/F15</f>
        <v>9.1282712068577432</v>
      </c>
      <c r="G82" s="82">
        <f t="shared" ref="G82:I82" si="37">G81/G15</f>
        <v>9.3936352961933238</v>
      </c>
      <c r="H82" s="82">
        <f t="shared" si="37"/>
        <v>8.6844526644318591</v>
      </c>
      <c r="I82" s="82">
        <f t="shared" si="37"/>
        <v>10.853717185113982</v>
      </c>
      <c r="J82" s="82"/>
      <c r="K82" s="82"/>
      <c r="L82" s="82"/>
      <c r="M82"/>
      <c r="N82"/>
      <c r="O82"/>
      <c r="P82"/>
      <c r="Q82"/>
      <c r="R82"/>
      <c r="S82"/>
      <c r="T82"/>
      <c r="U82"/>
      <c r="V82"/>
      <c r="Z82" s="161"/>
      <c r="AA82" s="162"/>
      <c r="AB82" s="35"/>
      <c r="AC82" s="35"/>
      <c r="AD82" s="35"/>
      <c r="AE82" s="35"/>
      <c r="AF82" s="35"/>
      <c r="AG82" s="35"/>
      <c r="AH82" s="35"/>
      <c r="AI82" s="160"/>
      <c r="AJ82" s="160"/>
      <c r="AK82" s="160"/>
      <c r="AL82" s="160"/>
      <c r="AM82" s="160"/>
      <c r="AN82" s="160"/>
      <c r="AO82" s="160"/>
      <c r="AP82" s="160"/>
      <c r="AQ82" s="160"/>
      <c r="AR82" s="160"/>
      <c r="AS82" s="160"/>
      <c r="AT82" s="160"/>
      <c r="AU82" s="160"/>
      <c r="AV82" s="160"/>
      <c r="AW82" s="160"/>
      <c r="AX82" s="160"/>
      <c r="AY82" s="160"/>
      <c r="AZ82" s="160"/>
      <c r="BA82" s="160"/>
      <c r="BB82" s="160"/>
      <c r="BD82" s="157"/>
    </row>
    <row r="83" spans="1:56" ht="15" x14ac:dyDescent="0.25">
      <c r="A83" s="158" t="str">
        <f t="shared" si="31"/>
        <v>Imports of Nuclear</v>
      </c>
      <c r="B83" s="30" t="str">
        <f t="shared" ref="B83:B91" si="38">"IMP"&amp;D83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9">SUMIF($C$8:$BE$8,D83,$C$11:$BE$11)</f>
        <v>170.374545454545</v>
      </c>
      <c r="L83" s="82"/>
      <c r="M83"/>
      <c r="N83"/>
      <c r="O83"/>
      <c r="P83"/>
      <c r="Q83"/>
      <c r="R83"/>
      <c r="S83"/>
      <c r="T83"/>
      <c r="U83"/>
      <c r="V83" t="str">
        <f t="shared" si="34"/>
        <v/>
      </c>
      <c r="Y83" s="161" t="s">
        <v>351</v>
      </c>
      <c r="AA83" s="35"/>
      <c r="AB83" s="35"/>
      <c r="AC83" s="35"/>
      <c r="AD83" s="35"/>
      <c r="AE83" s="35"/>
      <c r="AF83" s="35"/>
      <c r="AG83" s="35"/>
      <c r="AH83" s="35"/>
      <c r="AI83" s="160"/>
      <c r="AJ83" s="160"/>
      <c r="AK83" s="160"/>
      <c r="AL83" s="160"/>
      <c r="AM83" s="160"/>
      <c r="AN83" s="160"/>
      <c r="AO83" s="160"/>
      <c r="AP83" s="160"/>
      <c r="AQ83" s="160"/>
      <c r="AR83" s="160"/>
      <c r="AS83" s="160"/>
      <c r="AT83" s="160"/>
      <c r="AU83" s="160"/>
      <c r="AV83" s="160"/>
      <c r="AW83" s="160"/>
      <c r="AX83" s="160"/>
      <c r="AY83" s="160"/>
      <c r="AZ83" s="160"/>
      <c r="BA83" s="160"/>
      <c r="BB83" s="160"/>
      <c r="BD83" s="157"/>
    </row>
    <row r="84" spans="1:56" ht="15" x14ac:dyDescent="0.25">
      <c r="A84" s="158" t="str">
        <f t="shared" si="31"/>
        <v>Imports of Oil Av Gasoline</v>
      </c>
      <c r="B84" s="30" t="str">
        <f t="shared" si="38"/>
        <v>IMPOAG</v>
      </c>
      <c r="D84" s="159" t="str">
        <f>NameConv!C36</f>
        <v>OAG</v>
      </c>
      <c r="E84" s="30">
        <v>0</v>
      </c>
      <c r="F84" s="82">
        <f t="shared" ref="F84:I84" si="40">F87</f>
        <v>247.03405739193275</v>
      </c>
      <c r="G84" s="82">
        <f t="shared" si="40"/>
        <v>253.06623635843414</v>
      </c>
      <c r="H84" s="82">
        <f t="shared" si="40"/>
        <v>232.71621829347131</v>
      </c>
      <c r="I84" s="82">
        <f t="shared" si="40"/>
        <v>294.96333237453405</v>
      </c>
      <c r="J84" s="82">
        <v>0</v>
      </c>
      <c r="K84" s="82">
        <f t="shared" si="39"/>
        <v>1.394321535205479</v>
      </c>
      <c r="L84" s="82"/>
      <c r="M84"/>
      <c r="N84"/>
      <c r="O84"/>
      <c r="P84"/>
      <c r="Q84"/>
      <c r="R84"/>
      <c r="S84"/>
      <c r="T84"/>
      <c r="U84"/>
      <c r="V84" t="str">
        <f t="shared" si="34"/>
        <v/>
      </c>
      <c r="AA84" s="35"/>
      <c r="AB84" s="35"/>
      <c r="AC84" s="35"/>
      <c r="AD84" s="35"/>
      <c r="AE84" s="35"/>
      <c r="AF84" s="35"/>
      <c r="AG84" s="35"/>
      <c r="AH84" s="35"/>
      <c r="AI84" s="160"/>
      <c r="AJ84" s="160"/>
      <c r="AK84" s="160"/>
      <c r="AL84" s="160"/>
      <c r="AM84" s="160"/>
      <c r="AN84" s="160"/>
      <c r="AO84" s="160"/>
      <c r="AP84" s="160"/>
      <c r="AQ84" s="160"/>
      <c r="AR84" s="160"/>
      <c r="AS84" s="160"/>
      <c r="AT84" s="160"/>
      <c r="AU84" s="160"/>
      <c r="AV84" s="160"/>
      <c r="AW84" s="160"/>
      <c r="AX84" s="160"/>
      <c r="AY84" s="160"/>
      <c r="AZ84" s="160"/>
      <c r="BA84" s="160"/>
      <c r="BB84" s="160"/>
      <c r="BD84" s="157"/>
    </row>
    <row r="85" spans="1:56" ht="15" x14ac:dyDescent="0.25">
      <c r="A85" s="158" t="str">
        <f t="shared" si="31"/>
        <v>Imports of Oil Crude</v>
      </c>
      <c r="B85" s="30" t="str">
        <f t="shared" si="38"/>
        <v>IMPOCR</v>
      </c>
      <c r="D85" s="159" t="str">
        <f>NameConv!C37</f>
        <v>OCR</v>
      </c>
      <c r="E85" s="30">
        <v>0</v>
      </c>
      <c r="F85" s="82">
        <f t="shared" ref="F85:I90" si="41">SUMIF($E$22:$E$34,$D85,F$22:F$34)</f>
        <v>196.45298120195667</v>
      </c>
      <c r="G85" s="82">
        <f t="shared" si="41"/>
        <v>202.68138113207547</v>
      </c>
      <c r="H85" s="82">
        <f t="shared" si="41"/>
        <v>186.03605031446543</v>
      </c>
      <c r="I85" s="82">
        <f t="shared" si="41"/>
        <v>236.95117987421381</v>
      </c>
      <c r="J85" s="82">
        <v>0</v>
      </c>
      <c r="K85" s="82">
        <f t="shared" si="39"/>
        <v>941.22622485351599</v>
      </c>
      <c r="L85" s="82"/>
      <c r="M85"/>
      <c r="N85"/>
      <c r="O85"/>
      <c r="P85"/>
      <c r="Q85"/>
      <c r="R85"/>
      <c r="S85"/>
      <c r="T85"/>
      <c r="U85"/>
      <c r="V85" t="str">
        <f t="shared" si="34"/>
        <v/>
      </c>
      <c r="AA85" s="35"/>
      <c r="AB85" s="35"/>
      <c r="AC85" s="35"/>
      <c r="AD85" s="35"/>
      <c r="AE85" s="35"/>
      <c r="AF85" s="35"/>
      <c r="AG85" s="35"/>
      <c r="AH85" s="35"/>
      <c r="AI85" s="160"/>
      <c r="AJ85" s="160"/>
      <c r="AK85" s="160"/>
      <c r="AL85" s="160"/>
      <c r="AM85" s="160"/>
      <c r="AN85" s="160"/>
      <c r="AO85" s="160"/>
      <c r="AP85" s="160"/>
      <c r="AQ85" s="160"/>
      <c r="AR85" s="160"/>
      <c r="AS85" s="160"/>
      <c r="AT85" s="160"/>
      <c r="AU85" s="160"/>
      <c r="AV85" s="160"/>
      <c r="AW85" s="160"/>
      <c r="AX85" s="160"/>
      <c r="AY85" s="160"/>
      <c r="AZ85" s="160"/>
      <c r="BA85" s="160"/>
      <c r="BB85" s="160"/>
      <c r="BD85" s="157"/>
    </row>
    <row r="86" spans="1:56" ht="15" x14ac:dyDescent="0.25">
      <c r="A86" s="158" t="str">
        <f t="shared" si="31"/>
        <v>Imports of Oil Diesel</v>
      </c>
      <c r="B86" s="30" t="str">
        <f t="shared" si="38"/>
        <v>IMPODS</v>
      </c>
      <c r="D86" s="159" t="str">
        <f>NameConv!C38</f>
        <v>ODS</v>
      </c>
      <c r="E86" s="30">
        <v>0</v>
      </c>
      <c r="F86" s="82">
        <f t="shared" si="41"/>
        <v>236.56389169057414</v>
      </c>
      <c r="G86" s="82">
        <f t="shared" si="41"/>
        <v>244.65407088700817</v>
      </c>
      <c r="H86" s="82">
        <f t="shared" si="41"/>
        <v>224.41968109431471</v>
      </c>
      <c r="I86" s="82">
        <f t="shared" si="41"/>
        <v>286.31310869549469</v>
      </c>
      <c r="J86" s="82">
        <v>0</v>
      </c>
      <c r="K86" s="82">
        <v>162</v>
      </c>
      <c r="L86" s="82"/>
      <c r="M86"/>
      <c r="N86"/>
      <c r="O86"/>
      <c r="P86"/>
      <c r="Q86"/>
      <c r="R86"/>
      <c r="S86"/>
      <c r="T86"/>
      <c r="U86"/>
      <c r="V86" t="str">
        <f t="shared" si="34"/>
        <v/>
      </c>
      <c r="AA86" s="35"/>
      <c r="AB86" s="35"/>
      <c r="AC86" s="35"/>
      <c r="AD86" s="35"/>
      <c r="AE86" s="35"/>
      <c r="AF86" s="35"/>
      <c r="AG86" s="35"/>
      <c r="AH86" s="35"/>
      <c r="AI86" s="160"/>
      <c r="AJ86" s="160"/>
      <c r="AK86" s="160"/>
      <c r="AL86" s="160"/>
      <c r="AM86" s="160"/>
      <c r="AN86" s="160"/>
      <c r="AO86" s="160"/>
      <c r="AP86" s="160"/>
      <c r="AQ86" s="160"/>
      <c r="AR86" s="160"/>
      <c r="AS86" s="160"/>
      <c r="AT86" s="160"/>
      <c r="AU86" s="160"/>
      <c r="AV86" s="160"/>
      <c r="AW86" s="160"/>
      <c r="AX86" s="160"/>
      <c r="AY86" s="160"/>
      <c r="AZ86" s="160"/>
      <c r="BA86" s="160"/>
      <c r="BB86" s="160"/>
      <c r="BD86" s="157"/>
    </row>
    <row r="87" spans="1:56" ht="15" x14ac:dyDescent="0.25">
      <c r="A87" s="158" t="str">
        <f t="shared" si="31"/>
        <v>Imports of Oil Gasoline</v>
      </c>
      <c r="B87" s="30" t="str">
        <f t="shared" si="38"/>
        <v>IMPOGS</v>
      </c>
      <c r="D87" s="159" t="str">
        <f>NameConv!C39</f>
        <v>OGS</v>
      </c>
      <c r="E87" s="30">
        <v>0</v>
      </c>
      <c r="F87" s="82">
        <f t="shared" si="41"/>
        <v>247.03405739193275</v>
      </c>
      <c r="G87" s="82">
        <f t="shared" si="41"/>
        <v>253.06623635843414</v>
      </c>
      <c r="H87" s="82">
        <f t="shared" si="41"/>
        <v>232.71621829347131</v>
      </c>
      <c r="I87" s="82">
        <f t="shared" si="41"/>
        <v>294.96333237453405</v>
      </c>
      <c r="J87" s="82">
        <v>0</v>
      </c>
      <c r="K87" s="82">
        <v>35.299999999999997</v>
      </c>
      <c r="L87" s="82"/>
      <c r="M87"/>
      <c r="N87"/>
      <c r="O87"/>
      <c r="P87"/>
      <c r="Q87"/>
      <c r="R87"/>
      <c r="S87"/>
      <c r="T87"/>
      <c r="U87"/>
      <c r="V87" t="str">
        <f t="shared" si="34"/>
        <v/>
      </c>
      <c r="AA87" s="35"/>
      <c r="AB87" s="35"/>
      <c r="AC87" s="35"/>
      <c r="AD87" s="35"/>
      <c r="AE87" s="35"/>
      <c r="AF87" s="35"/>
      <c r="AG87" s="35"/>
      <c r="AH87" s="35"/>
      <c r="AI87" s="160"/>
      <c r="AJ87" s="160"/>
      <c r="AK87" s="160"/>
      <c r="AL87" s="160"/>
      <c r="AM87" s="160"/>
      <c r="AN87" s="160"/>
      <c r="AO87" s="160"/>
      <c r="AP87" s="160"/>
      <c r="AQ87" s="160"/>
      <c r="AR87" s="160"/>
      <c r="AS87" s="160"/>
      <c r="AT87" s="160"/>
      <c r="AU87" s="160"/>
      <c r="AV87" s="160"/>
      <c r="AW87" s="160"/>
      <c r="AX87" s="160"/>
      <c r="AY87" s="160"/>
      <c r="AZ87" s="160"/>
      <c r="BA87" s="160"/>
      <c r="BB87" s="160"/>
      <c r="BD87" s="157"/>
    </row>
    <row r="88" spans="1:56" ht="15" x14ac:dyDescent="0.25">
      <c r="A88" s="158" t="str">
        <f t="shared" si="31"/>
        <v>Imports of Oil HFO</v>
      </c>
      <c r="B88" s="30" t="str">
        <f t="shared" si="38"/>
        <v>IMPOHF</v>
      </c>
      <c r="D88" s="159" t="str">
        <f>NameConv!C40</f>
        <v>OHF</v>
      </c>
      <c r="E88" s="30">
        <v>0</v>
      </c>
      <c r="F88" s="82">
        <f t="shared" si="41"/>
        <v>196.45298120195667</v>
      </c>
      <c r="G88" s="82">
        <f t="shared" si="41"/>
        <v>202.68138113207547</v>
      </c>
      <c r="H88" s="82">
        <f t="shared" si="41"/>
        <v>186.03605031446543</v>
      </c>
      <c r="I88" s="82">
        <f t="shared" si="41"/>
        <v>236.95117987421381</v>
      </c>
      <c r="J88" s="82">
        <v>0</v>
      </c>
      <c r="K88" s="82">
        <v>0</v>
      </c>
      <c r="L88" s="82"/>
      <c r="M88"/>
      <c r="N88"/>
      <c r="O88"/>
      <c r="P88"/>
      <c r="Q88"/>
      <c r="R88"/>
      <c r="S88"/>
      <c r="T88"/>
      <c r="U88"/>
      <c r="V88" t="str">
        <f t="shared" si="34"/>
        <v/>
      </c>
      <c r="AA88" s="35"/>
      <c r="AB88" s="35"/>
      <c r="AC88" s="35"/>
      <c r="AD88" s="35"/>
      <c r="AE88" s="35"/>
      <c r="AF88" s="35"/>
      <c r="AG88" s="35"/>
      <c r="AH88" s="35"/>
      <c r="AI88" s="160"/>
      <c r="AJ88" s="160"/>
      <c r="AK88" s="160"/>
      <c r="AL88" s="160"/>
      <c r="AM88" s="160"/>
      <c r="AN88" s="160"/>
      <c r="AO88" s="160"/>
      <c r="AP88" s="160"/>
      <c r="AQ88" s="160"/>
      <c r="AR88" s="160"/>
      <c r="AS88" s="160"/>
      <c r="AT88" s="160"/>
      <c r="AU88" s="160"/>
      <c r="AV88" s="160"/>
      <c r="AW88" s="160"/>
      <c r="AX88" s="160"/>
      <c r="AY88" s="160"/>
      <c r="AZ88" s="160"/>
      <c r="BA88" s="160"/>
      <c r="BB88" s="160"/>
      <c r="BD88" s="157"/>
    </row>
    <row r="89" spans="1:56" ht="15" x14ac:dyDescent="0.25">
      <c r="A89" s="158" t="str">
        <f t="shared" si="31"/>
        <v>Imports of Oil LPG</v>
      </c>
      <c r="B89" s="30" t="str">
        <f t="shared" si="38"/>
        <v>IMPOLP</v>
      </c>
      <c r="D89" s="159" t="str">
        <f>NameConv!C43</f>
        <v>OLP</v>
      </c>
      <c r="E89" s="30">
        <v>0</v>
      </c>
      <c r="F89" s="82">
        <f t="shared" si="41"/>
        <v>376.62224144497708</v>
      </c>
      <c r="G89" s="82">
        <f t="shared" si="41"/>
        <v>382.94989907290471</v>
      </c>
      <c r="H89" s="82">
        <f t="shared" si="41"/>
        <v>366.03930314149977</v>
      </c>
      <c r="I89" s="82">
        <f t="shared" si="41"/>
        <v>417.76583187285604</v>
      </c>
      <c r="J89" s="82">
        <v>0</v>
      </c>
      <c r="K89" s="82">
        <v>2.1</v>
      </c>
      <c r="L89" s="82"/>
      <c r="M89"/>
      <c r="N89"/>
      <c r="O89"/>
      <c r="P89"/>
      <c r="Q89"/>
      <c r="R89"/>
      <c r="S89"/>
      <c r="T89"/>
      <c r="U89"/>
      <c r="V89" t="str">
        <f t="shared" si="34"/>
        <v/>
      </c>
      <c r="AA89" s="35"/>
      <c r="AB89" s="35"/>
      <c r="AC89" s="35"/>
      <c r="AD89" s="35"/>
      <c r="AE89" s="35"/>
      <c r="AF89" s="35"/>
      <c r="AG89" s="35"/>
      <c r="AH89" s="35"/>
      <c r="AI89" s="160"/>
      <c r="AJ89" s="160"/>
      <c r="AK89" s="160"/>
      <c r="AL89" s="160"/>
      <c r="AM89" s="160"/>
      <c r="AN89" s="160"/>
      <c r="AO89" s="160"/>
      <c r="AP89" s="160"/>
      <c r="AQ89" s="160"/>
      <c r="AR89" s="160"/>
      <c r="AS89" s="160"/>
      <c r="AT89" s="160"/>
      <c r="AU89" s="160"/>
      <c r="AV89" s="160"/>
      <c r="AW89" s="160"/>
      <c r="AX89" s="160"/>
      <c r="AY89" s="160"/>
      <c r="AZ89" s="160"/>
      <c r="BA89" s="160"/>
      <c r="BB89" s="160"/>
      <c r="BD89" s="157"/>
    </row>
    <row r="90" spans="1:56" ht="15" x14ac:dyDescent="0.25">
      <c r="A90" s="158" t="str">
        <f t="shared" si="31"/>
        <v>Imports of Oil Kerosene</v>
      </c>
      <c r="B90" s="30" t="str">
        <f t="shared" si="38"/>
        <v>IMPOKE</v>
      </c>
      <c r="D90" s="159" t="str">
        <f>NameConv!C42</f>
        <v>OKE</v>
      </c>
      <c r="E90" s="30">
        <v>0</v>
      </c>
      <c r="F90" s="82">
        <f t="shared" si="41"/>
        <v>243.45484454706207</v>
      </c>
      <c r="G90" s="82">
        <f t="shared" si="41"/>
        <v>250.76740309449676</v>
      </c>
      <c r="H90" s="82">
        <f t="shared" si="41"/>
        <v>231.22467020790273</v>
      </c>
      <c r="I90" s="82">
        <f t="shared" si="41"/>
        <v>291.00244139042559</v>
      </c>
      <c r="J90" s="82">
        <v>0</v>
      </c>
      <c r="K90" s="82">
        <v>15</v>
      </c>
      <c r="L90" s="82"/>
      <c r="M90"/>
      <c r="N90"/>
      <c r="O90"/>
      <c r="P90"/>
      <c r="Q90"/>
      <c r="R90"/>
      <c r="S90"/>
      <c r="T90"/>
      <c r="U90"/>
      <c r="V90" t="str">
        <f t="shared" si="34"/>
        <v/>
      </c>
      <c r="AA90" s="35"/>
      <c r="AB90" s="35"/>
      <c r="AC90" s="35"/>
      <c r="AD90" s="35"/>
      <c r="AE90" s="35"/>
      <c r="AF90" s="35"/>
      <c r="AG90" s="35"/>
      <c r="AH90" s="35"/>
      <c r="AI90" s="160"/>
      <c r="AJ90" s="160"/>
      <c r="AK90" s="160"/>
      <c r="AL90" s="160"/>
      <c r="AM90" s="160"/>
      <c r="AN90" s="160"/>
      <c r="AO90" s="160"/>
      <c r="AP90" s="160"/>
      <c r="AQ90" s="160"/>
      <c r="AR90" s="160"/>
      <c r="AS90" s="160"/>
      <c r="AT90" s="160"/>
      <c r="AU90" s="160"/>
      <c r="AV90" s="160"/>
      <c r="AW90" s="160"/>
      <c r="AX90" s="160"/>
      <c r="AY90" s="160"/>
      <c r="AZ90" s="160"/>
      <c r="BA90" s="160"/>
      <c r="BB90" s="160"/>
      <c r="BD90" s="157"/>
    </row>
    <row r="91" spans="1:56" ht="15" x14ac:dyDescent="0.25">
      <c r="A91" s="158" t="str">
        <f t="shared" si="31"/>
        <v>Imports of Biodiesel</v>
      </c>
      <c r="B91" s="30" t="str">
        <f t="shared" si="38"/>
        <v>IMPBID</v>
      </c>
      <c r="D91" s="159" t="str">
        <f>NameConv!C7</f>
        <v>BID</v>
      </c>
      <c r="E91" s="30">
        <v>0</v>
      </c>
      <c r="F91" s="82">
        <f>F86*1.05</f>
        <v>248.39208627510286</v>
      </c>
      <c r="G91" s="82">
        <f t="shared" ref="G91:I92" si="42">G86*1.05</f>
        <v>256.88677443135862</v>
      </c>
      <c r="H91" s="82">
        <f t="shared" si="42"/>
        <v>235.64066514903047</v>
      </c>
      <c r="I91" s="82">
        <f t="shared" si="42"/>
        <v>300.62876413026942</v>
      </c>
      <c r="J91" s="82">
        <v>0</v>
      </c>
      <c r="K91" s="82"/>
      <c r="L91" s="82"/>
      <c r="M91"/>
      <c r="N91"/>
      <c r="O91"/>
      <c r="P91"/>
      <c r="Q91"/>
      <c r="R91"/>
      <c r="S91"/>
      <c r="T91"/>
      <c r="U91"/>
      <c r="V91" t="str">
        <f t="shared" si="34"/>
        <v/>
      </c>
      <c r="AA91" s="35"/>
      <c r="AB91" s="35"/>
      <c r="AC91" s="35"/>
      <c r="AD91" s="35"/>
      <c r="AE91" s="35"/>
      <c r="AF91" s="35"/>
      <c r="AG91" s="35"/>
      <c r="AH91" s="35"/>
      <c r="AI91" s="160"/>
      <c r="AJ91" s="160"/>
      <c r="AK91" s="160"/>
      <c r="AL91" s="160"/>
      <c r="AM91" s="160"/>
      <c r="AN91" s="160"/>
      <c r="AO91" s="160"/>
      <c r="AP91" s="160"/>
      <c r="AQ91" s="160"/>
      <c r="AR91" s="160"/>
      <c r="AS91" s="160"/>
      <c r="AT91" s="160"/>
      <c r="AU91" s="160"/>
      <c r="AV91" s="160"/>
      <c r="AW91" s="160"/>
      <c r="AX91" s="160"/>
      <c r="AY91" s="160"/>
      <c r="AZ91" s="160"/>
      <c r="BA91" s="160"/>
      <c r="BB91" s="160"/>
      <c r="BD91" s="157"/>
    </row>
    <row r="92" spans="1:56" ht="15" x14ac:dyDescent="0.25">
      <c r="A92" s="158" t="str">
        <f t="shared" si="31"/>
        <v>Imports of Bioethanol</v>
      </c>
      <c r="B92" s="30" t="str">
        <f>"IMP"&amp;D92</f>
        <v>IMPBIE</v>
      </c>
      <c r="D92" s="159" t="str">
        <f>NameConv!C6</f>
        <v>BIE</v>
      </c>
      <c r="E92" s="30">
        <v>0</v>
      </c>
      <c r="F92" s="82">
        <f>F87*1.05</f>
        <v>259.38576026152941</v>
      </c>
      <c r="G92" s="82">
        <f t="shared" si="42"/>
        <v>265.71954817635583</v>
      </c>
      <c r="H92" s="82">
        <f t="shared" si="42"/>
        <v>244.3520292081449</v>
      </c>
      <c r="I92" s="82">
        <f t="shared" si="42"/>
        <v>309.71149899326076</v>
      </c>
      <c r="J92" s="82">
        <v>0</v>
      </c>
      <c r="K92" s="82"/>
      <c r="L92" s="82"/>
      <c r="M92"/>
      <c r="N92"/>
      <c r="O92"/>
      <c r="P92"/>
      <c r="Q92"/>
      <c r="R92"/>
      <c r="S92"/>
      <c r="T92"/>
      <c r="U92"/>
      <c r="V92" t="str">
        <f t="shared" si="34"/>
        <v/>
      </c>
      <c r="AA92" s="35"/>
      <c r="AB92" s="35"/>
      <c r="AC92" s="35"/>
      <c r="AD92" s="35"/>
      <c r="AE92" s="35"/>
      <c r="AF92" s="35"/>
      <c r="AG92" s="35"/>
      <c r="AH92" s="35"/>
      <c r="AI92" s="160"/>
      <c r="AJ92" s="160"/>
      <c r="AK92" s="160"/>
      <c r="AL92" s="160"/>
      <c r="AM92" s="160"/>
      <c r="AN92" s="160"/>
      <c r="AO92" s="160"/>
      <c r="AP92" s="160"/>
      <c r="AQ92" s="160"/>
      <c r="AR92" s="160"/>
      <c r="AS92" s="160"/>
      <c r="AT92" s="160"/>
      <c r="AU92" s="160"/>
      <c r="AV92" s="160"/>
      <c r="AW92" s="160"/>
      <c r="AX92" s="160"/>
      <c r="AY92" s="160"/>
      <c r="AZ92" s="160"/>
      <c r="BA92" s="160"/>
      <c r="BB92" s="160"/>
      <c r="BD92" s="157"/>
    </row>
    <row r="93" spans="1:56" ht="15" x14ac:dyDescent="0.25">
      <c r="A93" s="155" t="s">
        <v>352</v>
      </c>
      <c r="B93" s="38"/>
      <c r="D93" s="159"/>
      <c r="F93" s="82"/>
      <c r="G93" s="82"/>
      <c r="H93" s="82"/>
      <c r="I93" s="82"/>
      <c r="J93" s="82"/>
      <c r="K93" s="82"/>
      <c r="L93" s="82"/>
      <c r="M93"/>
      <c r="N93"/>
      <c r="O93"/>
      <c r="P93"/>
      <c r="Q93"/>
      <c r="R93"/>
      <c r="S93"/>
      <c r="T93"/>
      <c r="U93"/>
      <c r="V93"/>
      <c r="AA93" s="35"/>
      <c r="AB93" s="35"/>
      <c r="AC93" s="35"/>
      <c r="AD93" s="35"/>
      <c r="AE93" s="35"/>
      <c r="AF93" s="35"/>
      <c r="AG93" s="35"/>
      <c r="AH93" s="35"/>
      <c r="AI93" s="160"/>
      <c r="AJ93" s="160"/>
      <c r="AK93" s="160"/>
      <c r="AL93" s="160"/>
      <c r="AM93" s="160"/>
      <c r="AN93" s="160"/>
      <c r="AO93" s="160"/>
      <c r="AP93" s="160"/>
      <c r="AQ93" s="160"/>
      <c r="AR93" s="160"/>
      <c r="AS93" s="160"/>
      <c r="AT93" s="160"/>
      <c r="AU93" s="160"/>
      <c r="AV93" s="160"/>
      <c r="AW93" s="160"/>
      <c r="AX93" s="160"/>
      <c r="AY93" s="160"/>
      <c r="AZ93" s="160"/>
      <c r="BA93" s="160"/>
      <c r="BB93" s="160"/>
      <c r="BD93" s="157"/>
    </row>
    <row r="94" spans="1:56"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c r="R94"/>
      <c r="S94"/>
      <c r="T94"/>
      <c r="U94"/>
      <c r="V94">
        <v>4500</v>
      </c>
      <c r="AA94" s="35"/>
      <c r="AB94" s="35"/>
      <c r="AC94" s="35"/>
      <c r="AD94" s="35"/>
      <c r="AE94" s="35"/>
      <c r="AF94" s="35"/>
      <c r="AG94" s="35"/>
      <c r="AH94" s="35"/>
      <c r="AI94" s="160"/>
      <c r="AJ94" s="160"/>
      <c r="AK94" s="160"/>
      <c r="AL94" s="160"/>
      <c r="AM94" s="160"/>
      <c r="AN94" s="160"/>
      <c r="AO94" s="160"/>
      <c r="AP94" s="160"/>
      <c r="AQ94" s="160"/>
      <c r="AR94" s="160"/>
      <c r="AS94" s="160"/>
      <c r="AT94" s="160"/>
      <c r="AU94" s="160"/>
      <c r="AV94" s="160"/>
      <c r="AW94" s="160"/>
      <c r="AX94" s="160"/>
      <c r="AY94" s="160"/>
      <c r="AZ94" s="160"/>
      <c r="BA94" s="160"/>
      <c r="BB94" s="160"/>
      <c r="BD94" s="157"/>
    </row>
    <row r="95" spans="1:56"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3">G81-(1.5*G15)</f>
        <v>129.85030062238019</v>
      </c>
      <c r="H95" s="82">
        <f t="shared" si="43"/>
        <v>118.18424632990407</v>
      </c>
      <c r="I95" s="82">
        <f t="shared" si="43"/>
        <v>153.86864769512499</v>
      </c>
      <c r="J95" s="82"/>
      <c r="K95" s="82"/>
      <c r="L95" s="82"/>
      <c r="M95"/>
      <c r="N95"/>
      <c r="O95"/>
      <c r="P95"/>
      <c r="Q95"/>
      <c r="R95"/>
      <c r="S95"/>
      <c r="T95"/>
      <c r="U95">
        <v>2030</v>
      </c>
      <c r="V95">
        <v>170000</v>
      </c>
      <c r="AA95" s="35"/>
      <c r="AB95" s="35"/>
      <c r="AC95" s="35"/>
      <c r="AD95" s="35"/>
      <c r="AE95" s="35"/>
      <c r="AF95" s="35"/>
      <c r="AG95" s="35"/>
      <c r="AH95" s="35"/>
      <c r="AI95" s="160"/>
      <c r="AJ95" s="160"/>
      <c r="AK95" s="160"/>
      <c r="AL95" s="160"/>
      <c r="AM95" s="160"/>
      <c r="AN95" s="160"/>
      <c r="AO95" s="160"/>
      <c r="AP95" s="160"/>
      <c r="AQ95" s="160"/>
      <c r="AR95" s="160"/>
      <c r="AS95" s="160"/>
      <c r="AT95" s="160"/>
      <c r="AU95" s="160"/>
      <c r="AV95" s="160"/>
      <c r="AW95" s="160"/>
      <c r="AX95" s="160"/>
      <c r="AY95" s="160"/>
      <c r="AZ95" s="160"/>
      <c r="BA95" s="160"/>
      <c r="BB95" s="160"/>
      <c r="BD95" s="157"/>
    </row>
    <row r="96" spans="1:56" ht="15" x14ac:dyDescent="0.25">
      <c r="A96" s="155" t="s">
        <v>353</v>
      </c>
      <c r="B96" s="38">
        <v>-0.95</v>
      </c>
      <c r="D96" s="159"/>
      <c r="F96" s="82"/>
      <c r="G96" s="82"/>
      <c r="H96" s="82"/>
      <c r="I96" s="82"/>
      <c r="J96" s="82"/>
      <c r="K96" s="82"/>
      <c r="L96" s="82"/>
      <c r="M96"/>
      <c r="N96"/>
      <c r="O96"/>
      <c r="P96"/>
      <c r="Q96"/>
      <c r="R96"/>
      <c r="S96"/>
      <c r="T96"/>
      <c r="U96"/>
      <c r="V96"/>
      <c r="AA96" s="35"/>
      <c r="AB96" s="35"/>
      <c r="AC96" s="35"/>
      <c r="AD96" s="35"/>
      <c r="AE96" s="35"/>
      <c r="AF96" s="35"/>
      <c r="AG96" s="35"/>
      <c r="AH96" s="35"/>
      <c r="AI96" s="160"/>
      <c r="AJ96" s="160"/>
      <c r="AK96" s="160"/>
      <c r="AL96" s="160"/>
      <c r="AM96" s="160"/>
      <c r="AN96" s="160"/>
      <c r="AO96" s="160"/>
      <c r="AP96" s="160"/>
      <c r="AQ96" s="160"/>
      <c r="AR96" s="160"/>
      <c r="AS96" s="160"/>
      <c r="AT96" s="160"/>
      <c r="AU96" s="160"/>
      <c r="AV96" s="160"/>
      <c r="AW96" s="160"/>
      <c r="AX96" s="160"/>
      <c r="AY96" s="160"/>
      <c r="AZ96" s="160"/>
      <c r="BA96" s="160"/>
      <c r="BB96" s="160"/>
      <c r="BD96" s="157"/>
    </row>
    <row r="97" spans="1:56" ht="15" x14ac:dyDescent="0.25">
      <c r="A97" s="158" t="str">
        <f t="shared" ref="A97:A104" si="44">"Exports of "&amp;INDEX(FuelNamesLong,MATCH(C97,FuelNamesShort,0))</f>
        <v>Exports of Coal</v>
      </c>
      <c r="B97" s="30" t="str">
        <f t="shared" ref="B97:B104" si="45">"PEX"&amp;C97</f>
        <v>PEXCOA</v>
      </c>
      <c r="C97" s="159" t="str">
        <f>NameConv!C11</f>
        <v>COA</v>
      </c>
      <c r="E97" s="30">
        <v>3</v>
      </c>
      <c r="F97" s="82">
        <f>F60*$B$96</f>
        <v>-53.694000000000003</v>
      </c>
      <c r="G97" s="82">
        <f>G60*$B$96</f>
        <v>-53.694000000000003</v>
      </c>
      <c r="H97" s="82">
        <f>H60*$B$96</f>
        <v>-53.694000000000003</v>
      </c>
      <c r="I97" s="82">
        <f>I60*$B$96</f>
        <v>-53.694000000000003</v>
      </c>
      <c r="J97" s="82"/>
      <c r="K97" s="82"/>
      <c r="L97" s="82"/>
      <c r="M97"/>
      <c r="N97"/>
      <c r="O97"/>
      <c r="P97">
        <v>3</v>
      </c>
      <c r="Q97" s="82">
        <v>1727</v>
      </c>
      <c r="R97">
        <v>1000</v>
      </c>
      <c r="S97">
        <v>1000</v>
      </c>
      <c r="T97">
        <v>500</v>
      </c>
      <c r="U97"/>
      <c r="V97" t="str">
        <f t="shared" ref="V97:V104" si="46">$V$60</f>
        <v/>
      </c>
      <c r="AA97" s="35"/>
      <c r="AB97" s="35"/>
      <c r="AC97" s="35"/>
      <c r="AD97" s="35"/>
      <c r="AE97" s="35"/>
      <c r="AF97" s="35"/>
      <c r="AG97" s="35"/>
      <c r="AH97" s="35"/>
      <c r="AI97" s="160"/>
      <c r="AJ97" s="160"/>
      <c r="AK97" s="160"/>
      <c r="AL97" s="160"/>
      <c r="AM97" s="160"/>
      <c r="AN97" s="160"/>
      <c r="AO97" s="160"/>
      <c r="AP97" s="160"/>
      <c r="AQ97" s="160"/>
      <c r="AR97" s="160"/>
      <c r="AS97" s="160"/>
      <c r="AT97" s="160"/>
      <c r="AU97" s="160"/>
      <c r="AV97" s="160"/>
      <c r="AW97" s="160"/>
      <c r="AX97" s="160"/>
      <c r="AY97" s="160"/>
      <c r="AZ97" s="160"/>
      <c r="BA97" s="160"/>
      <c r="BB97" s="160"/>
      <c r="BD97" s="157"/>
    </row>
    <row r="98" spans="1:56" ht="15" x14ac:dyDescent="0.25">
      <c r="A98" s="158" t="str">
        <f t="shared" si="44"/>
        <v>Exports of Coal Coking</v>
      </c>
      <c r="B98" s="30" t="str">
        <f t="shared" si="45"/>
        <v>PEXCOK</v>
      </c>
      <c r="C98" s="159" t="str">
        <f>NameConv!C12</f>
        <v>COK</v>
      </c>
      <c r="E98" s="30">
        <v>0</v>
      </c>
      <c r="F98" s="82">
        <f>F78*$B$96</f>
        <v>-80.540999999999997</v>
      </c>
      <c r="G98" s="82">
        <f>G78*$B$96</f>
        <v>-80.540999999999997</v>
      </c>
      <c r="H98" s="82">
        <f>H78*$B$96</f>
        <v>-80.540999999999997</v>
      </c>
      <c r="I98" s="82">
        <f>I78*$B$96</f>
        <v>-80.540999999999997</v>
      </c>
      <c r="J98" s="82">
        <v>0</v>
      </c>
      <c r="K98" s="393">
        <f>SUMIF($C$8:$BE$8,C98,$C$12:$BE$12)</f>
        <v>20.834015000000001</v>
      </c>
      <c r="L98" s="82"/>
      <c r="M98"/>
      <c r="N98"/>
      <c r="O98"/>
      <c r="P98"/>
      <c r="Q98"/>
      <c r="R98"/>
      <c r="S98"/>
      <c r="T98"/>
      <c r="U98"/>
      <c r="V98" t="str">
        <f t="shared" si="46"/>
        <v/>
      </c>
      <c r="AA98" s="35"/>
      <c r="AB98" s="35"/>
      <c r="AC98" s="35"/>
      <c r="AD98" s="35"/>
      <c r="AE98" s="35"/>
      <c r="AF98" s="35"/>
      <c r="AG98" s="35"/>
      <c r="AH98" s="35"/>
      <c r="AI98" s="160"/>
      <c r="AJ98" s="160"/>
      <c r="AK98" s="160"/>
      <c r="AL98" s="160"/>
      <c r="AM98" s="160"/>
      <c r="AN98" s="160"/>
      <c r="AO98" s="160"/>
      <c r="AP98" s="160"/>
      <c r="AQ98" s="160"/>
      <c r="AR98" s="160"/>
      <c r="AS98" s="160"/>
      <c r="AT98" s="160"/>
      <c r="AU98" s="160"/>
      <c r="AV98" s="160"/>
      <c r="AW98" s="160"/>
      <c r="AX98" s="160"/>
      <c r="AY98" s="160"/>
      <c r="AZ98" s="160"/>
      <c r="BA98" s="160"/>
      <c r="BB98" s="160"/>
      <c r="BD98" s="157"/>
    </row>
    <row r="99" spans="1:56" ht="15" x14ac:dyDescent="0.25">
      <c r="A99" s="158" t="str">
        <f t="shared" si="44"/>
        <v>Exports of Oil Av Gasoline</v>
      </c>
      <c r="B99" s="30" t="str">
        <f t="shared" si="45"/>
        <v>PEXOAG</v>
      </c>
      <c r="C99" s="159" t="str">
        <f>NameConv!C36</f>
        <v>OAG</v>
      </c>
      <c r="E99" s="30">
        <v>0</v>
      </c>
      <c r="F99" s="82">
        <f t="shared" ref="F99:I99" si="47">F102</f>
        <v>-234.68235452233611</v>
      </c>
      <c r="G99" s="82">
        <f t="shared" si="47"/>
        <v>-240.41292454051242</v>
      </c>
      <c r="H99" s="82">
        <f t="shared" si="47"/>
        <v>-221.08040737879773</v>
      </c>
      <c r="I99" s="82">
        <f t="shared" si="47"/>
        <v>-280.21516575580733</v>
      </c>
      <c r="J99" s="82">
        <v>0</v>
      </c>
      <c r="K99" s="393">
        <f>SUMIF($C$8:$BE$8,C99,$C$12:$BE$12)</f>
        <v>0.22564281164383562</v>
      </c>
      <c r="L99" s="82"/>
      <c r="M99"/>
      <c r="N99"/>
      <c r="O99"/>
      <c r="P99"/>
      <c r="Q99"/>
      <c r="R99"/>
      <c r="S99"/>
      <c r="T99"/>
      <c r="U99"/>
      <c r="V99" t="str">
        <f t="shared" si="46"/>
        <v/>
      </c>
      <c r="AA99" s="35"/>
      <c r="AB99" s="35"/>
      <c r="AC99" s="35"/>
      <c r="AD99" s="35"/>
      <c r="AE99" s="35"/>
      <c r="AF99" s="35"/>
      <c r="AG99" s="35"/>
      <c r="AH99" s="35"/>
      <c r="AI99" s="160"/>
      <c r="AJ99" s="160"/>
      <c r="AK99" s="160"/>
      <c r="AL99" s="160"/>
      <c r="AM99" s="160"/>
      <c r="AN99" s="160"/>
      <c r="AO99" s="160"/>
      <c r="AP99" s="160"/>
      <c r="AQ99" s="160"/>
      <c r="AR99" s="160"/>
      <c r="AS99" s="160"/>
      <c r="AT99" s="160"/>
      <c r="AU99" s="160"/>
      <c r="AV99" s="160"/>
      <c r="AW99" s="160"/>
      <c r="AX99" s="160"/>
      <c r="AY99" s="160"/>
      <c r="AZ99" s="160"/>
      <c r="BA99" s="160"/>
      <c r="BB99" s="160"/>
      <c r="BD99" s="157"/>
    </row>
    <row r="100" spans="1:56" ht="15" x14ac:dyDescent="0.25">
      <c r="A100" s="158" t="str">
        <f t="shared" si="44"/>
        <v>Exports of Oil Crude</v>
      </c>
      <c r="B100" s="30" t="str">
        <f t="shared" si="45"/>
        <v>PEXOCR</v>
      </c>
      <c r="C100" s="159" t="str">
        <f>NameConv!C37</f>
        <v>OCR</v>
      </c>
      <c r="E100" s="30">
        <v>0</v>
      </c>
      <c r="F100" s="82">
        <f t="shared" ref="F100:I104" si="48">SUMIF($E$22:$E$34,$C100,F$22:F$34)*$B$96</f>
        <v>-186.63033214185884</v>
      </c>
      <c r="G100" s="82">
        <f t="shared" si="48"/>
        <v>-192.54731207547169</v>
      </c>
      <c r="H100" s="82">
        <f t="shared" si="48"/>
        <v>-176.73424779874216</v>
      </c>
      <c r="I100" s="82">
        <f t="shared" si="48"/>
        <v>-225.10362088050312</v>
      </c>
      <c r="J100" s="82">
        <v>0</v>
      </c>
      <c r="K100" s="393">
        <f>SUMIF($C$8:$BE$8,C100,$C$12:$BE$12)</f>
        <v>20.83803412968</v>
      </c>
      <c r="L100" s="82"/>
      <c r="M100"/>
      <c r="N100"/>
      <c r="O100"/>
      <c r="P100"/>
      <c r="Q100"/>
      <c r="R100"/>
      <c r="S100"/>
      <c r="T100"/>
      <c r="U100"/>
      <c r="V100" t="str">
        <f t="shared" si="46"/>
        <v/>
      </c>
      <c r="AA100" s="35"/>
      <c r="AB100" s="35"/>
      <c r="AC100" s="35"/>
      <c r="AD100" s="35"/>
      <c r="AE100" s="35"/>
      <c r="AF100" s="35"/>
      <c r="AG100" s="35"/>
      <c r="AH100" s="35"/>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D100" s="157"/>
    </row>
    <row r="101" spans="1:56" ht="15" x14ac:dyDescent="0.25">
      <c r="A101" s="158" t="str">
        <f t="shared" si="44"/>
        <v>Exports of Oil Diesel</v>
      </c>
      <c r="B101" s="30" t="str">
        <f t="shared" si="45"/>
        <v>PEXODS</v>
      </c>
      <c r="C101" s="159" t="str">
        <f>NameConv!C38</f>
        <v>ODS</v>
      </c>
      <c r="E101" s="30">
        <v>0</v>
      </c>
      <c r="F101" s="82">
        <f t="shared" si="48"/>
        <v>-224.73569710604542</v>
      </c>
      <c r="G101" s="82">
        <f t="shared" si="48"/>
        <v>-232.42136734265776</v>
      </c>
      <c r="H101" s="82">
        <f t="shared" si="48"/>
        <v>-213.19869703959895</v>
      </c>
      <c r="I101" s="82">
        <f t="shared" si="48"/>
        <v>-271.99745326071996</v>
      </c>
      <c r="J101" s="82">
        <v>0</v>
      </c>
      <c r="K101" s="393">
        <f>SUMIF($C$8:$BE$8,C101,$C$12:$BE$12)</f>
        <v>28.73659252275862</v>
      </c>
      <c r="L101" s="82"/>
      <c r="M101"/>
      <c r="N101"/>
      <c r="O101"/>
      <c r="P101"/>
      <c r="Q101"/>
      <c r="R101"/>
      <c r="S101"/>
      <c r="T101"/>
      <c r="U101"/>
      <c r="V101" t="str">
        <f t="shared" si="46"/>
        <v/>
      </c>
      <c r="AA101" s="35"/>
      <c r="AB101" s="35"/>
      <c r="AC101" s="35"/>
      <c r="AD101" s="35"/>
      <c r="AE101" s="35"/>
      <c r="AF101" s="35"/>
      <c r="AG101" s="35"/>
      <c r="AH101" s="35"/>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D101" s="157"/>
    </row>
    <row r="102" spans="1:56" ht="15" x14ac:dyDescent="0.25">
      <c r="A102" s="158" t="str">
        <f t="shared" si="44"/>
        <v>Exports of Oil Gasoline</v>
      </c>
      <c r="B102" s="30" t="str">
        <f t="shared" si="45"/>
        <v>PEXOGS</v>
      </c>
      <c r="C102" s="159" t="str">
        <f>NameConv!C39</f>
        <v>OGS</v>
      </c>
      <c r="E102" s="30">
        <v>0</v>
      </c>
      <c r="F102" s="82">
        <f t="shared" si="48"/>
        <v>-234.68235452233611</v>
      </c>
      <c r="G102" s="82">
        <f t="shared" si="48"/>
        <v>-240.41292454051242</v>
      </c>
      <c r="H102" s="82">
        <f t="shared" si="48"/>
        <v>-221.08040737879773</v>
      </c>
      <c r="I102" s="82">
        <f t="shared" si="48"/>
        <v>-280.21516575580733</v>
      </c>
      <c r="J102" s="82">
        <v>0</v>
      </c>
      <c r="K102" s="393">
        <f>SUMIF($C$8:$BE$8,C102,$C$12:$BE$12)</f>
        <v>3.5488458656756761</v>
      </c>
      <c r="L102" s="82"/>
      <c r="M102"/>
      <c r="N102"/>
      <c r="O102"/>
      <c r="P102"/>
      <c r="Q102"/>
      <c r="R102"/>
      <c r="S102"/>
      <c r="T102"/>
      <c r="U102"/>
      <c r="V102" t="str">
        <f t="shared" si="46"/>
        <v/>
      </c>
      <c r="AA102" s="35"/>
      <c r="AB102" s="35"/>
      <c r="AC102" s="35"/>
      <c r="AD102" s="35"/>
      <c r="AE102" s="35"/>
      <c r="AF102" s="35"/>
      <c r="AG102" s="35"/>
      <c r="AH102" s="35"/>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D102" s="157"/>
    </row>
    <row r="103" spans="1:56" ht="15" x14ac:dyDescent="0.25">
      <c r="A103" s="158" t="str">
        <f t="shared" si="44"/>
        <v>Exports of Oil HFO</v>
      </c>
      <c r="B103" s="30" t="str">
        <f t="shared" si="45"/>
        <v>PEXOHF</v>
      </c>
      <c r="C103" s="159" t="str">
        <f>NameConv!C40</f>
        <v>OHF</v>
      </c>
      <c r="E103" s="30">
        <v>0</v>
      </c>
      <c r="F103" s="82">
        <f t="shared" si="48"/>
        <v>-186.63033214185884</v>
      </c>
      <c r="G103" s="82">
        <f t="shared" si="48"/>
        <v>-192.54731207547169</v>
      </c>
      <c r="H103" s="82">
        <f t="shared" si="48"/>
        <v>-176.73424779874216</v>
      </c>
      <c r="I103" s="82">
        <f t="shared" si="48"/>
        <v>-225.10362088050312</v>
      </c>
      <c r="J103" s="82">
        <v>0</v>
      </c>
      <c r="K103" s="393"/>
      <c r="L103" s="82"/>
      <c r="M103"/>
      <c r="N103"/>
      <c r="O103"/>
      <c r="P103"/>
      <c r="Q103"/>
      <c r="R103"/>
      <c r="S103"/>
      <c r="T103"/>
      <c r="U103"/>
      <c r="V103" t="str">
        <f t="shared" si="46"/>
        <v/>
      </c>
      <c r="AA103" s="35"/>
      <c r="AB103" s="35"/>
      <c r="AC103" s="35"/>
      <c r="AD103" s="35"/>
      <c r="AE103" s="35"/>
      <c r="AF103" s="35"/>
      <c r="AG103" s="35"/>
      <c r="AH103" s="35"/>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D103" s="157"/>
    </row>
    <row r="104" spans="1:56" ht="15" x14ac:dyDescent="0.25">
      <c r="A104" s="158" t="str">
        <f t="shared" si="44"/>
        <v>Exports of Oil Kerosene</v>
      </c>
      <c r="B104" s="30" t="str">
        <f t="shared" si="45"/>
        <v>PEXOKE</v>
      </c>
      <c r="C104" s="159" t="str">
        <f>NameConv!C42</f>
        <v>OKE</v>
      </c>
      <c r="E104" s="30">
        <v>0</v>
      </c>
      <c r="F104" s="82">
        <f t="shared" si="48"/>
        <v>-231.28210231970894</v>
      </c>
      <c r="G104" s="82">
        <f t="shared" si="48"/>
        <v>-238.22903293977191</v>
      </c>
      <c r="H104" s="82">
        <f t="shared" si="48"/>
        <v>-219.66343669750759</v>
      </c>
      <c r="I104" s="82">
        <f t="shared" si="48"/>
        <v>-276.45231932090428</v>
      </c>
      <c r="J104" s="82">
        <v>0</v>
      </c>
      <c r="K104" s="393">
        <f>SUMIF($C$8:$BE$8,C104,$C$12:$BE$12)</f>
        <v>5.0273560461728382</v>
      </c>
      <c r="L104" s="82"/>
      <c r="M104"/>
      <c r="N104"/>
      <c r="O104"/>
      <c r="P104"/>
      <c r="Q104"/>
      <c r="R104"/>
      <c r="S104"/>
      <c r="T104"/>
      <c r="U104"/>
      <c r="V104" t="str">
        <f t="shared" si="46"/>
        <v/>
      </c>
      <c r="AA104" s="35"/>
      <c r="AB104" s="35"/>
      <c r="AC104" s="35"/>
      <c r="AD104" s="35"/>
      <c r="AE104" s="35"/>
      <c r="AF104" s="35"/>
      <c r="AG104" s="35"/>
      <c r="AH104" s="35"/>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D104" s="157"/>
    </row>
    <row r="105" spans="1:56"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B105" s="157"/>
    </row>
    <row r="106" spans="1:56"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BA106" s="157"/>
    </row>
    <row r="107" spans="1:56"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row>
    <row r="108" spans="1:56"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BA108" s="157"/>
    </row>
    <row r="109" spans="1:56"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row>
    <row r="149" spans="8:8" x14ac:dyDescent="0.2">
      <c r="H149" s="168" t="s">
        <v>355</v>
      </c>
    </row>
  </sheetData>
  <mergeCells count="3">
    <mergeCell ref="B3:D3"/>
    <mergeCell ref="AW56:BC56"/>
    <mergeCell ref="AX57:BC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$O$36:$Z$36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38" t="s">
        <v>362</v>
      </c>
      <c r="AD6" s="438"/>
      <c r="AE6" s="438"/>
    </row>
    <row r="7" spans="1:31" ht="15.75" customHeight="1" x14ac:dyDescent="0.25">
      <c r="A7" s="439" t="s">
        <v>363</v>
      </c>
      <c r="B7" s="441" t="s">
        <v>364</v>
      </c>
      <c r="C7" s="443" t="s">
        <v>365</v>
      </c>
      <c r="D7" s="444"/>
      <c r="E7" s="445"/>
      <c r="F7" s="448" t="s">
        <v>366</v>
      </c>
      <c r="G7" s="176"/>
      <c r="H7" s="176"/>
      <c r="I7" s="176"/>
      <c r="J7" s="176"/>
      <c r="U7" s="173" t="s">
        <v>367</v>
      </c>
      <c r="V7" s="174">
        <v>18.235131074122162</v>
      </c>
      <c r="W7" s="175" t="s">
        <v>368</v>
      </c>
      <c r="AC7" s="177" t="s">
        <v>369</v>
      </c>
      <c r="AD7" s="178">
        <f>AD8*AD9/10^3</f>
        <v>5.4839199999999998E-2</v>
      </c>
      <c r="AE7" s="179" t="s">
        <v>239</v>
      </c>
    </row>
    <row r="8" spans="1:31" x14ac:dyDescent="0.25">
      <c r="A8" s="440"/>
      <c r="B8" s="442"/>
      <c r="C8" s="446"/>
      <c r="D8" s="447"/>
      <c r="E8" s="447"/>
      <c r="F8" s="449"/>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7" t="s">
        <v>432</v>
      </c>
      <c r="AD25" s="437"/>
      <c r="AE25" s="437"/>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3"/>
      <c r="I31" s="433"/>
      <c r="R31" t="s">
        <v>370</v>
      </c>
      <c r="S31" t="s">
        <v>370</v>
      </c>
      <c r="T31" t="s">
        <v>370</v>
      </c>
      <c r="U31" t="s">
        <v>371</v>
      </c>
      <c r="V31" t="s">
        <v>371</v>
      </c>
      <c r="W31" t="s">
        <v>371</v>
      </c>
    </row>
    <row r="32" spans="1:31" ht="17.25" customHeight="1" x14ac:dyDescent="0.25">
      <c r="L32" s="425" t="s">
        <v>436</v>
      </c>
      <c r="M32" s="434" t="s">
        <v>437</v>
      </c>
      <c r="N32" s="220" t="s">
        <v>438</v>
      </c>
      <c r="O32" s="221" t="s">
        <v>439</v>
      </c>
      <c r="P32" s="222" t="s">
        <v>438</v>
      </c>
      <c r="Q32" s="223" t="s">
        <v>439</v>
      </c>
      <c r="R32" s="425" t="s">
        <v>389</v>
      </c>
      <c r="S32" s="425" t="s">
        <v>393</v>
      </c>
      <c r="T32" s="425" t="s">
        <v>440</v>
      </c>
      <c r="U32" s="425" t="s">
        <v>389</v>
      </c>
      <c r="V32" s="425" t="s">
        <v>393</v>
      </c>
      <c r="W32" s="425" t="s">
        <v>440</v>
      </c>
    </row>
    <row r="33" spans="1:24" x14ac:dyDescent="0.25">
      <c r="A33" t="s">
        <v>441</v>
      </c>
      <c r="C33" t="s">
        <v>442</v>
      </c>
      <c r="D33" t="s">
        <v>442</v>
      </c>
      <c r="E33" t="s">
        <v>442</v>
      </c>
      <c r="F33" s="142" t="s">
        <v>443</v>
      </c>
      <c r="G33" s="142" t="s">
        <v>444</v>
      </c>
      <c r="H33" s="432" t="s">
        <v>445</v>
      </c>
      <c r="I33" s="432"/>
      <c r="J33" s="142" t="s">
        <v>443</v>
      </c>
      <c r="K33" t="s">
        <v>444</v>
      </c>
      <c r="L33" s="426"/>
      <c r="M33" s="435"/>
      <c r="N33" s="16"/>
      <c r="O33" s="73"/>
      <c r="P33" s="73"/>
      <c r="Q33" s="224"/>
      <c r="R33" s="426"/>
      <c r="S33" s="426"/>
      <c r="T33" s="426"/>
      <c r="U33" s="426"/>
      <c r="V33" s="426"/>
      <c r="W33" s="426"/>
    </row>
    <row r="34" spans="1:24" ht="15.75" thickBot="1" x14ac:dyDescent="0.3">
      <c r="A34" t="s">
        <v>446</v>
      </c>
      <c r="F34" s="142" t="s">
        <v>447</v>
      </c>
      <c r="G34" s="142" t="s">
        <v>448</v>
      </c>
      <c r="H34" s="142"/>
      <c r="I34" s="142"/>
      <c r="J34" s="142" t="s">
        <v>447</v>
      </c>
      <c r="K34" t="s">
        <v>447</v>
      </c>
      <c r="L34" s="427"/>
      <c r="M34" s="436"/>
      <c r="N34" s="225" t="s">
        <v>449</v>
      </c>
      <c r="O34" s="226" t="s">
        <v>449</v>
      </c>
      <c r="P34" s="95" t="s">
        <v>449</v>
      </c>
      <c r="Q34" s="227" t="s">
        <v>449</v>
      </c>
      <c r="R34" s="427"/>
      <c r="S34" s="427"/>
      <c r="T34" s="427"/>
      <c r="U34" s="427"/>
      <c r="V34" s="427"/>
      <c r="W34" s="427"/>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28"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9"/>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29"/>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29"/>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29"/>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0"/>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28"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29"/>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29"/>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0"/>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28"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29"/>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0"/>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31" t="s">
        <v>498</v>
      </c>
      <c r="E79" s="431"/>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20" t="s">
        <v>508</v>
      </c>
      <c r="B103" s="266" t="s">
        <v>509</v>
      </c>
      <c r="C103" s="422" t="s">
        <v>510</v>
      </c>
      <c r="D103" s="266">
        <v>0.77</v>
      </c>
      <c r="E103" s="266">
        <v>18</v>
      </c>
    </row>
    <row r="104" spans="1:11" ht="23.25" thickBot="1" x14ac:dyDescent="0.3">
      <c r="A104" s="421"/>
      <c r="B104" s="266" t="s">
        <v>511</v>
      </c>
      <c r="C104" s="423"/>
      <c r="D104" s="266">
        <v>0.18</v>
      </c>
      <c r="E104" s="266">
        <v>2.5</v>
      </c>
      <c r="K104">
        <f>0.77/0.0243</f>
        <v>31.68724279835391</v>
      </c>
    </row>
    <row r="105" spans="1:11" ht="15.75" thickBot="1" x14ac:dyDescent="0.3">
      <c r="A105" s="420" t="s">
        <v>512</v>
      </c>
      <c r="B105" s="266" t="s">
        <v>513</v>
      </c>
      <c r="C105" s="423"/>
      <c r="D105" s="266">
        <v>0</v>
      </c>
      <c r="E105" s="266">
        <v>1.2</v>
      </c>
    </row>
    <row r="106" spans="1:11" ht="15.75" thickBot="1" x14ac:dyDescent="0.3">
      <c r="A106" s="421"/>
      <c r="B106" s="266" t="s">
        <v>514</v>
      </c>
      <c r="C106" s="424"/>
      <c r="D106" s="266">
        <v>0</v>
      </c>
      <c r="E106" s="266">
        <v>0.1</v>
      </c>
    </row>
    <row r="107" spans="1:11" ht="15.75" thickBot="1" x14ac:dyDescent="0.3">
      <c r="A107" s="420" t="s">
        <v>508</v>
      </c>
      <c r="B107" s="266" t="s">
        <v>513</v>
      </c>
      <c r="C107" s="422" t="s">
        <v>515</v>
      </c>
      <c r="D107" s="266">
        <v>7.6999999999999999E-2</v>
      </c>
      <c r="E107" s="266" t="s">
        <v>516</v>
      </c>
    </row>
    <row r="108" spans="1:11" ht="15.75" thickBot="1" x14ac:dyDescent="0.3">
      <c r="A108" s="421"/>
      <c r="B108" s="266" t="s">
        <v>514</v>
      </c>
      <c r="C108" s="423"/>
      <c r="D108" s="266">
        <v>1.7999999999999999E-2</v>
      </c>
      <c r="E108" s="266" t="s">
        <v>516</v>
      </c>
    </row>
    <row r="109" spans="1:11" ht="15.75" thickBot="1" x14ac:dyDescent="0.3">
      <c r="A109" s="420" t="s">
        <v>512</v>
      </c>
      <c r="B109" s="266" t="s">
        <v>513</v>
      </c>
      <c r="C109" s="423"/>
      <c r="D109" s="266">
        <v>0</v>
      </c>
      <c r="E109" s="266" t="s">
        <v>516</v>
      </c>
    </row>
    <row r="110" spans="1:11" ht="15.75" thickBot="1" x14ac:dyDescent="0.3">
      <c r="A110" s="421"/>
      <c r="B110" s="266" t="s">
        <v>514</v>
      </c>
      <c r="C110" s="424"/>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2" t="s">
        <v>762</v>
      </c>
      <c r="DM94" s="432"/>
      <c r="DN94" s="432" t="s">
        <v>763</v>
      </c>
      <c r="DO94" s="432"/>
      <c r="DP94" s="432" t="s">
        <v>761</v>
      </c>
      <c r="DQ94" s="432"/>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50" t="s">
        <v>743</v>
      </c>
      <c r="E32" s="450"/>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51">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52"/>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53">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54"/>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53">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54"/>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Bryce Mc Call</cp:lastModifiedBy>
  <dcterms:created xsi:type="dcterms:W3CDTF">2023-07-28T07:51:46Z</dcterms:created>
  <dcterms:modified xsi:type="dcterms:W3CDTF">2023-10-12T12:32:43Z</dcterms:modified>
</cp:coreProperties>
</file>