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BD4E1BD0-2FCA-4453-95B6-FB4857ECBD0B}" xr6:coauthVersionLast="47" xr6:coauthVersionMax="47" xr10:uidLastSave="{00000000-0000-0000-0000-000000000000}"/>
  <bookViews>
    <workbookView xWindow="-26" yWindow="9" windowWidth="24652" windowHeight="14854" tabRatio="921" firstSheet="5"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Y213" i="60" l="1"/>
  <c r="Y212" i="60"/>
  <c r="Y211" i="60"/>
  <c r="Y210" i="60"/>
  <c r="Y209" i="60"/>
  <c r="Y208" i="60"/>
  <c r="W213" i="60"/>
  <c r="W212" i="60"/>
  <c r="W211" i="60"/>
  <c r="W210" i="60"/>
  <c r="W209" i="60"/>
  <c r="W208" i="60"/>
  <c r="U209" i="60"/>
  <c r="U210" i="60"/>
  <c r="U211" i="60"/>
  <c r="U212" i="60"/>
  <c r="U213" i="60"/>
  <c r="U208" i="60"/>
  <c r="V211" i="60"/>
  <c r="X211" i="60"/>
  <c r="Z211" i="60"/>
  <c r="V212" i="60"/>
  <c r="X212" i="60"/>
  <c r="Z212" i="60"/>
  <c r="V213" i="60"/>
  <c r="X213" i="60"/>
  <c r="Z213" i="60"/>
  <c r="T212" i="60"/>
  <c r="T213" i="60"/>
  <c r="T211" i="60"/>
  <c r="V208" i="60"/>
  <c r="X208" i="60"/>
  <c r="Z208" i="60"/>
  <c r="V209" i="60"/>
  <c r="X209" i="60"/>
  <c r="Z209" i="60"/>
  <c r="V210" i="60"/>
  <c r="X210" i="60"/>
  <c r="Z210" i="60"/>
  <c r="T209" i="60"/>
  <c r="T210" i="60"/>
  <c r="T208" i="60"/>
  <c r="G210" i="60"/>
  <c r="G211" i="60" s="1"/>
  <c r="G209" i="60"/>
  <c r="Q209" i="60" s="1"/>
  <c r="P208" i="60"/>
  <c r="Q208" i="60"/>
  <c r="R208" i="60"/>
  <c r="P209" i="60"/>
  <c r="R209" i="60"/>
  <c r="O209" i="60"/>
  <c r="O208" i="60"/>
  <c r="K211" i="60"/>
  <c r="L211" i="60"/>
  <c r="M211" i="60"/>
  <c r="K212" i="60"/>
  <c r="L212" i="60"/>
  <c r="M212" i="60"/>
  <c r="K213" i="60"/>
  <c r="L213" i="60"/>
  <c r="M213" i="60"/>
  <c r="J212" i="60"/>
  <c r="J213" i="60"/>
  <c r="J211" i="60"/>
  <c r="K208" i="60"/>
  <c r="L208" i="60"/>
  <c r="M208" i="60"/>
  <c r="K209" i="60"/>
  <c r="L209" i="60"/>
  <c r="M209" i="60"/>
  <c r="K210" i="60"/>
  <c r="L210" i="60"/>
  <c r="M210" i="60"/>
  <c r="J209" i="60"/>
  <c r="J210" i="60"/>
  <c r="J208" i="60"/>
  <c r="G208" i="60"/>
  <c r="H211" i="60"/>
  <c r="H208" i="60"/>
  <c r="F211" i="60"/>
  <c r="E211" i="60"/>
  <c r="D211" i="60"/>
  <c r="C211" i="60"/>
  <c r="D208" i="60"/>
  <c r="E208" i="60"/>
  <c r="F208" i="60"/>
  <c r="C208" i="60"/>
  <c r="H210" i="60"/>
  <c r="H213" i="60" s="1"/>
  <c r="H209" i="60"/>
  <c r="H212" i="60" s="1"/>
  <c r="D159" i="60"/>
  <c r="D160" i="60"/>
  <c r="D158" i="60"/>
  <c r="C159" i="60"/>
  <c r="C160" i="60"/>
  <c r="C158" i="60"/>
  <c r="C162" i="60"/>
  <c r="D162" i="60"/>
  <c r="D22" i="83"/>
  <c r="C22" i="83"/>
  <c r="D21" i="83"/>
  <c r="C21" i="83"/>
  <c r="D20" i="83"/>
  <c r="C20" i="83"/>
  <c r="D19" i="83"/>
  <c r="C19" i="83"/>
  <c r="C16" i="83"/>
  <c r="D16" i="83"/>
  <c r="D15" i="83"/>
  <c r="C15" i="83"/>
  <c r="D14" i="83"/>
  <c r="C14" i="83"/>
  <c r="D13" i="83"/>
  <c r="C13" i="83"/>
  <c r="C9" i="83"/>
  <c r="D9" i="83"/>
  <c r="C10" i="83"/>
  <c r="D10" i="83"/>
  <c r="D8" i="83"/>
  <c r="C8" i="83"/>
  <c r="Q114" i="20"/>
  <c r="Q75" i="20"/>
  <c r="Q39" i="20"/>
  <c r="O35" i="83"/>
  <c r="B291" i="60"/>
  <c r="B292" i="60"/>
  <c r="B290" i="60"/>
  <c r="F281" i="60"/>
  <c r="L134" i="20"/>
  <c r="Q211" i="60" l="1"/>
  <c r="P211" i="60"/>
  <c r="G212" i="60"/>
  <c r="O211" i="60"/>
  <c r="P210" i="60"/>
  <c r="R210" i="60"/>
  <c r="O210" i="60"/>
  <c r="Q210" i="60"/>
  <c r="R211" i="60"/>
  <c r="P7" i="33"/>
  <c r="T7" i="33" s="1"/>
  <c r="Q5" i="33"/>
  <c r="U5" i="33" s="1"/>
  <c r="Q7" i="33"/>
  <c r="U7" i="33" s="1"/>
  <c r="K132"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O212" i="60" l="1"/>
  <c r="Q212" i="60"/>
  <c r="R212" i="60"/>
  <c r="G213" i="60"/>
  <c r="P212" i="60"/>
  <c r="Q10" i="33"/>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P213" i="60" l="1"/>
  <c r="O213" i="60"/>
  <c r="Q213" i="60"/>
  <c r="R213" i="60"/>
  <c r="A9" i="85"/>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P35" i="83"/>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222" i="60"/>
  <c r="P219"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Y29" i="71"/>
  <c r="O29" i="71"/>
  <c r="W29" i="7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79" i="60" l="1"/>
  <c r="B280" i="60"/>
  <c r="B284" i="60" s="1"/>
  <c r="B281" i="60"/>
  <c r="B285" i="60" s="1"/>
  <c r="B282" i="60"/>
  <c r="B286"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217" i="60"/>
  <c r="J171" i="60"/>
  <c r="B161" i="60"/>
  <c r="D161" i="60"/>
  <c r="F161" i="60"/>
  <c r="H161" i="60"/>
  <c r="J161" i="60"/>
  <c r="R219" i="60" s="1"/>
  <c r="P223" i="60"/>
  <c r="P224" i="60" s="1"/>
  <c r="E280" i="60"/>
  <c r="Q223" i="60"/>
  <c r="Q224" i="60" s="1"/>
  <c r="E282" i="60"/>
  <c r="F217" i="60"/>
  <c r="D171" i="60"/>
  <c r="G281" i="60"/>
  <c r="I130" i="60"/>
  <c r="I133" i="60" s="1" a="1"/>
  <c r="I133" i="60" s="1"/>
  <c r="J130" i="60"/>
  <c r="K130" i="60"/>
  <c r="K132" i="60" s="1" a="1"/>
  <c r="K132" i="60" s="1"/>
  <c r="L130" i="60"/>
  <c r="L133" i="60" s="1" a="1"/>
  <c r="L133" i="60" s="1"/>
  <c r="M130" i="60"/>
  <c r="M131" i="60" s="1" a="1"/>
  <c r="M131" i="60" s="1"/>
  <c r="N130" i="60"/>
  <c r="N132" i="60" s="1" a="1"/>
  <c r="N132" i="60" s="1"/>
  <c r="L217" i="60"/>
  <c r="J281" i="60"/>
  <c r="H217" i="60"/>
  <c r="H171" i="60"/>
  <c r="I281" i="60"/>
  <c r="F171" i="60"/>
  <c r="H281"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53" i="60"/>
  <c r="E253" i="60"/>
  <c r="L253" i="60"/>
  <c r="J253" i="60"/>
  <c r="H253" i="60"/>
  <c r="E217" i="60"/>
  <c r="G253" i="60"/>
  <c r="I253" i="60"/>
  <c r="G217" i="60"/>
  <c r="K253" i="60"/>
  <c r="I217" i="60"/>
  <c r="K217" i="60"/>
  <c r="C283" i="60"/>
  <c r="C284" i="60"/>
  <c r="C285" i="60"/>
  <c r="C286" i="60"/>
  <c r="G130" i="60"/>
  <c r="G131" i="60" s="1" a="1"/>
  <c r="G131" i="60" s="1"/>
  <c r="H130" i="60"/>
  <c r="H131" i="60" s="1" a="1"/>
  <c r="H131" i="60" s="1"/>
  <c r="E258" i="60"/>
  <c r="D258" i="60"/>
  <c r="E283" i="60"/>
  <c r="E285" i="60"/>
  <c r="E268" i="60"/>
  <c r="E275" i="60" s="1"/>
  <c r="F268" i="60"/>
  <c r="F275" i="60" s="1"/>
  <c r="F289" i="60" s="1"/>
  <c r="G268" i="60"/>
  <c r="H268" i="60"/>
  <c r="I268" i="60"/>
  <c r="J268" i="60"/>
  <c r="K268" i="60"/>
  <c r="L268" i="60"/>
  <c r="D268" i="60"/>
  <c r="D275" i="60" s="1"/>
  <c r="D170" i="60"/>
  <c r="F170" i="60"/>
  <c r="H170" i="60"/>
  <c r="J170" i="60"/>
  <c r="P220" i="60"/>
  <c r="P221" i="60" s="1"/>
  <c r="C277" i="60"/>
  <c r="C276" i="60"/>
  <c r="B277" i="60"/>
  <c r="B276" i="60"/>
  <c r="A174" i="60"/>
  <c r="A173" i="60"/>
  <c r="Q232" i="60"/>
  <c r="Q233" i="60" s="1"/>
  <c r="Q234" i="60" s="1"/>
  <c r="Q220" i="60"/>
  <c r="Q221" i="60" s="1"/>
  <c r="AC37" i="20"/>
  <c r="AA37" i="20"/>
  <c r="Y37" i="20"/>
  <c r="W37" i="20"/>
  <c r="AM39" i="20"/>
  <c r="D253"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84" i="60" l="1"/>
  <c r="G282" i="60"/>
  <c r="F282" i="60"/>
  <c r="H42" i="20"/>
  <c r="AG36" i="20"/>
  <c r="AG33" i="20"/>
  <c r="AI36" i="20"/>
  <c r="AI33" i="20"/>
  <c r="AK36" i="20"/>
  <c r="AK33" i="20"/>
  <c r="O25" i="33"/>
  <c r="O26" i="33"/>
  <c r="O20" i="33"/>
  <c r="O19" i="33"/>
  <c r="O31" i="33"/>
  <c r="O32" i="33"/>
  <c r="K275" i="60"/>
  <c r="K289" i="60" s="1"/>
  <c r="S268" i="60"/>
  <c r="I275" i="60"/>
  <c r="I289" i="60" s="1"/>
  <c r="Q268" i="60"/>
  <c r="G275" i="60"/>
  <c r="G289" i="60" s="1"/>
  <c r="O268" i="60"/>
  <c r="L275" i="60"/>
  <c r="L289" i="60" s="1"/>
  <c r="T268" i="60"/>
  <c r="J275" i="60"/>
  <c r="J289" i="60" s="1"/>
  <c r="R268" i="60"/>
  <c r="H275" i="60"/>
  <c r="H289" i="60" s="1"/>
  <c r="P268" i="60"/>
  <c r="N268"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83"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86" i="60"/>
  <c r="AB132" i="60" a="1"/>
  <c r="AB132" i="60" s="1"/>
  <c r="H282" i="60"/>
  <c r="J282" i="60"/>
  <c r="I282"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52" i="60"/>
  <c r="I252" i="60"/>
  <c r="K252" i="60"/>
  <c r="F252" i="60"/>
  <c r="C110" i="60"/>
  <c r="I220" i="41"/>
  <c r="J252" i="60"/>
  <c r="E240" i="41"/>
  <c r="I235" i="41"/>
  <c r="AM131" i="60" a="1"/>
  <c r="AM131" i="60" s="1"/>
  <c r="AM132" i="60" a="1"/>
  <c r="AM132" i="60" s="1"/>
  <c r="I170" i="60"/>
  <c r="H252" i="60"/>
  <c r="L252"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299" i="60"/>
  <c r="F299" i="60" s="1"/>
  <c r="C298" i="60"/>
  <c r="F298" i="60" s="1"/>
  <c r="Q47" i="60"/>
  <c r="Q48" i="60"/>
  <c r="AQ134" i="60"/>
  <c r="D50" i="60"/>
  <c r="C146" i="60"/>
  <c r="J47" i="60"/>
  <c r="B44" i="60"/>
  <c r="J50" i="60"/>
  <c r="L48" i="60"/>
  <c r="G48" i="60"/>
  <c r="F50" i="60"/>
  <c r="J46" i="60"/>
  <c r="H47" i="60"/>
  <c r="G49" i="60"/>
  <c r="F48" i="60"/>
  <c r="L134" i="60"/>
  <c r="E145" i="60"/>
  <c r="C297" i="60"/>
  <c r="F297"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H3" i="41" s="1"/>
  <c r="O37" i="74" s="1"/>
  <c r="D4" i="41"/>
  <c r="E4" i="41" s="1"/>
  <c r="F4" i="41" s="1"/>
  <c r="H4" i="41" s="1"/>
  <c r="D5" i="41"/>
  <c r="E5" i="41" s="1"/>
  <c r="F5" i="41" s="1"/>
  <c r="H5" i="41" s="1"/>
  <c r="K34" i="33"/>
  <c r="B168" i="60"/>
  <c r="L158" i="33"/>
  <c r="K42" i="33"/>
  <c r="H34" i="62"/>
  <c r="H33" i="62"/>
  <c r="H31" i="62"/>
  <c r="H32" i="62"/>
  <c r="Q73" i="41"/>
  <c r="Q74" i="41"/>
  <c r="Q7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8" i="60"/>
  <c r="N46" i="60"/>
  <c r="G5" i="41" l="1"/>
  <c r="N39" i="74"/>
  <c r="V6" i="33"/>
  <c r="G4" i="41"/>
  <c r="O41" i="74"/>
  <c r="E90" i="41"/>
  <c r="E105" i="41"/>
  <c r="H7" i="41"/>
  <c r="V5" i="33" s="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V4" i="33" s="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4" i="33"/>
  <c r="H157" i="33" s="1"/>
  <c r="E103" i="41"/>
  <c r="H127" i="33"/>
  <c r="H130" i="33" s="1"/>
  <c r="H138" i="33" s="1"/>
  <c r="H146" i="33" s="1"/>
  <c r="E91" i="41"/>
  <c r="E97" i="41"/>
  <c r="E100" i="41"/>
  <c r="E106"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G7" i="41"/>
  <c r="K45" i="33"/>
  <c r="I37" i="20"/>
  <c r="K61" i="60"/>
  <c r="J68" i="60"/>
  <c r="G63" i="60"/>
  <c r="F70" i="60"/>
  <c r="J63" i="60"/>
  <c r="H61" i="60"/>
  <c r="H68" i="60" s="1"/>
  <c r="G68" i="60"/>
  <c r="D168" i="60"/>
  <c r="C182" i="60" s="1"/>
  <c r="C167" i="60"/>
  <c r="C166" i="60"/>
  <c r="C194" i="60" l="1"/>
  <c r="C192" i="60" s="1"/>
  <c r="C174" i="60"/>
  <c r="C187" i="60"/>
  <c r="C173" i="60"/>
  <c r="E250" i="60" s="1"/>
  <c r="H11" i="41"/>
  <c r="H12" i="41" s="1"/>
  <c r="K5" i="41"/>
  <c r="L82" i="41"/>
  <c r="I82" i="41"/>
  <c r="J82" i="41"/>
  <c r="M82" i="41"/>
  <c r="N82" i="41"/>
  <c r="K82" i="41"/>
  <c r="F82" i="41"/>
  <c r="G82" i="41"/>
  <c r="X4" i="33"/>
  <c r="V7" i="33"/>
  <c r="O82" i="41"/>
  <c r="H82" i="41"/>
  <c r="O40" i="74"/>
  <c r="S38" i="74"/>
  <c r="F85" i="41"/>
  <c r="F86" i="41"/>
  <c r="F84" i="41"/>
  <c r="F87" i="41"/>
  <c r="M131" i="41"/>
  <c r="M133" i="41"/>
  <c r="M138" i="41"/>
  <c r="M136" i="41"/>
  <c r="M137" i="41"/>
  <c r="M135" i="41"/>
  <c r="M134" i="41"/>
  <c r="M132" i="41"/>
  <c r="L41" i="74"/>
  <c r="L40" i="74"/>
  <c r="K55" i="74"/>
  <c r="J55" i="74"/>
  <c r="G55" i="74"/>
  <c r="F70" i="74"/>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83" i="33"/>
  <c r="K6" i="41"/>
  <c r="H87"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0" i="33"/>
  <c r="H123" i="33"/>
  <c r="H91" i="33"/>
  <c r="G10" i="41"/>
  <c r="H63" i="60"/>
  <c r="H70" i="60" s="1"/>
  <c r="G70" i="60"/>
  <c r="E162" i="60"/>
  <c r="E168" i="60" s="1"/>
  <c r="D182" i="60" s="1"/>
  <c r="D167" i="60"/>
  <c r="D166" i="60"/>
  <c r="K63" i="60"/>
  <c r="J70" i="60"/>
  <c r="B77" i="60" s="1"/>
  <c r="L61" i="60"/>
  <c r="L68" i="60" s="1"/>
  <c r="D76" i="60" s="1"/>
  <c r="K68" i="60"/>
  <c r="C76" i="60" s="1"/>
  <c r="D194" i="60" l="1"/>
  <c r="D192" i="60" s="1"/>
  <c r="D173" i="60"/>
  <c r="D174" i="60"/>
  <c r="C181" i="60"/>
  <c r="D187" i="60"/>
  <c r="F71" i="74"/>
  <c r="W4" i="33"/>
  <c r="W5" i="33"/>
  <c r="W6" i="33"/>
  <c r="S15" i="33"/>
  <c r="S20" i="33"/>
  <c r="S17" i="33"/>
  <c r="S16" i="33"/>
  <c r="X7" i="33"/>
  <c r="S18" i="33"/>
  <c r="S19" i="33"/>
  <c r="H95" i="33"/>
  <c r="H103" i="33"/>
  <c r="H111" i="33" s="1"/>
  <c r="H75" i="33"/>
  <c r="H67" i="33"/>
  <c r="F42" i="74"/>
  <c r="F43" i="74"/>
  <c r="S41" i="74"/>
  <c r="I84" i="41"/>
  <c r="I26" i="74" s="1"/>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82" i="60" s="1"/>
  <c r="E167" i="60"/>
  <c r="E166" i="60"/>
  <c r="E194" i="60" l="1"/>
  <c r="E192" i="60" s="1"/>
  <c r="C186" i="60"/>
  <c r="C193" i="60"/>
  <c r="C191" i="60" s="1"/>
  <c r="E173" i="60"/>
  <c r="E174" i="60"/>
  <c r="E187" i="60"/>
  <c r="D181" i="60"/>
  <c r="Y4" i="33"/>
  <c r="W7" i="33"/>
  <c r="K43" i="74"/>
  <c r="L43" i="74"/>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82" i="60" s="1"/>
  <c r="F167" i="60"/>
  <c r="F166" i="60"/>
  <c r="N176" i="60"/>
  <c r="B177" i="60"/>
  <c r="D186" i="60" l="1"/>
  <c r="D193" i="60"/>
  <c r="D191" i="60" s="1"/>
  <c r="F194" i="60"/>
  <c r="F192" i="60" s="1"/>
  <c r="F174" i="60"/>
  <c r="F187" i="60"/>
  <c r="E181" i="60"/>
  <c r="F173" i="60"/>
  <c r="Y5" i="33"/>
  <c r="Z5" i="33" s="1"/>
  <c r="S24" i="74"/>
  <c r="F27" i="74" s="1"/>
  <c r="L48" i="74"/>
  <c r="O48" i="74"/>
  <c r="F48" i="74"/>
  <c r="S44" i="74"/>
  <c r="K48" i="74"/>
  <c r="I48" i="74"/>
  <c r="N48" i="74"/>
  <c r="S72" i="74"/>
  <c r="G75" i="74" s="1"/>
  <c r="S25" i="74"/>
  <c r="I28" i="74" s="1"/>
  <c r="J48" i="74"/>
  <c r="M48" i="74"/>
  <c r="H48" i="74"/>
  <c r="S71" i="74"/>
  <c r="I74" i="74" s="1"/>
  <c r="S73" i="74"/>
  <c r="G76" i="74" s="1"/>
  <c r="G48" i="74"/>
  <c r="P43" i="74"/>
  <c r="S43" i="74" s="1"/>
  <c r="P42" i="74"/>
  <c r="S42" i="74" s="1"/>
  <c r="S26" i="74"/>
  <c r="K29" i="74" s="1"/>
  <c r="P23" i="83"/>
  <c r="S124" i="20" s="1"/>
  <c r="R124" i="20"/>
  <c r="I176" i="60"/>
  <c r="H176" i="60"/>
  <c r="J176" i="60"/>
  <c r="D176" i="60"/>
  <c r="D177" i="60" s="1"/>
  <c r="F176" i="60"/>
  <c r="E176" i="60"/>
  <c r="E177" i="60" s="1"/>
  <c r="C176" i="60"/>
  <c r="C177" i="60" s="1"/>
  <c r="G176" i="60"/>
  <c r="G166" i="60"/>
  <c r="G173" i="60" s="1"/>
  <c r="G167" i="60"/>
  <c r="H162" i="60"/>
  <c r="H168" i="60" s="1"/>
  <c r="F177" i="60" l="1"/>
  <c r="E186" i="60"/>
  <c r="E193" i="60"/>
  <c r="E191" i="60" s="1"/>
  <c r="G174" i="60"/>
  <c r="G177" i="60" s="1"/>
  <c r="F181" i="60"/>
  <c r="G27" i="74"/>
  <c r="S26" i="33"/>
  <c r="Y7" i="33"/>
  <c r="J27" i="74"/>
  <c r="Z6" i="33"/>
  <c r="Z7" i="33" s="1"/>
  <c r="S24" i="33"/>
  <c r="S23" i="33"/>
  <c r="K27" i="74"/>
  <c r="S22" i="33"/>
  <c r="S25" i="33"/>
  <c r="S21" i="33"/>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H167" i="60"/>
  <c r="H174" i="60" s="1"/>
  <c r="H177" i="60" s="1"/>
  <c r="H166" i="60"/>
  <c r="H173" i="60" s="1"/>
  <c r="I162" i="60"/>
  <c r="I168" i="60" s="1"/>
  <c r="F186" i="60" l="1"/>
  <c r="F193" i="60"/>
  <c r="F191" i="60" s="1"/>
  <c r="S31" i="33"/>
  <c r="S32" i="33"/>
  <c r="S27" i="33"/>
  <c r="S30" i="33"/>
  <c r="S28" i="33"/>
  <c r="S29" i="33"/>
  <c r="H31" i="74"/>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S33" i="33" l="1"/>
  <c r="T26" i="33" s="1"/>
  <c r="K123" i="33" s="1"/>
  <c r="W30" i="33"/>
  <c r="S32" i="74"/>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N114" i="41"/>
  <c r="N116" i="41"/>
  <c r="N133" i="41"/>
  <c r="O133" i="41" s="1"/>
  <c r="H131" i="33" s="1"/>
  <c r="N126" i="41"/>
  <c r="N124" i="41"/>
  <c r="N121" i="41"/>
  <c r="S53" i="74"/>
  <c r="F55" i="74"/>
  <c r="F57" i="74" s="1"/>
  <c r="S57" i="74" s="1"/>
  <c r="N111" i="41"/>
  <c r="N137" i="41"/>
  <c r="O137" i="41" s="1"/>
  <c r="N128" i="41"/>
  <c r="N131" i="41"/>
  <c r="O131" i="41" s="1"/>
  <c r="N125" i="41"/>
  <c r="J167" i="60"/>
  <c r="J174" i="60" s="1"/>
  <c r="J177" i="60" s="1"/>
  <c r="J166" i="60"/>
  <c r="J173" i="60" s="1"/>
  <c r="O221" i="60"/>
  <c r="O219" i="60"/>
  <c r="O220" i="60"/>
  <c r="O234" i="60"/>
  <c r="O232" i="60"/>
  <c r="O233" i="60"/>
  <c r="S112" i="41" l="1"/>
  <c r="T27" i="33"/>
  <c r="K127" i="33" s="1"/>
  <c r="T30" i="33"/>
  <c r="K146" i="33" s="1"/>
  <c r="T22" i="33"/>
  <c r="K95" i="33" s="1"/>
  <c r="T18" i="33"/>
  <c r="K75" i="33" s="1"/>
  <c r="T17" i="33"/>
  <c r="K67" i="33" s="1"/>
  <c r="O81" i="41"/>
  <c r="T21" i="33"/>
  <c r="K91" i="33" s="1"/>
  <c r="T31" i="33"/>
  <c r="K154" i="33" s="1"/>
  <c r="T24" i="33"/>
  <c r="K111" i="33" s="1"/>
  <c r="T23" i="33"/>
  <c r="K103" i="33" s="1"/>
  <c r="T28" i="33"/>
  <c r="K130" i="33" s="1"/>
  <c r="T20" i="33"/>
  <c r="K87" i="33" s="1"/>
  <c r="T32" i="33"/>
  <c r="K157" i="33" s="1"/>
  <c r="T15" i="33"/>
  <c r="K55" i="33" s="1"/>
  <c r="T16" i="33"/>
  <c r="K59" i="33" s="1"/>
  <c r="T29" i="33"/>
  <c r="K138" i="33" s="1"/>
  <c r="T19" i="33"/>
  <c r="K83" i="33" s="1"/>
  <c r="T25" i="33"/>
  <c r="K120" i="33" s="1"/>
  <c r="J81" i="4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H233" i="60"/>
  <c r="J233" i="60"/>
  <c r="K233" i="60"/>
  <c r="I233" i="60"/>
  <c r="F233" i="60"/>
  <c r="L233" i="60"/>
  <c r="G233" i="60"/>
  <c r="H232" i="60"/>
  <c r="G232" i="60"/>
  <c r="L232" i="60"/>
  <c r="K232" i="60"/>
  <c r="I232" i="60"/>
  <c r="J232" i="60"/>
  <c r="F232" i="60"/>
  <c r="H234" i="60"/>
  <c r="J234" i="60"/>
  <c r="G234" i="60"/>
  <c r="I234" i="60"/>
  <c r="L234" i="60"/>
  <c r="K234" i="60"/>
  <c r="F234" i="60"/>
  <c r="J220" i="60"/>
  <c r="J242" i="60" s="1"/>
  <c r="E198" i="60" s="1"/>
  <c r="E204" i="60" s="1"/>
  <c r="L220" i="60"/>
  <c r="L242" i="60" s="1"/>
  <c r="F198" i="60" s="1"/>
  <c r="F204" i="60" s="1"/>
  <c r="E220" i="60"/>
  <c r="E242" i="60" s="1"/>
  <c r="F220" i="60"/>
  <c r="F242" i="60" s="1"/>
  <c r="C198" i="60" s="1"/>
  <c r="C204" i="60" s="1"/>
  <c r="K220" i="60"/>
  <c r="K242" i="60" s="1"/>
  <c r="D220" i="60"/>
  <c r="D242" i="60" s="1"/>
  <c r="G220" i="60"/>
  <c r="G242" i="60" s="1"/>
  <c r="H220" i="60"/>
  <c r="H242" i="60" s="1"/>
  <c r="D198" i="60" s="1"/>
  <c r="D204" i="60" s="1"/>
  <c r="I220" i="60"/>
  <c r="I242" i="60" s="1"/>
  <c r="F254" i="60"/>
  <c r="K254" i="60" s="1"/>
  <c r="J219" i="60"/>
  <c r="J241" i="60" s="1"/>
  <c r="K219" i="60"/>
  <c r="K241" i="60" s="1"/>
  <c r="E219" i="60"/>
  <c r="E241" i="60" s="1"/>
  <c r="G219" i="60"/>
  <c r="G241" i="60" s="1"/>
  <c r="I219" i="60"/>
  <c r="I241" i="60" s="1"/>
  <c r="D219" i="60"/>
  <c r="L219" i="60"/>
  <c r="L241" i="60" s="1"/>
  <c r="F219" i="60"/>
  <c r="F241" i="60" s="1"/>
  <c r="F269" i="60" s="1"/>
  <c r="H219" i="60"/>
  <c r="H241" i="60" s="1"/>
  <c r="O223" i="60"/>
  <c r="O222" i="60"/>
  <c r="O224" i="60"/>
  <c r="H221" i="60"/>
  <c r="D221" i="60"/>
  <c r="J221" i="60"/>
  <c r="E221" i="60"/>
  <c r="K221" i="60"/>
  <c r="G221" i="60"/>
  <c r="I221" i="60"/>
  <c r="L221" i="60"/>
  <c r="F221" i="60"/>
  <c r="E209" i="60" l="1"/>
  <c r="E210" i="60" s="1"/>
  <c r="D209" i="60"/>
  <c r="D210" i="60" s="1"/>
  <c r="C206" i="60"/>
  <c r="C209" i="60"/>
  <c r="C210" i="60" s="1"/>
  <c r="F210" i="60"/>
  <c r="F209" i="60"/>
  <c r="G64" i="74"/>
  <c r="T33" i="33"/>
  <c r="F276" i="60"/>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43" i="60"/>
  <c r="C200" i="60" s="1"/>
  <c r="J243" i="60"/>
  <c r="E200" i="60" s="1"/>
  <c r="E206" i="60" s="1"/>
  <c r="L243" i="60"/>
  <c r="F200" i="60" s="1"/>
  <c r="F206" i="60" s="1"/>
  <c r="G243" i="60"/>
  <c r="E243" i="60"/>
  <c r="E270" i="60" s="1"/>
  <c r="D243" i="60"/>
  <c r="D270" i="60" s="1"/>
  <c r="I243" i="60"/>
  <c r="K243" i="60"/>
  <c r="H243" i="60"/>
  <c r="D200" i="60" s="1"/>
  <c r="D206" i="60" s="1"/>
  <c r="T168" i="60"/>
  <c r="D241" i="60"/>
  <c r="D269" i="60" s="1"/>
  <c r="G254" i="60"/>
  <c r="G260" i="60" s="1"/>
  <c r="G271" i="60" s="1"/>
  <c r="G272" i="60" s="1"/>
  <c r="K260" i="60"/>
  <c r="K271" i="60" s="1"/>
  <c r="K272" i="60" s="1"/>
  <c r="H235" i="60"/>
  <c r="J236" i="60"/>
  <c r="J235" i="60"/>
  <c r="J254" i="60"/>
  <c r="J250" i="60"/>
  <c r="J258" i="60"/>
  <c r="F235" i="60"/>
  <c r="L254" i="60"/>
  <c r="I250" i="60"/>
  <c r="I258" i="60"/>
  <c r="L235" i="60"/>
  <c r="I236" i="60"/>
  <c r="K250" i="60"/>
  <c r="K258" i="60"/>
  <c r="D254" i="60"/>
  <c r="H236" i="60"/>
  <c r="L258" i="60"/>
  <c r="L250" i="60"/>
  <c r="I235" i="60"/>
  <c r="G236" i="60"/>
  <c r="G250" i="60"/>
  <c r="G258" i="60"/>
  <c r="G235" i="60"/>
  <c r="H250" i="60"/>
  <c r="H258" i="60"/>
  <c r="L222" i="60"/>
  <c r="F255" i="60"/>
  <c r="I255" i="60" s="1"/>
  <c r="D222" i="60"/>
  <c r="I222" i="60"/>
  <c r="K222" i="60"/>
  <c r="E222" i="60"/>
  <c r="F222" i="60"/>
  <c r="F238" i="60" s="1"/>
  <c r="H222" i="60"/>
  <c r="J222" i="60"/>
  <c r="G222" i="60"/>
  <c r="K235" i="60"/>
  <c r="E223" i="60"/>
  <c r="L223" i="60"/>
  <c r="H223" i="60"/>
  <c r="K223" i="60"/>
  <c r="I223" i="60"/>
  <c r="J223" i="60"/>
  <c r="F223" i="60"/>
  <c r="G223" i="60"/>
  <c r="D223" i="60"/>
  <c r="F250" i="60"/>
  <c r="F258" i="60"/>
  <c r="E235" i="60"/>
  <c r="E254" i="60"/>
  <c r="E269" i="60"/>
  <c r="K236" i="60"/>
  <c r="I254" i="60"/>
  <c r="F236" i="60"/>
  <c r="E236" i="60"/>
  <c r="F260" i="60"/>
  <c r="F271" i="60" s="1"/>
  <c r="F272" i="60" s="1"/>
  <c r="H224" i="60"/>
  <c r="K224" i="60"/>
  <c r="F224" i="60"/>
  <c r="G224" i="60"/>
  <c r="D224" i="60"/>
  <c r="L224" i="60"/>
  <c r="I224" i="60"/>
  <c r="E224" i="60"/>
  <c r="J224" i="60"/>
  <c r="H254" i="60"/>
  <c r="L236" i="60"/>
  <c r="E212" i="60" l="1"/>
  <c r="E213" i="60" s="1"/>
  <c r="D212" i="60"/>
  <c r="D213" i="60" s="1"/>
  <c r="F212" i="60"/>
  <c r="F213" i="60" s="1"/>
  <c r="C212" i="60"/>
  <c r="C213" i="60" s="1"/>
  <c r="F270" i="60"/>
  <c r="F277" i="60" s="1"/>
  <c r="F273"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70" i="60"/>
  <c r="H269" i="60"/>
  <c r="I270" i="60"/>
  <c r="I269" i="60"/>
  <c r="L270" i="60"/>
  <c r="L269" i="60"/>
  <c r="K270" i="60"/>
  <c r="K269" i="60"/>
  <c r="G270" i="60"/>
  <c r="G269" i="60"/>
  <c r="J270" i="60"/>
  <c r="J269" i="60"/>
  <c r="J229" i="60"/>
  <c r="J244" i="60"/>
  <c r="J226" i="60"/>
  <c r="J247" i="60"/>
  <c r="I279" i="60" s="1"/>
  <c r="F256" i="60"/>
  <c r="F262" i="60" s="1"/>
  <c r="G283" i="60" s="1"/>
  <c r="F257" i="60"/>
  <c r="F261" i="60" s="1"/>
  <c r="G285" i="60" s="1"/>
  <c r="I230" i="60"/>
  <c r="I248" i="60"/>
  <c r="I245" i="60"/>
  <c r="I227" i="60"/>
  <c r="H226" i="60"/>
  <c r="H247" i="60"/>
  <c r="H279" i="60" s="1"/>
  <c r="H244" i="60"/>
  <c r="H229" i="60"/>
  <c r="L244" i="60"/>
  <c r="L226" i="60"/>
  <c r="L247" i="60"/>
  <c r="J279" i="60" s="1"/>
  <c r="L229" i="60"/>
  <c r="K248" i="60"/>
  <c r="K230" i="60"/>
  <c r="K245" i="60"/>
  <c r="K227" i="60"/>
  <c r="F229" i="60"/>
  <c r="F247" i="60"/>
  <c r="G279" i="60" s="1"/>
  <c r="F244" i="60"/>
  <c r="F226" i="60"/>
  <c r="E228" i="60"/>
  <c r="E249" i="60"/>
  <c r="E246" i="60"/>
  <c r="E231" i="60"/>
  <c r="H230" i="60"/>
  <c r="H227" i="60"/>
  <c r="H248" i="60"/>
  <c r="H245" i="60"/>
  <c r="D197" i="60" s="1"/>
  <c r="D203" i="60" s="1"/>
  <c r="G255" i="60"/>
  <c r="J248" i="60"/>
  <c r="J227" i="60"/>
  <c r="J245" i="60"/>
  <c r="E197" i="60" s="1"/>
  <c r="E203" i="60" s="1"/>
  <c r="J230" i="60"/>
  <c r="H260" i="60"/>
  <c r="H271" i="60" s="1"/>
  <c r="H272" i="60" s="1"/>
  <c r="J260" i="60"/>
  <c r="J271" i="60" s="1"/>
  <c r="J272" i="60" s="1"/>
  <c r="J246" i="60"/>
  <c r="E199" i="60" s="1"/>
  <c r="E205" i="60" s="1"/>
  <c r="J228" i="60"/>
  <c r="J231" i="60"/>
  <c r="J249" i="60"/>
  <c r="I280" i="60" s="1"/>
  <c r="I228" i="60"/>
  <c r="I231" i="60"/>
  <c r="I246" i="60"/>
  <c r="I249" i="60"/>
  <c r="E260" i="60"/>
  <c r="E271" i="60" s="1"/>
  <c r="L245" i="60"/>
  <c r="F197" i="60" s="1"/>
  <c r="F203" i="60" s="1"/>
  <c r="L230" i="60"/>
  <c r="L227" i="60"/>
  <c r="L248" i="60"/>
  <c r="E247" i="60"/>
  <c r="E226" i="60"/>
  <c r="E229" i="60"/>
  <c r="E255" i="60" s="1"/>
  <c r="E244" i="60"/>
  <c r="F248" i="60"/>
  <c r="F230" i="60"/>
  <c r="F227" i="60"/>
  <c r="F245" i="60"/>
  <c r="C197" i="60" s="1"/>
  <c r="C203" i="60" s="1"/>
  <c r="C205" i="60" s="1"/>
  <c r="I257" i="60"/>
  <c r="I261" i="60" s="1"/>
  <c r="I256" i="60"/>
  <c r="I262" i="60" s="1"/>
  <c r="I260" i="60"/>
  <c r="I271" i="60" s="1"/>
  <c r="I272" i="60" s="1"/>
  <c r="E245" i="60"/>
  <c r="E227" i="60"/>
  <c r="E230" i="60"/>
  <c r="E248" i="60"/>
  <c r="K226" i="60"/>
  <c r="K244" i="60"/>
  <c r="K247" i="60"/>
  <c r="K229" i="60"/>
  <c r="D228" i="60"/>
  <c r="D249" i="60"/>
  <c r="F280" i="60" s="1"/>
  <c r="D246" i="60"/>
  <c r="D231" i="60"/>
  <c r="D244" i="60"/>
  <c r="D226" i="60"/>
  <c r="D247" i="60"/>
  <c r="F279" i="60" s="1"/>
  <c r="D229" i="60"/>
  <c r="D260" i="60"/>
  <c r="D271" i="60" s="1"/>
  <c r="L260" i="60"/>
  <c r="L271" i="60" s="1"/>
  <c r="L272" i="60" s="1"/>
  <c r="G244" i="60"/>
  <c r="G247" i="60"/>
  <c r="G226" i="60"/>
  <c r="G229" i="60"/>
  <c r="L249" i="60"/>
  <c r="J280" i="60" s="1"/>
  <c r="L228" i="60"/>
  <c r="L246" i="60"/>
  <c r="F199" i="60" s="1"/>
  <c r="F205" i="60" s="1"/>
  <c r="L231" i="60"/>
  <c r="G228" i="60"/>
  <c r="G246" i="60"/>
  <c r="G249" i="60"/>
  <c r="G231" i="60"/>
  <c r="K255" i="60"/>
  <c r="F246" i="60"/>
  <c r="C199" i="60" s="1"/>
  <c r="F228" i="60"/>
  <c r="F249" i="60"/>
  <c r="G280" i="60" s="1"/>
  <c r="F231" i="60"/>
  <c r="K249" i="60"/>
  <c r="K231" i="60"/>
  <c r="K228" i="60"/>
  <c r="K246" i="60"/>
  <c r="D248" i="60"/>
  <c r="D245" i="60"/>
  <c r="D227" i="60"/>
  <c r="D230" i="60"/>
  <c r="J255" i="60"/>
  <c r="I244" i="60"/>
  <c r="I247" i="60"/>
  <c r="I226" i="60"/>
  <c r="I229" i="60"/>
  <c r="H246" i="60"/>
  <c r="D199" i="60" s="1"/>
  <c r="D205" i="60" s="1"/>
  <c r="H231" i="60"/>
  <c r="H249" i="60"/>
  <c r="H280" i="60" s="1"/>
  <c r="H228" i="60"/>
  <c r="G230" i="60"/>
  <c r="G245" i="60"/>
  <c r="G227" i="60"/>
  <c r="G248" i="60"/>
  <c r="L255" i="60"/>
  <c r="H255" i="60"/>
  <c r="F274" i="60" l="1"/>
  <c r="N269" i="60"/>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69" i="60"/>
  <c r="S269" i="60"/>
  <c r="Q269" i="60"/>
  <c r="R269" i="60"/>
  <c r="P269" i="60"/>
  <c r="O269" i="60"/>
  <c r="J273" i="60"/>
  <c r="J276" i="60" s="1"/>
  <c r="G273" i="60"/>
  <c r="G276" i="60" s="1"/>
  <c r="K273" i="60"/>
  <c r="K276" i="60" s="1"/>
  <c r="L276" i="60"/>
  <c r="L273" i="60"/>
  <c r="I273" i="60"/>
  <c r="I276" i="60" s="1"/>
  <c r="H273" i="60"/>
  <c r="H276" i="60" s="1"/>
  <c r="D272" i="60"/>
  <c r="D274" i="60" s="1"/>
  <c r="D277" i="60" s="1"/>
  <c r="D273" i="60"/>
  <c r="D276" i="60" s="1"/>
  <c r="E272" i="60"/>
  <c r="E274" i="60" s="1"/>
  <c r="E277" i="60" s="1"/>
  <c r="E273" i="60"/>
  <c r="E276" i="60" s="1"/>
  <c r="J274" i="60"/>
  <c r="J277" i="60" s="1"/>
  <c r="G274" i="60"/>
  <c r="G277" i="60" s="1"/>
  <c r="K274" i="60"/>
  <c r="K277" i="60" s="1"/>
  <c r="L274" i="60"/>
  <c r="L277" i="60" s="1"/>
  <c r="I274" i="60"/>
  <c r="I277" i="60" s="1"/>
  <c r="H274" i="60"/>
  <c r="H277" i="60" s="1"/>
  <c r="I259" i="60"/>
  <c r="G284" i="60"/>
  <c r="H257" i="60"/>
  <c r="H261" i="60" s="1"/>
  <c r="H285" i="60" s="1"/>
  <c r="H256" i="60"/>
  <c r="H262" i="60" s="1"/>
  <c r="H283" i="60" s="1"/>
  <c r="L257" i="60"/>
  <c r="L261" i="60" s="1"/>
  <c r="J285" i="60" s="1"/>
  <c r="L256" i="60"/>
  <c r="L262" i="60" s="1"/>
  <c r="J283" i="60" s="1"/>
  <c r="J256" i="60"/>
  <c r="J262" i="60" s="1"/>
  <c r="I283" i="60" s="1"/>
  <c r="J257" i="60"/>
  <c r="J261" i="60" s="1"/>
  <c r="I285" i="60" s="1"/>
  <c r="E256" i="60"/>
  <c r="E262" i="60" s="1"/>
  <c r="E257" i="60"/>
  <c r="E261" i="60" s="1"/>
  <c r="D255" i="60"/>
  <c r="F259" i="60"/>
  <c r="K256" i="60"/>
  <c r="K262" i="60" s="1"/>
  <c r="K257" i="60"/>
  <c r="K261" i="60" s="1"/>
  <c r="G257" i="60"/>
  <c r="G261" i="60" s="1"/>
  <c r="G256" i="60"/>
  <c r="G262" i="60" s="1"/>
  <c r="G286" i="60"/>
  <c r="O190" i="41" l="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59" i="60"/>
  <c r="L259" i="60"/>
  <c r="H259" i="60"/>
  <c r="D256" i="60"/>
  <c r="D262" i="60" s="1"/>
  <c r="F283" i="60" s="1"/>
  <c r="F284" i="60" s="1"/>
  <c r="D257" i="60"/>
  <c r="D261" i="60" s="1"/>
  <c r="F285" i="60" s="1"/>
  <c r="F286" i="60" s="1"/>
  <c r="J284" i="60"/>
  <c r="J286" i="60"/>
  <c r="H286" i="60"/>
  <c r="I284" i="60"/>
  <c r="I286" i="60"/>
  <c r="J259" i="60"/>
  <c r="H284" i="60"/>
  <c r="G259" i="60"/>
  <c r="E259" i="60"/>
  <c r="P183" i="41" l="1"/>
  <c r="S183" i="41"/>
  <c r="H78" i="33"/>
  <c r="L178" i="41"/>
  <c r="L149" i="33"/>
  <c r="H152" i="33"/>
  <c r="Q193" i="41"/>
  <c r="J42" i="33"/>
  <c r="J48" i="33" s="1"/>
  <c r="P193" i="41"/>
  <c r="S193" i="41"/>
  <c r="H115" i="33"/>
  <c r="L115" i="33" s="1"/>
  <c r="L188" i="41"/>
  <c r="Q183" i="41"/>
  <c r="R183" i="41"/>
  <c r="R193" i="41"/>
  <c r="N84" i="20"/>
  <c r="D259" i="60"/>
  <c r="K114" i="33"/>
  <c r="L114" i="33" s="1"/>
  <c r="H84" i="20" l="1"/>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H129" i="20" l="1"/>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H53" i="20" l="1"/>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I174" i="33" l="1"/>
  <c r="R95" i="20"/>
  <c r="Q95" i="20"/>
  <c r="H101" i="20"/>
  <c r="H89" i="20"/>
  <c r="I45" i="33"/>
  <c r="I44" i="33"/>
  <c r="I173" i="33"/>
  <c r="I43" i="33"/>
  <c r="I172" i="33"/>
  <c r="I38" i="33"/>
  <c r="C11" i="20" s="1"/>
  <c r="N44" i="20"/>
  <c r="J12" i="20"/>
  <c r="H175" i="33"/>
  <c r="L76" i="33"/>
  <c r="H44" i="20" l="1"/>
  <c r="I175" i="33"/>
  <c r="L113" i="33" l="1"/>
  <c r="L147" i="33" l="1"/>
  <c r="G42" i="33" s="1"/>
  <c r="G48" i="33" s="1"/>
  <c r="I56" i="33" l="1"/>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5" i="33"/>
  <c r="N52" i="20"/>
  <c r="H52" i="20" l="1"/>
  <c r="H45" i="20"/>
  <c r="N61" i="20"/>
  <c r="N83" i="20"/>
  <c r="N120" i="20"/>
  <c r="M48" i="20"/>
  <c r="N47" i="20"/>
  <c r="H120" i="20" l="1"/>
  <c r="H83" i="20"/>
  <c r="H47" i="20"/>
  <c r="H61" i="20"/>
  <c r="N135" i="20" l="1"/>
  <c r="J9" i="20"/>
  <c r="H135" i="20" l="1"/>
  <c r="N138" i="20"/>
  <c r="L75" i="33" l="1"/>
  <c r="I75" i="33" s="1"/>
  <c r="M62" i="20" s="1"/>
  <c r="L146" i="33" l="1"/>
  <c r="I146" i="33" s="1"/>
  <c r="F19" i="33"/>
  <c r="M133" i="20" l="1"/>
  <c r="N133" i="20" s="1"/>
  <c r="M134" i="20"/>
  <c r="N134" i="20" s="1"/>
  <c r="N62" i="20"/>
  <c r="M66" i="20"/>
  <c r="F35" i="33"/>
  <c r="M34" i="33" s="1"/>
  <c r="M132" i="20"/>
  <c r="AE62" i="20" l="1"/>
  <c r="AE64" i="20"/>
  <c r="AE65" i="20"/>
  <c r="AE63" i="20"/>
  <c r="V62" i="20"/>
  <c r="AE61" i="20"/>
  <c r="H133" i="20"/>
  <c r="H134" i="20"/>
  <c r="V61" i="20"/>
  <c r="V64" i="20"/>
  <c r="V65" i="20"/>
  <c r="V63" i="20"/>
  <c r="H62" i="20"/>
  <c r="E13" i="85"/>
  <c r="N132" i="20"/>
  <c r="V132" i="20" s="1"/>
  <c r="AE132" i="20" s="1"/>
  <c r="M138" i="20"/>
  <c r="N66" i="20"/>
  <c r="W132" i="20" l="1"/>
  <c r="V133" i="20"/>
  <c r="V134" i="20"/>
  <c r="AL61" i="20"/>
  <c r="AJ61" i="20"/>
  <c r="AK61" i="20"/>
  <c r="AH61" i="20"/>
  <c r="AE66" i="20"/>
  <c r="AG61" i="20"/>
  <c r="AI61" i="20"/>
  <c r="AF61" i="20"/>
  <c r="AA61" i="20"/>
  <c r="Z62" i="20"/>
  <c r="AI62" i="20" s="1"/>
  <c r="W62" i="20"/>
  <c r="AF62" i="20" s="1"/>
  <c r="X62" i="20"/>
  <c r="AG62" i="20" s="1"/>
  <c r="AB61" i="20"/>
  <c r="AA62" i="20"/>
  <c r="AJ62" i="20" s="1"/>
  <c r="X61" i="20"/>
  <c r="AC61" i="20"/>
  <c r="AB62" i="20"/>
  <c r="AK62" i="20" s="1"/>
  <c r="Y61" i="20"/>
  <c r="W61" i="20"/>
  <c r="Z61" i="20"/>
  <c r="Y62" i="20"/>
  <c r="AH62" i="20" s="1"/>
  <c r="AC62" i="20"/>
  <c r="AL62" i="20" s="1"/>
  <c r="Z63" i="20"/>
  <c r="AI63" i="20" s="1"/>
  <c r="W63" i="20"/>
  <c r="AF63" i="20" s="1"/>
  <c r="AA63" i="20"/>
  <c r="AJ63" i="20" s="1"/>
  <c r="AC63" i="20"/>
  <c r="AL63" i="20" s="1"/>
  <c r="X63" i="20"/>
  <c r="AG63" i="20" s="1"/>
  <c r="AB63" i="20"/>
  <c r="AK63" i="20" s="1"/>
  <c r="Y63" i="20"/>
  <c r="AH63" i="20" s="1"/>
  <c r="Y65" i="20"/>
  <c r="AH65" i="20" s="1"/>
  <c r="AC65" i="20"/>
  <c r="AL65" i="20" s="1"/>
  <c r="Z65" i="20"/>
  <c r="AI65" i="20" s="1"/>
  <c r="AB65" i="20"/>
  <c r="AK65" i="20" s="1"/>
  <c r="W65" i="20"/>
  <c r="AF65" i="20" s="1"/>
  <c r="X65" i="20"/>
  <c r="AG65" i="20" s="1"/>
  <c r="AA65" i="20"/>
  <c r="AJ65" i="20" s="1"/>
  <c r="W64" i="20"/>
  <c r="AF64" i="20" s="1"/>
  <c r="AA64" i="20"/>
  <c r="AJ64" i="20" s="1"/>
  <c r="X64" i="20"/>
  <c r="AG64" i="20" s="1"/>
  <c r="AB64" i="20"/>
  <c r="AK64" i="20" s="1"/>
  <c r="Y64" i="20"/>
  <c r="AH64" i="20" s="1"/>
  <c r="Z64" i="20"/>
  <c r="AI64" i="20" s="1"/>
  <c r="AC64" i="20"/>
  <c r="AL64" i="20" s="1"/>
  <c r="V66" i="20"/>
  <c r="E33" i="85"/>
  <c r="E34" i="85"/>
  <c r="H132" i="20"/>
  <c r="W134" i="20" l="1"/>
  <c r="AE134" i="20"/>
  <c r="W133" i="20"/>
  <c r="AE133" i="20"/>
  <c r="X132" i="20"/>
  <c r="V138" i="20"/>
  <c r="AH66" i="20"/>
  <c r="AG66" i="20"/>
  <c r="AF66" i="20"/>
  <c r="AL66" i="20"/>
  <c r="AJ66" i="20"/>
  <c r="AI66" i="20"/>
  <c r="AK66" i="20"/>
  <c r="X133" i="20" l="1"/>
  <c r="AF133" i="20"/>
  <c r="Y132" i="20"/>
  <c r="AF134" i="20"/>
  <c r="X134" i="20"/>
  <c r="W138" i="20"/>
  <c r="Z132" i="20" l="1"/>
  <c r="Y134" i="20"/>
  <c r="AG134" i="20"/>
  <c r="Y133" i="20"/>
  <c r="AG133" i="20"/>
  <c r="X138" i="20"/>
  <c r="Z133" i="20" l="1"/>
  <c r="AH133" i="20"/>
  <c r="Z134" i="20"/>
  <c r="AH134" i="20"/>
  <c r="AA132" i="20"/>
  <c r="AJ132" i="20" s="1"/>
  <c r="Y138" i="20"/>
  <c r="AB132" i="20" l="1"/>
  <c r="AK132" i="20" s="1"/>
  <c r="AA134" i="20"/>
  <c r="AI134" i="20"/>
  <c r="AA133" i="20"/>
  <c r="AI133" i="20"/>
  <c r="Z138" i="20"/>
  <c r="AB133" i="20" l="1"/>
  <c r="AJ133" i="20"/>
  <c r="AB134" i="20"/>
  <c r="AJ134" i="20"/>
  <c r="AC132" i="20"/>
  <c r="AL132" i="20" s="1"/>
  <c r="AA138" i="20"/>
  <c r="H118" i="33"/>
  <c r="L111" i="33"/>
  <c r="L67" i="33"/>
  <c r="I67" i="33" s="1"/>
  <c r="M50" i="20" s="1"/>
  <c r="L138" i="33"/>
  <c r="I138" i="33" s="1"/>
  <c r="M124" i="20" s="1"/>
  <c r="L103" i="33"/>
  <c r="I103" i="33" s="1"/>
  <c r="M87" i="20" s="1"/>
  <c r="AC134" i="20" l="1"/>
  <c r="AL134" i="20" s="1"/>
  <c r="AK134" i="20"/>
  <c r="AJ138" i="20"/>
  <c r="AC133" i="20"/>
  <c r="AL133" i="20" s="1"/>
  <c r="AK133" i="20"/>
  <c r="AB138" i="20"/>
  <c r="L112" i="33"/>
  <c r="I112" i="33" s="1"/>
  <c r="M99" i="20" s="1"/>
  <c r="L83" i="33"/>
  <c r="I83" i="33" s="1"/>
  <c r="M68" i="20" s="1"/>
  <c r="L95" i="33"/>
  <c r="I95" i="33" s="1"/>
  <c r="M79" i="20" s="1"/>
  <c r="F18" i="33"/>
  <c r="L123" i="33"/>
  <c r="I123" i="33" s="1"/>
  <c r="M110" i="20" s="1"/>
  <c r="L59" i="33"/>
  <c r="I59" i="33" s="1"/>
  <c r="M43" i="20" s="1"/>
  <c r="F33" i="33"/>
  <c r="I111" i="33"/>
  <c r="M96" i="20" s="1"/>
  <c r="L157" i="33"/>
  <c r="I157" i="33" s="1"/>
  <c r="M143" i="20" s="1"/>
  <c r="L87" i="33"/>
  <c r="I87" i="33" s="1"/>
  <c r="M71" i="20" s="1"/>
  <c r="L130" i="33"/>
  <c r="I130" i="33" s="1"/>
  <c r="M117" i="20" s="1"/>
  <c r="L154" i="33"/>
  <c r="I154" i="33" s="1"/>
  <c r="M140" i="20" s="1"/>
  <c r="F26" i="33"/>
  <c r="L120" i="33"/>
  <c r="I120" i="33" s="1"/>
  <c r="M107" i="20" s="1"/>
  <c r="AL138" i="20" l="1"/>
  <c r="AK138" i="20"/>
  <c r="AC138" i="20"/>
  <c r="M95" i="20"/>
  <c r="M111" i="33"/>
  <c r="F27" i="33"/>
  <c r="F21" i="33"/>
  <c r="F32" i="33"/>
  <c r="F29" i="33"/>
  <c r="F22" i="33"/>
  <c r="F30" i="33"/>
  <c r="F37" i="33"/>
  <c r="F17" i="33"/>
  <c r="F36" i="33"/>
  <c r="F28" i="33"/>
  <c r="N99" i="20"/>
  <c r="M105" i="20"/>
  <c r="F25" i="33"/>
  <c r="AF99" i="20" l="1"/>
  <c r="AK99" i="20"/>
  <c r="AG99" i="20"/>
  <c r="AH99" i="20"/>
  <c r="AI99" i="20"/>
  <c r="AJ99" i="20"/>
  <c r="AL99" i="20"/>
  <c r="AE99" i="20"/>
  <c r="AE102" i="20"/>
  <c r="AE103" i="20"/>
  <c r="AE101" i="20"/>
  <c r="AE100" i="20"/>
  <c r="V99" i="20"/>
  <c r="V104" i="20"/>
  <c r="V102" i="20"/>
  <c r="V103" i="20"/>
  <c r="V101" i="20"/>
  <c r="V100" i="20"/>
  <c r="H99" i="20"/>
  <c r="N87" i="20"/>
  <c r="M93" i="20"/>
  <c r="N79" i="20"/>
  <c r="M85" i="20"/>
  <c r="N95" i="20"/>
  <c r="M97" i="20"/>
  <c r="N124" i="20"/>
  <c r="M130" i="20"/>
  <c r="N117" i="20"/>
  <c r="M122" i="20"/>
  <c r="N105" i="20"/>
  <c r="N50" i="20"/>
  <c r="M55" i="20"/>
  <c r="AE53" i="20" l="1"/>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AC101" i="20"/>
  <c r="AL101" i="20" s="1"/>
  <c r="AA101" i="20"/>
  <c r="AJ101" i="20" s="1"/>
  <c r="W101" i="20"/>
  <c r="AF101" i="20" s="1"/>
  <c r="Y101" i="20"/>
  <c r="AH101" i="20" s="1"/>
  <c r="Z101" i="20"/>
  <c r="AI101" i="20" s="1"/>
  <c r="X101" i="20"/>
  <c r="AG101" i="20" s="1"/>
  <c r="AB101" i="20"/>
  <c r="AK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AB99" i="20"/>
  <c r="AC99" i="20"/>
  <c r="AA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N96" i="20"/>
  <c r="M112" i="20"/>
  <c r="N110" i="20"/>
  <c r="AE110" i="20" s="1"/>
  <c r="AF110" i="20" s="1"/>
  <c r="AG110" i="20" s="1"/>
  <c r="AH110" i="20" s="1"/>
  <c r="AI110" i="20" s="1"/>
  <c r="AJ110" i="20" s="1"/>
  <c r="AK110" i="20" s="1"/>
  <c r="AL110" i="20" s="1"/>
  <c r="AE96" i="20" l="1"/>
  <c r="AF96" i="20" s="1"/>
  <c r="AG96" i="20" s="1"/>
  <c r="AH96" i="20" s="1"/>
  <c r="AI96" i="20" s="1"/>
  <c r="AJ96" i="20" s="1"/>
  <c r="AK96" i="20" s="1"/>
  <c r="AL96" i="20" s="1"/>
  <c r="V96" i="20"/>
  <c r="W96" i="20" s="1"/>
  <c r="X96" i="20" s="1"/>
  <c r="Y96" i="20" s="1"/>
  <c r="Z96" i="20" s="1"/>
  <c r="AA96" i="20" s="1"/>
  <c r="AB96" i="20" s="1"/>
  <c r="AC96" i="20" s="1"/>
  <c r="AE95" i="20"/>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C88" i="20"/>
  <c r="Y88" i="20"/>
  <c r="AH88" i="20" s="1"/>
  <c r="Z88" i="20"/>
  <c r="AI88" i="20" s="1"/>
  <c r="AJ88" i="20" s="1"/>
  <c r="AK88" i="20" s="1"/>
  <c r="AA88" i="20"/>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AB124" i="20"/>
  <c r="Z124" i="20"/>
  <c r="AA124" i="20"/>
  <c r="V130" i="20"/>
  <c r="Y124" i="20"/>
  <c r="W124" i="20"/>
  <c r="AC124" i="20"/>
  <c r="X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K53" i="20" s="1"/>
  <c r="AC53" i="20"/>
  <c r="AL53" i="20" s="1"/>
  <c r="W53" i="20"/>
  <c r="AF53" i="20" s="1"/>
  <c r="AA53" i="20"/>
  <c r="AJ53" i="20" s="1"/>
  <c r="Y53" i="20"/>
  <c r="AH53" i="20" s="1"/>
  <c r="X53" i="20"/>
  <c r="AG53" i="20" s="1"/>
  <c r="Z53" i="20"/>
  <c r="AI53" i="20" s="1"/>
  <c r="X50" i="20"/>
  <c r="AB50" i="20"/>
  <c r="Y50" i="20"/>
  <c r="AC50" i="20"/>
  <c r="Z50" i="20"/>
  <c r="W50" i="20"/>
  <c r="AA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1" i="20"/>
  <c r="N144" i="20"/>
  <c r="N108" i="20"/>
  <c r="W130" i="20" l="1"/>
  <c r="W95" i="20"/>
  <c r="X95" i="20" s="1"/>
  <c r="Y95" i="20" s="1"/>
  <c r="Z95" i="20" s="1"/>
  <c r="AA95" i="20" s="1"/>
  <c r="AB95" i="20" s="1"/>
  <c r="AC95" i="20" s="1"/>
  <c r="V97" i="20"/>
  <c r="AE97" i="20"/>
  <c r="AF97" i="20" s="1"/>
  <c r="AG97" i="20" s="1"/>
  <c r="AH97" i="20" s="1"/>
  <c r="AI97" i="20" s="1"/>
  <c r="AJ97" i="20" s="1"/>
  <c r="AK97" i="20" s="1"/>
  <c r="AL97" i="20" s="1"/>
  <c r="AF95" i="20"/>
  <c r="AG95" i="20" s="1"/>
  <c r="AH95" i="20" s="1"/>
  <c r="AI95" i="20" s="1"/>
  <c r="AJ95" i="20" s="1"/>
  <c r="AK95" i="20" s="1"/>
  <c r="AL95" i="20" s="1"/>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H127" i="20" s="1"/>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Y130" i="20" l="1"/>
  <c r="Z127" i="20"/>
  <c r="AH117" i="20"/>
  <c r="AG122" i="20"/>
  <c r="Z126" i="20"/>
  <c r="AH126" i="20"/>
  <c r="X122" i="20"/>
  <c r="AG130" i="20"/>
  <c r="W97" i="20"/>
  <c r="AA126" i="20" l="1"/>
  <c r="Z130" i="20"/>
  <c r="AH130" i="20"/>
  <c r="AI117" i="20"/>
  <c r="AH122" i="20"/>
  <c r="AA127" i="20"/>
  <c r="AI127" i="20"/>
  <c r="AI130" i="20" s="1"/>
  <c r="Y97" i="20"/>
  <c r="X97" i="20" s="1"/>
  <c r="AB126" i="20" l="1"/>
  <c r="AA130" i="20"/>
  <c r="AJ117" i="20"/>
  <c r="AI122" i="20"/>
  <c r="AL130" i="20"/>
  <c r="AB127" i="20"/>
  <c r="AJ127" i="20"/>
  <c r="AJ130" i="20" s="1"/>
  <c r="AB122" i="20"/>
  <c r="Z122" i="20"/>
  <c r="AA97" i="20"/>
  <c r="Z97" i="20" s="1"/>
  <c r="AC126" i="20" l="1"/>
  <c r="AB130" i="20"/>
  <c r="AC127" i="20"/>
  <c r="AK127" i="20"/>
  <c r="AK130" i="20" s="1"/>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AK44" i="20" s="1"/>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AL47" i="20" s="1"/>
  <c r="Z47" i="20"/>
  <c r="AI47" i="20" s="1"/>
  <c r="W47" i="20"/>
  <c r="AF47" i="20" s="1"/>
  <c r="AB47" i="20"/>
  <c r="AK47" i="20" s="1"/>
  <c r="AA47" i="20"/>
  <c r="AJ47" i="20" s="1"/>
  <c r="X47" i="20"/>
  <c r="AG47" i="20" s="1"/>
  <c r="Y43" i="20"/>
  <c r="AC43" i="20"/>
  <c r="Z43" i="20"/>
  <c r="AA43" i="20"/>
  <c r="V48" i="20"/>
  <c r="AB43" i="20"/>
  <c r="W43" i="20"/>
  <c r="AC48" i="20" l="1"/>
  <c r="AL44" i="20"/>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 r="AI132" i="20"/>
  <c r="AI138" i="20" s="1"/>
  <c r="AH132" i="20"/>
  <c r="AH138" i="20" s="1"/>
  <c r="AG132" i="20"/>
  <c r="AG138" i="20" s="1"/>
  <c r="AF132" i="20"/>
  <c r="AF138" i="20" s="1"/>
  <c r="AE13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<sst xmlns="http://schemas.openxmlformats.org/spreadsheetml/2006/main" count="3806" uniqueCount="1077">
  <si>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</si>
  <si>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</si>
  <si>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</si>
  <si>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</si>
  <si>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</si>
  <si>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</si>
  <si>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</si>
  <si>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</si>
  <si>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</si>
  <si>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</si>
  <si>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</si>
  <si>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</si>
  <si>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</si>
  <si>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</si>
  <si>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</si>
  <si>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</si>
  <si>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</si>
  <si>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</si>
  <si>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</si>
  <si>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</si>
  <si>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</si>
  <si>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</si>
  <si>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</si>
  <si>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</si>
  <si>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</si>
  <si>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</si>
  <si>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</si>
  <si>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</si>
  <si>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</si>
  <si>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</si>
  <si>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</si>
  <si>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</si>
  <si>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</si>
  <si>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</si>
  <si>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</si>
  <si>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</si>
  <si>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</si>
  <si>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</si>
  <si>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</si>
  <si>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</si>
  <si>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</si>
  <si>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</si>
  <si>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</si>
  <si>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</si>
  <si>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</si>
  <si>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</si>
  <si>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</si>
  <si>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</si>
  <si>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</si>
  <si>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</si>
  <si>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</si>
  <si>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</si>
  <si>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</si>
  <si>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</si>
  <si>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</si>
  <si>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</si>
  <si>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</si>
  <si>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</si>
  <si>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</si>
  <si>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</si>
  <si>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</si>
  <si>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</si>
  <si>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</si>
  <si>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</si>
  <si>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</si>
  <si>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</si>
  <si>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</si>
  <si>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</si>
  <si>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</si>
  <si>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</si>
  <si>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</si>
  <si>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</si>
  <si>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</si>
  <si>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</si>
  <si>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</si>
  <si>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</si>
  <si>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</si>
  <si>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</si>
  <si>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</si>
  <si>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</si>
  <si>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</si>
  <si>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</si>
  <si>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</si>
  <si>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</si>
  <si>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</si>
  <si>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</si>
  <si>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</si>
  <si>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</si>
  <si>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</si>
  <si>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</si>
  <si>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</si>
  <si>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</si>
  <si>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</si>
  <si>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</si>
  <si>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</si>
  <si>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</si>
  <si>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</si>
  <si>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</si>
  <si>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</si>
  <si>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</si>
  <si>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</si>
  <si>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</si>
  <si>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</si>
  <si>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</si>
  <si>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</si>
  <si>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</si>
  <si>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</si>
  <si>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</si>
  <si>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</si>
  <si>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</si>
  <si>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</si>
  <si>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</si>
  <si>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</si>
  <si>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</si>
  <si>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</si>
  <si>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</si>
  <si>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</si>
  <si>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</si>
  <si>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</si>
  <si>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</si>
  <si>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</si>
  <si>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</si>
  <si>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</si>
  <si>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</si>
  <si>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</si>
  <si>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</si>
  <si>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</si>
  <si>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</si>
  <si>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</si>
  <si>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</si>
  <si>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</si>
  <si>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</si>
  <si>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</si>
  <si>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</si>
  <si>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</si>
  <si>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</si>
  <si>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</si>
  <si>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</si>
  <si>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</si>
  <si>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</si>
  <si>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</si>
  <si>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</si>
  <si>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</si>
  <si>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</si>
  <si>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</si>
  <si>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</si>
  <si>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</si>
  <si>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</si>
  <si>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</si>
  <si>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</si>
  <si>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</si>
  <si>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</si>
  <si>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</si>
  <si>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</si>
  <si>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</si>
  <si>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</si>
  <si>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</si>
  <si>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</si>
  <si>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</si>
  <si>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</si>
  <si>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</si>
  <si>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</si>
  <si>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</si>
  <si>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</si>
  <si>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</si>
  <si>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</si>
  <si>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</si>
  <si>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</si>
  <si>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</si>
  <si>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</si>
  <si>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</si>
  <si>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</si>
  <si>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</si>
  <si>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</si>
  <si>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</si>
  <si>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</si>
  <si>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</si>
  <si>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</si>
  <si>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</si>
  <si>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</si>
  <si>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</si>
  <si>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</si>
  <si>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</si>
  <si>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</si>
  <si>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</si>
  <si>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</si>
  <si>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</si>
  <si>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</si>
  <si>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</si>
  <si>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</si>
  <si>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</si>
  <si>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</si>
  <si>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</si>
  <si>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</si>
  <si>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</si>
  <si>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</si>
  <si>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</si>
  <si>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</si>
  <si>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</si>
  <si>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</si>
  <si>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</si>
  <si>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</si>
  <si>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</si>
  <si>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</si>
  <si>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</si>
  <si>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</si>
  <si>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</si>
  <si>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</si>
  <si>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</si>
  <si>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</si>
  <si>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</si>
  <si>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</si>
  <si>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</si>
  <si>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</si>
  <si>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</si>
  <si>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</si>
  <si>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</si>
  <si>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</si>
  <si>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</si>
  <si>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</si>
  <si>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</si>
  <si>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</si>
  <si>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</si>
  <si>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</si>
  <si>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</si>
  <si>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</si>
  <si>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</si>
  <si>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</si>
  <si>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</si>
  <si>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</si>
  <si>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</si>
  <si>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</si>
  <si>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</si>
  <si>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</si>
  <si>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</si>
  <si>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</si>
  <si>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</si>
  <si>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</si>
  <si>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</si>
  <si>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</si>
  <si>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</si>
  <si>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</si>
  <si>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</si>
  <si>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</si>
  <si>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</si>
  <si>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</si>
  <si>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</si>
  <si>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</si>
  <si>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</si>
  <si>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</si>
  <si>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</si>
  <si>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</si>
  <si>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</si>
  <si>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</si>
  <si>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</si>
  <si>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</si>
  <si>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</si>
  <si>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</si>
  <si>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</si>
  <si>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</si>
  <si>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</si>
  <si>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</si>
  <si>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</si>
  <si>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</si>
  <si>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</si>
  <si>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</si>
  <si>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</si>
  <si>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</si>
  <si>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</si>
  <si>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</si>
  <si>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</si>
  <si>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</si>
  <si>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</si>
  <si>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</si>
  <si>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</si>
  <si>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</si>
  <si>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</si>
  <si>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</si>
  <si>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</si>
  <si>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</si>
  <si>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</si>
  <si>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</si>
  <si>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</si>
  <si>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</si>
  <si>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</si>
  <si>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</si>
  <si>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</si>
  <si>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</si>
  <si>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</si>
  <si>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</si>
  <si>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</si>
  <si>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</si>
  <si>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</si>
  <si>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</si>
  <si>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</si>
  <si>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</si>
  <si>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</si>
  <si>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</si>
  <si>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</si>
  <si>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</si>
  <si>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</si>
  <si>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</si>
  <si>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</si>
  <si>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</si>
  <si>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</si>
  <si>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</si>
  <si>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</si>
  <si>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</si>
  <si>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</si>
  <si>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</si>
  <si>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</si>
  <si>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</si>
  <si>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</si>
  <si>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</si>
  <si>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</si>
  <si>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</si>
  <si>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</si>
  <si>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</si>
  <si>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</si>
  <si>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</si>
  <si>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</si>
  <si>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</si>
  <si>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</si>
  <si>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</si>
  <si>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</si>
  <si>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</si>
  <si>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</si>
  <si>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</si>
  <si>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</si>
  <si>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</si>
  <si>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</si>
  <si>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</si>
  <si>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</si>
  <si>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</si>
  <si>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</si>
  <si>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</si>
  <si>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</si>
  <si>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</si>
  <si>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</si>
  <si>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</si>
  <si>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</si>
  <si>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</si>
  <si>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</si>
  <si>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</si>
  <si>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</si>
  <si>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</si>
  <si>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</si>
  <si>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</si>
  <si>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</si>
  <si>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</si>
  <si>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</si>
  <si>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</si>
  <si>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</si>
  <si>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</si>
  <si>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</si>
  <si>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</si>
  <si>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</si>
  <si>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</si>
  <si>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</si>
  <si>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</si>
  <si>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</si>
  <si>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</si>
  <si>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</si>
  <si>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</si>
  <si>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</si>
  <si>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</si>
  <si>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</si>
  <si>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</si>
  <si>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</si>
  <si>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</si>
  <si>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</si>
  <si>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</si>
  <si>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</si>
  <si>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</si>
  <si>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</si>
  <si>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</si>
  <si>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</si>
  <si>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</si>
  <si>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</si>
  <si>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</si>
  <si>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</si>
  <si>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</si>
  <si>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</si>
  <si>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</si>
  <si>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</si>
  <si>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</si>
  <si>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</si>
  <si>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</si>
  <si>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</si>
  <si>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</si>
  <si>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</si>
  <si>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</si>
  <si>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</si>
  <si>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</si>
  <si>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</si>
  <si>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</si>
  <si>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</si>
  <si>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</si>
  <si>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</si>
  <si>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</si>
  <si>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</si>
  <si>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</si>
  <si>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</si>
  <si>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</si>
  <si>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</si>
  <si>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</si>
  <si>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</si>
  <si>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</si>
  <si>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</si>
  <si>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</si>
  <si>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</si>
  <si>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</si>
  <si>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</si>
  <si>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</si>
  <si>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</si>
  <si>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</si>
  <si>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</si>
  <si>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</si>
  <si>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</si>
  <si>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</si>
  <si>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</si>
  <si>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</si>
  <si>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</si>
  <si>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</si>
  <si>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</si>
  <si>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</si>
  <si>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</si>
  <si>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</si>
  <si>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</si>
  <si>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</si>
  <si>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</si>
  <si>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</si>
  <si>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</si>
  <si>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</si>
  <si>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</si>
  <si>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</si>
  <si>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</si>
  <si>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</si>
  <si>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</si>
  <si>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</si>
  <si>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</si>
  <si>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</si>
  <si>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</si>
  <si>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</si>
  <si>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</si>
  <si>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</si>
  <si>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</si>
  <si>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</si>
  <si>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</si>
  <si>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</si>
  <si>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</si>
  <si>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</si>
  <si>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</si>
  <si>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</si>
  <si>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</si>
  <si>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</si>
  <si>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</si>
  <si>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</si>
  <si>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</si>
  <si>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</si>
  <si>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</si>
  <si>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</si>
  <si>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</si>
  <si>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</si>
  <si>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</si>
  <si>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</si>
  <si>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</si>
  <si>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</si>
  <si>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</si>
  <si>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</si>
  <si>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</si>
  <si>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</si>
  <si>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</si>
  <si>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</si>
  <si>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</si>
  <si>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</si>
  <si>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</si>
  <si>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</si>
  <si>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</si>
  <si>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</si>
  <si>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</si>
  <si>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</si>
  <si>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</si>
  <si>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</si>
  <si>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</si>
  <si>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</si>
  <si>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</si>
  <si>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</si>
  <si>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</si>
  <si>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</si>
  <si>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</si>
  <si>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</si>
  <si>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</si>
  <si>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</si>
  <si>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</si>
  <si>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</si>
  <si>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</si>
  <si>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</si>
  <si>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</si>
  <si>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</si>
  <si>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</si>
  <si>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</si>
  <si>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</si>
  <si>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</si>
  <si>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</si>
  <si>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</si>
  <si>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</si>
  <si>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</si>
  <si>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</si>
  <si>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</si>
  <si>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</si>
  <si>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</si>
  <si>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</si>
  <si>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</si>
  <si>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</si>
  <si>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</si>
  <si>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</si>
  <si>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</si>
  <si>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</si>
  <si>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</si>
  <si>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</si>
  <si>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</si>
  <si>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</si>
  <si>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</si>
  <si>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</si>
  <si>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</si>
  <si>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</si>
  <si>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</si>
  <si>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</si>
  <si>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</si>
  <si>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</si>
  <si>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</si>
  <si>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</si>
  <si>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</si>
  <si>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</si>
  <si>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</si>
  <si>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</si>
  <si>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</si>
  <si>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</si>
  <si>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</si>
  <si>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</si>
  <si>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</si>
  <si>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</si>
  <si>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</si>
  <si>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</si>
  <si>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</si>
  <si>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</si>
  <si>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</si>
  <si>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</si>
  <si>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</si>
  <si>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</si>
  <si>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</si>
  <si>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</si>
  <si>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</si>
  <si>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</si>
  <si>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</si>
  <si>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</si>
  <si>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</si>
  <si>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</si>
  <si>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</si>
  <si>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</si>
  <si>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</si>
  <si>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</si>
  <si>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</si>
  <si>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</si>
  <si>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</si>
  <si>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</si>
  <si>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</si>
  <si>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</si>
  <si>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</si>
  <si>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</si>
  <si>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</si>
  <si>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</si>
  <si>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</si>
  <si>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</si>
  <si>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</si>
  <si>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</si>
  <si>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</si>
  <si>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</si>
  <si>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</si>
  <si>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</si>
  <si>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</si>
  <si>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</si>
  <si>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</si>
  <si>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</si>
  <si>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</si>
  <si>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</si>
  <si>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</si>
  <si>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</si>
  <si>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</si>
  <si>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</si>
  <si>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</si>
  <si>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</si>
  <si>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</si>
  <si>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</si>
  <si>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</si>
  <si>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</si>
  <si>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</si>
  <si>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</si>
  <si>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</si>
  <si>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</si>
  <si>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</si>
  <si>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</si>
  <si>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</si>
  <si>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</si>
  <si>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</si>
  <si>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</si>
  <si>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</si>
  <si>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</si>
  <si>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</si>
  <si>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</si>
  <si>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</si>
  <si>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</si>
  <si>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</si>
  <si>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</si>
  <si>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</si>
  <si>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</si>
  <si>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</si>
  <si>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</si>
  <si>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</si>
  <si>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</si>
  <si>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</si>
  <si>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</si>
  <si>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</si>
  <si>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</si>
  <si>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</si>
  <si>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</si>
  <si>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</si>
  <si>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</si>
  <si>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</si>
  <si>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</si>
  <si>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</si>
  <si>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</si>
  <si>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</si>
  <si>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</si>
  <si>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</si>
  <si>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</si>
  <si>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</si>
  <si>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</si>
  <si>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</si>
  <si>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</si>
  <si>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</si>
  <si>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</si>
  <si>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</si>
  <si>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</si>
  <si>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</si>
  <si>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</si>
  <si>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</si>
  <si>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</si>
  <si>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</si>
  <si>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</si>
  <si>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</si>
  <si>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</si>
  <si>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</si>
  <si>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</si>
  <si>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</si>
  <si>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</si>
  <si>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</si>
  <si>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</si>
  <si>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</si>
  <si>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</si>
  <si>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</si>
  <si>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</si>
  <si>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</si>
  <si>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</si>
  <si>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</si>
  <si>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</si>
  <si>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</si>
  <si>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</si>
  <si>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</si>
  <si>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</si>
  <si>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</si>
  <si>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</si>
  <si>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</si>
  <si>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</si>
  <si>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</si>
  <si>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</si>
  <si>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</si>
  <si>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</si>
  <si>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</si>
  <si>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</si>
  <si>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</si>
  <si>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</si>
  <si>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</si>
  <si>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</si>
  <si>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</si>
  <si>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</si>
  <si>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</si>
  <si>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</si>
  <si>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</si>
  <si>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</si>
  <si>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</si>
  <si>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</si>
  <si>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</si>
  <si>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</si>
  <si>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</si>
  <si>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</si>
  <si>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</si>
  <si>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</si>
  <si>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</si>
  <si>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</si>
  <si>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</si>
  <si>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</si>
  <si>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</si>
  <si>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</si>
  <si>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</si>
  <si>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</si>
  <si>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</si>
  <si>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</si>
  <si>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</si>
  <si>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</si>
  <si>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</si>
  <si>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</si>
  <si>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</si>
  <si>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</si>
  <si>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</si>
  <si>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</si>
  <si>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</si>
  <si>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</si>
  <si>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</si>
  <si>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</si>
  <si>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</si>
  <si>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</si>
  <si>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</si>
  <si>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</si>
  <si>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</si>
  <si>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</si>
  <si>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</si>
  <si>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</si>
  <si>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</si>
  <si>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</si>
  <si>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</si>
  <si>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</si>
  <si>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</si>
  <si>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</si>
  <si>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</si>
  <si>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</si>
  <si>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</si>
  <si>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</si>
  <si>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</si>
  <si>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</si>
  <si>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</si>
  <si>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</si>
  <si>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</si>
  <si>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</si>
  <si>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</si>
  <si>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</si>
  <si>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</si>
  <si>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</si>
  <si>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</si>
  <si>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</si>
  <si>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</si>
  <si>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</si>
  <si>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</si>
  <si>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</si>
  <si>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</si>
  <si>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</si>
  <si>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</si>
  <si>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</si>
  <si>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</si>
  <si>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</si>
  <si>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</si>
  <si>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</si>
  <si>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</si>
  <si>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</si>
  <si>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</si>
  <si>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</si>
  <si>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</si>
  <si>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</si>
  <si>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</si>
  <si>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</si>
  <si>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</si>
  <si>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</si>
  <si>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</si>
  <si>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</si>
  <si>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</si>
  <si>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</si>
  <si>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</si>
  <si>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</si>
  <si>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</si>
  <si>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</si>
  <si>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</si>
  <si>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</si>
  <si>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</si>
  <si>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</si>
  <si>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</si>
  <si>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</si>
  <si>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</si>
  <si>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</si>
  <si>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</si>
  <si>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</si>
  <si>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</si>
  <si>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</si>
  <si>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</si>
  <si>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</si>
  <si>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</si>
  <si>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</si>
  <si>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</si>
  <si>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</si>
  <si>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</si>
  <si>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</si>
  <si>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</si>
  <si>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</si>
  <si>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</si>
  <si>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</si>
  <si>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</si>
  <si>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</si>
  <si>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</si>
  <si>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</si>
  <si>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</si>
  <si>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</si>
  <si>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</si>
  <si>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</si>
  <si>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</si>
  <si>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</si>
  <si>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</si>
  <si>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</si>
  <si>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</si>
  <si>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</si>
  <si>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</si>
  <si>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</si>
  <si>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</si>
  <si>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</si>
  <si>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</si>
  <si>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</si>
  <si>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</si>
  <si>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</si>
  <si>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</si>
  <si>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</si>
  <si>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</si>
  <si>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</si>
  <si>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</si>
  <si>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</si>
  <si>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</si>
  <si>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</si>
  <si>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</si>
  <si>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</si>
  <si>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</si>
  <si>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</si>
  <si>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</si>
  <si>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</si>
  <si>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</si>
  <si>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</si>
  <si>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</si>
  <si>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</si>
  <si>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</si>
  <si>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</si>
  <si>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</si>
  <si>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</si>
  <si>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</si>
  <si>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</si>
  <si>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</si>
  <si>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</si>
  <si>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</si>
  <si>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</si>
  <si>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</si>
  <si>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</si>
  <si>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</si>
  <si>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</si>
  <si>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</si>
  <si>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</si>
  <si>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</si>
  <si>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</si>
  <si>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</si>
  <si>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</si>
  <si>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</si>
  <si>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</si>
  <si>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</si>
  <si>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</si>
  <si>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</si>
  <si>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</si>
  <si>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</si>
  <si>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</si>
  <si>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</si>
  <si>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</si>
  <si>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</si>
  <si>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</si>
  <si>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</si>
  <si>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</si>
  <si>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</si>
  <si>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</si>
  <si>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</si>
  <si>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</si>
  <si>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</si>
  <si>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</si>
  <si>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</si>
  <si>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</si>
  <si>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</si>
  <si>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</si>
  <si>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</si>
  <si>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</si>
  <si>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</si>
  <si>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</si>
  <si>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</si>
  <si>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</si>
  <si>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</si>
  <si>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</si>
  <si>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</si>
  <si>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</si>
  <si>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</si>
  <si>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</si>
  <si>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</si>
  <si>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</si>
  <si>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</si>
  <si>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</si>
  <si>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</si>
  <si>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</si>
  <si>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</si>
  <si>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</si>
  <si>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</si>
  <si>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</si>
  <si>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</si>
  <si>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</si>
  <si>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</si>
  <si>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</si>
  <si>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</si>
  <si>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</si>
  <si>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</si>
  <si>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</si>
  <si>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</si>
  <si>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</si>
  <si>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</si>
  <si>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</si>
  <si>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</si>
  <si>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</si>
  <si>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</si>
  <si>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</si>
  <si>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</si>
  <si>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</si>
  <si>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</si>
  <si>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</si>
  <si>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</si>
  <si>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</si>
  <si>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</si>
  <si>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</si>
  <si>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</si>
  <si>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</si>
  <si>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</si>
  <si>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</si>
  <si>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</si>
  <si>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</si>
  <si>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</si>
  <si>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</si>
  <si>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</si>
  <si>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</si>
  <si>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</si>
  <si>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</si>
  <si>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</si>
  <si>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</si>
  <si>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</si>
  <si>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</si>
  <si>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</si>
  <si>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</si>
  <si>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</si>
  <si>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</si>
  <si>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</si>
  <si>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</si>
  <si>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</si>
  <si>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</si>
  <si>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</si>
  <si>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</si>
  <si>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</si>
  <si>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</si>
  <si>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</si>
  <si>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</si>
  <si>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</si>
  <si>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</si>
  <si>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</si>
  <si>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</si>
  <si>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</si>
  <si>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</si>
  <si>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</si>
  <si>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</si>
  <si>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</si>
  <si>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</si>
  <si>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</si>
  <si>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</si>
  <si>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</si>
  <si>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</si>
  <si>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</si>
  <si>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</si>
  <si>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</si>
  <si>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</si>
  <si>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</si>
  <si>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</si>
  <si>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</si>
  <si>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</si>
  <si>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</si>
  <si>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</si>
  <si>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</si>
  <si>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</si>
  <si>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</si>
  <si>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</si>
  <si>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</si>
  <si>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</si>
  <si>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</si>
  <si>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</si>
  <si>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</si>
  <si>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</si>
  <si>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</si>
  <si>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</si>
  <si>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</si>
  <si>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</si>
  <si>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</si>
  <si>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</si>
  <si>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</si>
  <si>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</si>
  <si>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</si>
  <si>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</si>
  <si>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</si>
  <si>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</si>
  <si>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</si>
  <si>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</si>
  <si>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</si>
  <si>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</si>
  <si>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</si>
  <si>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</si>
  <si>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</si>
  <si>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</si>
  <si>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</si>
  <si>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</si>
  <si>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</si>
  <si>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</si>
  <si>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</si>
  <si>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</si>
  <si>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</si>
  <si>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</si>
  <si>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</si>
  <si>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</si>
  <si>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</si>
  <si>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</si>
  <si>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</si>
  <si>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</si>
  <si>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</si>
  <si>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</si>
  <si>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</si>
  <si>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</si>
  <si>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</si>
  <si>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</si>
  <si>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</si>
  <si>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</si>
  <si>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</si>
  <si>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</si>
  <si>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</si>
  <si>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</si>
  <si>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</si>
  <si>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</si>
  <si>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</si>
  <si>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</si>
  <si>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</si>
  <si>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</si>
  <si>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</si>
  <si>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</si>
  <si>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</si>
  <si>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</si>
  <si>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</si>
  <si>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</si>
  <si>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</si>
  <si>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</si>
  <si>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</si>
  <si>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</si>
  <si>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</si>
  <si>
    <t>Residential - Refrigeration - High Income  - Electricity - REF - E</t>
  </si>
  <si>
    <t>Residential - Lighting - Middle Income  - Oil Paraffin - WICK - E</t>
  </si>
  <si>
    <t>Number of "new" households</t>
  </si>
  <si>
    <t>Number of existing households</t>
  </si>
  <si>
    <t>% new households assume 20% reduction in heating needs</t>
  </si>
  <si>
    <t>(compared to 2017)</t>
  </si>
  <si>
    <t>% share of new</t>
  </si>
  <si>
    <t>For Water heating, assume all new houses meet the standards in the high energy efficiency</t>
  </si>
  <si>
    <t>For water heating assume half of new houses meet the standards in the Reference</t>
  </si>
  <si>
    <t>High efficiency</t>
  </si>
  <si>
    <t xml:space="preserve">Penetration of SWH in existing houses </t>
  </si>
  <si>
    <t>High penetration</t>
  </si>
  <si>
    <t>High HP</t>
  </si>
  <si>
    <t>High SWH</t>
  </si>
  <si>
    <t>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</si>
</sst>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_(* \(#,##0.00\);_(* &quot;-&quot;??_);_(@_)"/>
    <numFmt numFmtId="164" formatCode="_-* #,##0.00_-;\-* #,##0.00_-;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3">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164"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41">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43"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164"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164"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164"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43"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43"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43" fontId="54" fillId="38" borderId="7" xfId="32" applyNumberFormat="1" applyFill="1" applyBorder="1"/>
    <xf numFmtId="0" fontId="80" fillId="47" borderId="0" xfId="32" applyFont="1" applyFill="1"/>
    <xf numFmtId="0" fontId="54" fillId="47" borderId="0" xfId="32" applyFill="1"/>
    <xf numFmtId="43" fontId="54" fillId="47" borderId="0" xfId="32" applyNumberFormat="1" applyFill="1"/>
    <xf numFmtId="0" fontId="80" fillId="38" borderId="3" xfId="32" applyFont="1" applyFill="1" applyBorder="1"/>
    <xf numFmtId="0" fontId="54" fillId="38" borderId="3" xfId="32" applyFill="1" applyBorder="1"/>
    <xf numFmtId="43"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43" fontId="80" fillId="50" borderId="7" xfId="25" applyNumberFormat="1" applyFont="1" applyFill="1" applyBorder="1"/>
    <xf numFmtId="168" fontId="80" fillId="50" borderId="7" xfId="32" applyNumberFormat="1" applyFont="1" applyFill="1" applyBorder="1"/>
    <xf numFmtId="43" fontId="80" fillId="50" borderId="0" xfId="25" applyNumberFormat="1" applyFont="1" applyFill="1" applyBorder="1"/>
    <xf numFmtId="168" fontId="80" fillId="50" borderId="0" xfId="32" applyNumberFormat="1" applyFont="1" applyFill="1"/>
    <xf numFmtId="43"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4" fillId="5" borderId="0" xfId="2"/>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4" fillId="22" borderId="0" xfId="0" applyFont="1" applyFill="1" applyAlignment="1">
      <alignment horizontal="center" vertical="center" wrapText="1"/>
    </xf>
    <xf numFmtId="0" fontId="66" fillId="41" borderId="15" xfId="0" applyFont="1" applyFill="1" applyBorder="1" applyAlignment="1">
      <alignment horizontal="center" vertical="center" wrapText="1"/>
    </xf>
    <xf numFmtId="0" fontId="72" fillId="40" borderId="15" xfId="0" applyFont="1" applyFill="1" applyBorder="1" applyAlignment="1">
      <alignment horizontal="center" vertical="center" wrapText="1"/>
    </xf>
    <xf numFmtId="0" fontId="2" fillId="2" borderId="16" xfId="263" applyAlignment="1">
      <alignment vertical="center" wrapText="1"/>
      <protection locked="0"/>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xf numFmtId="2" fontId="0" fillId="32" borderId="0" xfId="0" applyNumberFormat="1" applyFill="1"/>
    <xf numFmtId="0" fontId="0" fillId="52" borderId="0" xfId="0" applyFill="1"/>
    <xf numFmtId="9" fontId="0" fillId="52" borderId="0" xfId="25" applyFont="1" applyFill="1"/>
    <xf numFmtId="9" fontId="0" fillId="21" borderId="0" xfId="25" applyFont="1" applyFill="1"/>
    <xf numFmtId="0" fontId="0" fillId="51" borderId="0" xfId="0" applyFill="1"/>
    <xf numFmtId="9" fontId="0" fillId="51" borderId="0" xfId="25" applyFont="1" applyFill="1"/>
    <xf numFmtId="166" fontId="0" fillId="51" borderId="0" xfId="0" applyNumberFormat="1" applyFill="1"/>
    <xf numFmtId="166" fontId="36" fillId="51" borderId="0" xfId="0" applyNumberFormat="1" applyFont="1" applyFill="1"/>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services'!$A$218</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services'!$C$219</c:f>
              <c:strCache>
                <c:ptCount val="1"/>
                <c:pt idx="0">
                  <c:v>high</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services'!$D$219:$L$219</c:f>
              <c:numCache>
                <c:formatCode>General</c:formatCode>
                <c:ptCount val="9"/>
                <c:pt idx="0">
                  <c:v>27950</c:v>
                </c:pt>
                <c:pt idx="1">
                  <c:v>58932.377594829639</c:v>
                </c:pt>
                <c:pt idx="2">
                  <c:v>201865.53289402259</c:v>
                </c:pt>
                <c:pt idx="3">
                  <c:v>661597.73643793224</c:v>
                </c:pt>
                <c:pt idx="4">
                  <c:v>1903830.106152433</c:v>
                </c:pt>
                <c:pt idx="5">
                  <c:v>4120385.3861777908</c:v>
                </c:pt>
                <c:pt idx="6">
                  <c:v>6182739.3969595926</c:v>
                </c:pt>
                <c:pt idx="7">
                  <c:v>7217789.8178637559</c:v>
                </c:pt>
                <c:pt idx="8">
                  <c:v>7581422.7226090934</c:v>
                </c:pt>
              </c:numCache>
            </c:numRef>
          </c:val>
          <c:smooth val="0"/>
          <c:extLst>
            <c:ext xmlns:c16="http://schemas.microsoft.com/office/drawing/2014/chart" uri="{C3380CC4-5D6E-409C-BE32-E72D297353CC}">
              <c16:uniqueId val="{00000000-7451-4C66-BF1B-F7101A9AA09A}"/>
            </c:ext>
          </c:extLst>
        </c:ser>
        <c:ser>
          <c:idx val="1"/>
          <c:order val="1"/>
          <c:tx>
            <c:strRef>
              <c:f>'access to services'!$C$220</c:f>
              <c:strCache>
                <c:ptCount val="1"/>
                <c:pt idx="0">
                  <c:v>low</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services'!$D$220:$L$220</c:f>
              <c:numCache>
                <c:formatCode>General</c:formatCode>
                <c:ptCount val="9"/>
                <c:pt idx="0">
                  <c:v>27950</c:v>
                </c:pt>
                <c:pt idx="1">
                  <c:v>58696.508038371227</c:v>
                </c:pt>
                <c:pt idx="2">
                  <c:v>197412.47994798495</c:v>
                </c:pt>
                <c:pt idx="3">
                  <c:v>611353.61515793169</c:v>
                </c:pt>
                <c:pt idx="4">
                  <c:v>1531266.2838399399</c:v>
                </c:pt>
                <c:pt idx="5">
                  <c:v>2691663.9690598208</c:v>
                </c:pt>
                <c:pt idx="6">
                  <c:v>3438130.6056999536</c:v>
                </c:pt>
                <c:pt idx="7">
                  <c:v>3734886.1384506063</c:v>
                </c:pt>
                <c:pt idx="8">
                  <c:v>3829588.4224941838</c:v>
                </c:pt>
              </c:numCache>
            </c:numRef>
          </c:val>
          <c:smooth val="0"/>
          <c:extLst>
            <c:ext xmlns:c16="http://schemas.microsoft.com/office/drawing/2014/chart" uri="{C3380CC4-5D6E-409C-BE32-E72D297353CC}">
              <c16:uniqueId val="{00000001-7451-4C66-BF1B-F7101A9AA09A}"/>
            </c:ext>
          </c:extLst>
        </c:ser>
        <c:ser>
          <c:idx val="2"/>
          <c:order val="2"/>
          <c:tx>
            <c:strRef>
              <c:f>'access to services'!$C$221</c:f>
              <c:strCache>
                <c:ptCount val="1"/>
                <c:pt idx="0">
                  <c:v>medium</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services'!$D$221:$L$221</c:f>
              <c:numCache>
                <c:formatCode>General</c:formatCode>
                <c:ptCount val="9"/>
                <c:pt idx="0">
                  <c:v>27950</c:v>
                </c:pt>
                <c:pt idx="1">
                  <c:v>58853.544061695866</c:v>
                </c:pt>
                <c:pt idx="2">
                  <c:v>200359.02672906921</c:v>
                </c:pt>
                <c:pt idx="3">
                  <c:v>643956.53849244886</c:v>
                </c:pt>
                <c:pt idx="4">
                  <c:v>1761009.6421700031</c:v>
                </c:pt>
                <c:pt idx="5">
                  <c:v>3500955.6278157025</c:v>
                </c:pt>
                <c:pt idx="6">
                  <c:v>4883313.7049123701</c:v>
                </c:pt>
                <c:pt idx="7">
                  <c:v>5506214.6393779675</c:v>
                </c:pt>
                <c:pt idx="8">
                  <c:v>5715076.0813109549</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3842424.9625862199</c:v>
                </c:pt>
                <c:pt idx="2">
                  <c:v>4140991.2740271431</c:v>
                </c:pt>
                <c:pt idx="3">
                  <c:v>6590885.7945735306</c:v>
                </c:pt>
                <c:pt idx="4">
                  <c:v>8126859.2466288246</c:v>
                </c:pt>
                <c:pt idx="5">
                  <c:v>8589966.8173528053</c:v>
                </c:pt>
                <c:pt idx="6">
                  <c:v>8657741.9810093138</c:v>
                </c:pt>
                <c:pt idx="7">
                  <c:v>8976019.1538807694</c:v>
                </c:pt>
                <c:pt idx="8">
                  <c:v>9152509.022716172</c:v>
                </c:pt>
              </c:numCache>
            </c:numRef>
          </c:val>
          <c:smooth val="0"/>
          <c:extLst>
            <c:ext xmlns:c16="http://schemas.microsoft.com/office/drawing/2014/chart" uri="{C3380CC4-5D6E-409C-BE32-E72D297353CC}">
              <c16:uniqueId val="{00000003-7451-4C66-BF1B-F7101A9AA09A}"/>
            </c:ext>
          </c:extLst>
        </c:ser>
        <c:ser>
          <c:idx val="4"/>
          <c:order val="4"/>
          <c:tx>
            <c:strRef>
              <c:f>'access to services'!$C$254</c:f>
              <c:strCache>
                <c:ptCount val="1"/>
                <c:pt idx="0">
                  <c:v>PAM HI</c:v>
                </c:pt>
              </c:strCache>
            </c:strRef>
          </c:tx>
          <c:spPr>
            <a:ln>
              <a:prstDash val="dash"/>
            </a:ln>
          </c:spPr>
          <c:marker>
            <c:symbol val="none"/>
          </c:marker>
          <c:val>
            <c:numRef>
              <c:f>'access to services'!$D$254:$L$254</c:f>
              <c:numCache>
                <c:formatCode>General</c:formatCode>
                <c:ptCount val="9"/>
                <c:pt idx="0">
                  <c:v>27950</c:v>
                </c:pt>
                <c:pt idx="1">
                  <c:v>58932.377594829639</c:v>
                </c:pt>
                <c:pt idx="2">
                  <c:v>257294.03804459027</c:v>
                </c:pt>
                <c:pt idx="3">
                  <c:v>1568042.4720567286</c:v>
                </c:pt>
                <c:pt idx="4">
                  <c:v>3161540.9270146028</c:v>
                </c:pt>
                <c:pt idx="5">
                  <c:v>5049188.5928821098</c:v>
                </c:pt>
                <c:pt idx="6">
                  <c:v>6470400.3781836219</c:v>
                </c:pt>
                <c:pt idx="7">
                  <c:v>7217789.8178637559</c:v>
                </c:pt>
                <c:pt idx="8">
                  <c:v>7538109.6057250071</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services'!$A$222</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services'!$C$222</c:f>
              <c:strCache>
                <c:ptCount val="1"/>
                <c:pt idx="0">
                  <c:v>high</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services'!$D$222:$L$222</c:f>
              <c:numCache>
                <c:formatCode>General</c:formatCode>
                <c:ptCount val="9"/>
                <c:pt idx="0">
                  <c:v>138095</c:v>
                </c:pt>
                <c:pt idx="1">
                  <c:v>247192.16321457806</c:v>
                </c:pt>
                <c:pt idx="2">
                  <c:v>629686.97622950166</c:v>
                </c:pt>
                <c:pt idx="3">
                  <c:v>1461808.9326244195</c:v>
                </c:pt>
                <c:pt idx="4">
                  <c:v>2844800.9475262258</c:v>
                </c:pt>
                <c:pt idx="5">
                  <c:v>4363488.4015511619</c:v>
                </c:pt>
                <c:pt idx="6">
                  <c:v>5429866.422356287</c:v>
                </c:pt>
                <c:pt idx="7">
                  <c:v>5966262.0131053114</c:v>
                </c:pt>
                <c:pt idx="8">
                  <c:v>6191261.065305626</c:v>
                </c:pt>
              </c:numCache>
            </c:numRef>
          </c:val>
          <c:smooth val="0"/>
          <c:extLst>
            <c:ext xmlns:c16="http://schemas.microsoft.com/office/drawing/2014/chart" uri="{C3380CC4-5D6E-409C-BE32-E72D297353CC}">
              <c16:uniqueId val="{00000000-0F57-4FF4-8B7A-D09E1F6A2118}"/>
            </c:ext>
          </c:extLst>
        </c:ser>
        <c:ser>
          <c:idx val="1"/>
          <c:order val="1"/>
          <c:tx>
            <c:strRef>
              <c:f>'access to services'!$C$223</c:f>
              <c:strCache>
                <c:ptCount val="1"/>
                <c:pt idx="0">
                  <c:v>low</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services'!$D$223:$L$223</c:f>
              <c:numCache>
                <c:formatCode>General</c:formatCode>
                <c:ptCount val="9"/>
                <c:pt idx="0">
                  <c:v>138095</c:v>
                </c:pt>
                <c:pt idx="1">
                  <c:v>242912.3457030518</c:v>
                </c:pt>
                <c:pt idx="2">
                  <c:v>583372.87671809434</c:v>
                </c:pt>
                <c:pt idx="3">
                  <c:v>1204349.4636807714</c:v>
                </c:pt>
                <c:pt idx="4">
                  <c:v>1979511.6323951355</c:v>
                </c:pt>
                <c:pt idx="5">
                  <c:v>2593632.7748945854</c:v>
                </c:pt>
                <c:pt idx="6">
                  <c:v>2927781.81517966</c:v>
                </c:pt>
                <c:pt idx="7">
                  <c:v>3073449.5402969769</c:v>
                </c:pt>
                <c:pt idx="8">
                  <c:v>3130752.7458519801</c:v>
                </c:pt>
              </c:numCache>
            </c:numRef>
          </c:val>
          <c:smooth val="0"/>
          <c:extLst>
            <c:ext xmlns:c16="http://schemas.microsoft.com/office/drawing/2014/chart" uri="{C3380CC4-5D6E-409C-BE32-E72D297353CC}">
              <c16:uniqueId val="{00000001-0F57-4FF4-8B7A-D09E1F6A2118}"/>
            </c:ext>
          </c:extLst>
        </c:ser>
        <c:ser>
          <c:idx val="2"/>
          <c:order val="2"/>
          <c:tx>
            <c:strRef>
              <c:f>'access to services'!$C$224</c:f>
              <c:strCache>
                <c:ptCount val="1"/>
                <c:pt idx="0">
                  <c:v>medium</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services'!$D$224:$L$224</c:f>
              <c:numCache>
                <c:formatCode>General</c:formatCode>
                <c:ptCount val="9"/>
                <c:pt idx="0">
                  <c:v>138095</c:v>
                </c:pt>
                <c:pt idx="1">
                  <c:v>245748.89851722636</c:v>
                </c:pt>
                <c:pt idx="2">
                  <c:v>613452.92259836034</c:v>
                </c:pt>
                <c:pt idx="3">
                  <c:v>1364571.9381252199</c:v>
                </c:pt>
                <c:pt idx="4">
                  <c:v>2483007.9636461865</c:v>
                </c:pt>
                <c:pt idx="5">
                  <c:v>3554887.8932894832</c:v>
                </c:pt>
                <c:pt idx="6">
                  <c:v>4226014.630183449</c:v>
                </c:pt>
                <c:pt idx="7">
                  <c:v>4541425.2562878756</c:v>
                </c:pt>
                <c:pt idx="8">
                  <c:v>4669638.8690225556</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5573103.0004989337</c:v>
                </c:pt>
                <c:pt idx="2">
                  <c:v>5702295.5343736522</c:v>
                </c:pt>
                <c:pt idx="3">
                  <c:v>6981826.7528735297</c:v>
                </c:pt>
                <c:pt idx="4">
                  <c:v>7864034.614821285</c:v>
                </c:pt>
                <c:pt idx="5">
                  <c:v>8044833.366731558</c:v>
                </c:pt>
                <c:pt idx="6">
                  <c:v>8208130.8278152067</c:v>
                </c:pt>
                <c:pt idx="7">
                  <c:v>8626143.6907784492</c:v>
                </c:pt>
                <c:pt idx="8">
                  <c:v>9046190.7491419874</c:v>
                </c:pt>
              </c:numCache>
            </c:numRef>
          </c:val>
          <c:smooth val="0"/>
          <c:extLst>
            <c:ext xmlns:c16="http://schemas.microsoft.com/office/drawing/2014/chart" uri="{C3380CC4-5D6E-409C-BE32-E72D297353CC}">
              <c16:uniqueId val="{00000003-0F57-4FF4-8B7A-D09E1F6A2118}"/>
            </c:ext>
          </c:extLst>
        </c:ser>
        <c:ser>
          <c:idx val="4"/>
          <c:order val="4"/>
          <c:tx>
            <c:strRef>
              <c:f>'access to services'!$C$255</c:f>
              <c:strCache>
                <c:ptCount val="1"/>
                <c:pt idx="0">
                  <c:v>PAM MI total</c:v>
                </c:pt>
              </c:strCache>
            </c:strRef>
          </c:tx>
          <c:spPr>
            <a:ln>
              <a:prstDash val="dash"/>
            </a:ln>
          </c:spPr>
          <c:marker>
            <c:symbol val="none"/>
          </c:marker>
          <c:val>
            <c:numRef>
              <c:f>'access to services'!$D$255:$L$255</c:f>
              <c:numCache>
                <c:formatCode>0</c:formatCode>
                <c:ptCount val="9"/>
                <c:pt idx="0">
                  <c:v>138095</c:v>
                </c:pt>
                <c:pt idx="1">
                  <c:v>247192.16321457806</c:v>
                </c:pt>
                <c:pt idx="2" formatCode="General">
                  <c:v>1105509.9634307444</c:v>
                </c:pt>
                <c:pt idx="3" formatCode="General">
                  <c:v>3081102.784674434</c:v>
                </c:pt>
                <c:pt idx="4" formatCode="General">
                  <c:v>4225422.0393039202</c:v>
                </c:pt>
                <c:pt idx="5" formatCode="General">
                  <c:v>5124435.485996875</c:v>
                </c:pt>
                <c:pt idx="6" formatCode="General">
                  <c:v>5696995.6385670593</c:v>
                </c:pt>
                <c:pt idx="7" formatCode="General">
                  <c:v>6014425.9619934577</c:v>
                </c:pt>
                <c:pt idx="8" formatCode="General">
                  <c:v>6177003.1032652501</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2512998.8274706383</c:v>
                </c:pt>
                <c:pt idx="2">
                  <c:v>2620526.5747480164</c:v>
                </c:pt>
                <c:pt idx="3">
                  <c:v>3846794.830335571</c:v>
                </c:pt>
                <c:pt idx="4">
                  <c:v>4979634.6571714403</c:v>
                </c:pt>
                <c:pt idx="5">
                  <c:v>5273969.9904991351</c:v>
                </c:pt>
                <c:pt idx="6">
                  <c:v>5436009.6406777091</c:v>
                </c:pt>
                <c:pt idx="7">
                  <c:v>5880401.534420942</c:v>
                </c:pt>
                <c:pt idx="8">
                  <c:v>6330192.6197302658</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services'!$A$232</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services'!$C$232</c:f>
              <c:strCache>
                <c:ptCount val="1"/>
                <c:pt idx="0">
                  <c:v>High</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services'!$D$232:$L$232</c:f>
              <c:numCache>
                <c:formatCode>0</c:formatCode>
                <c:ptCount val="9"/>
                <c:pt idx="0">
                  <c:v>1</c:v>
                </c:pt>
                <c:pt idx="1">
                  <c:v>1000</c:v>
                </c:pt>
                <c:pt idx="2" formatCode="General">
                  <c:v>2716.520085704858</c:v>
                </c:pt>
                <c:pt idx="3" formatCode="General">
                  <c:v>13400.698799969618</c:v>
                </c:pt>
                <c:pt idx="4" formatCode="General">
                  <c:v>36113.026919703749</c:v>
                </c:pt>
                <c:pt idx="5" formatCode="General">
                  <c:v>95918.92951076226</c:v>
                </c:pt>
                <c:pt idx="6" formatCode="General">
                  <c:v>245465.21683449249</c:v>
                </c:pt>
                <c:pt idx="7" formatCode="General">
                  <c:v>575611.28639774094</c:v>
                </c:pt>
                <c:pt idx="8" formatCode="General">
                  <c:v>1139352.5332827403</c:v>
                </c:pt>
              </c:numCache>
            </c:numRef>
          </c:val>
          <c:smooth val="0"/>
          <c:extLst>
            <c:ext xmlns:c16="http://schemas.microsoft.com/office/drawing/2014/chart" uri="{C3380CC4-5D6E-409C-BE32-E72D297353CC}">
              <c16:uniqueId val="{00000000-8933-427C-8D3C-0911BAA613AA}"/>
            </c:ext>
          </c:extLst>
        </c:ser>
        <c:ser>
          <c:idx val="1"/>
          <c:order val="1"/>
          <c:tx>
            <c:strRef>
              <c:f>'access to services'!$C$233</c:f>
              <c:strCache>
                <c:ptCount val="1"/>
                <c:pt idx="0">
                  <c:v>Middle</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services'!$D$233:$L$233</c:f>
              <c:numCache>
                <c:formatCode>0</c:formatCode>
                <c:ptCount val="9"/>
                <c:pt idx="0">
                  <c:v>1</c:v>
                </c:pt>
                <c:pt idx="1">
                  <c:v>1000</c:v>
                </c:pt>
                <c:pt idx="2" formatCode="General">
                  <c:v>4938.2966581311648</c:v>
                </c:pt>
                <c:pt idx="3" formatCode="General">
                  <c:v>13338.247132112505</c:v>
                </c:pt>
                <c:pt idx="4" formatCode="General">
                  <c:v>35640.516509526366</c:v>
                </c:pt>
                <c:pt idx="5" formatCode="General">
                  <c:v>92600.258858541594</c:v>
                </c:pt>
                <c:pt idx="6" formatCode="General">
                  <c:v>224722.62607528429</c:v>
                </c:pt>
                <c:pt idx="7" formatCode="General">
                  <c:v>472992.37289081246</c:v>
                </c:pt>
                <c:pt idx="8" formatCode="General">
                  <c:v>796856.23834654165</c:v>
                </c:pt>
              </c:numCache>
            </c:numRef>
          </c:val>
          <c:smooth val="0"/>
          <c:extLst>
            <c:ext xmlns:c16="http://schemas.microsoft.com/office/drawing/2014/chart" uri="{C3380CC4-5D6E-409C-BE32-E72D297353CC}">
              <c16:uniqueId val="{00000001-8933-427C-8D3C-0911BAA613AA}"/>
            </c:ext>
          </c:extLst>
        </c:ser>
        <c:ser>
          <c:idx val="2"/>
          <c:order val="2"/>
          <c:tx>
            <c:strRef>
              <c:f>'access to services'!$C$234</c:f>
              <c:strCache>
                <c:ptCount val="1"/>
                <c:pt idx="0">
                  <c:v>Low</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services'!$D$234:$L$234</c:f>
              <c:numCache>
                <c:formatCode>0</c:formatCode>
                <c:ptCount val="9"/>
                <c:pt idx="0">
                  <c:v>1</c:v>
                </c:pt>
                <c:pt idx="1">
                  <c:v>1000</c:v>
                </c:pt>
                <c:pt idx="2" formatCode="General">
                  <c:v>4943.1988282421753</c:v>
                </c:pt>
                <c:pt idx="3" formatCode="General">
                  <c:v>13379.816699040834</c:v>
                </c:pt>
                <c:pt idx="4" formatCode="General">
                  <c:v>35954.137487901775</c:v>
                </c:pt>
                <c:pt idx="5" formatCode="General">
                  <c:v>94786.587584585286</c:v>
                </c:pt>
                <c:pt idx="6" formatCode="General">
                  <c:v>238138.25204454683</c:v>
                </c:pt>
                <c:pt idx="7" formatCode="General">
                  <c:v>536791.12417120161</c:v>
                </c:pt>
                <c:pt idx="8" formatCode="General">
                  <c:v>996573.63126205187</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7681839.2522781566</c:v>
                </c:pt>
                <c:pt idx="2">
                  <c:v>8324913.0610766076</c:v>
                </c:pt>
                <c:pt idx="3">
                  <c:v>6201341.9084527623</c:v>
                </c:pt>
                <c:pt idx="4">
                  <c:v>5468371.7309974004</c:v>
                </c:pt>
                <c:pt idx="5">
                  <c:v>4784253.3808515966</c:v>
                </c:pt>
                <c:pt idx="6">
                  <c:v>4547295.7805294273</c:v>
                </c:pt>
                <c:pt idx="7">
                  <c:v>4436193.4238111582</c:v>
                </c:pt>
                <c:pt idx="8">
                  <c:v>4477155.6889301548</c:v>
                </c:pt>
              </c:numCache>
            </c:numRef>
          </c:val>
          <c:smooth val="0"/>
          <c:extLst>
            <c:ext xmlns:c16="http://schemas.microsoft.com/office/drawing/2014/chart" uri="{C3380CC4-5D6E-409C-BE32-E72D297353CC}">
              <c16:uniqueId val="{00000003-8933-427C-8D3C-0911BAA613AA}"/>
            </c:ext>
          </c:extLst>
        </c:ser>
        <c:ser>
          <c:idx val="4"/>
          <c:order val="4"/>
          <c:tx>
            <c:strRef>
              <c:f>'access to services'!$C$258</c:f>
              <c:strCache>
                <c:ptCount val="1"/>
                <c:pt idx="0">
                  <c:v>PAM LI</c:v>
                </c:pt>
              </c:strCache>
            </c:strRef>
          </c:tx>
          <c:spPr>
            <a:ln>
              <a:prstDash val="dash"/>
            </a:ln>
          </c:spPr>
          <c:marker>
            <c:symbol val="none"/>
          </c:marker>
          <c:val>
            <c:numRef>
              <c:f>'access to services'!$D$258:$L$258</c:f>
              <c:numCache>
                <c:formatCode>0</c:formatCode>
                <c:ptCount val="9"/>
                <c:pt idx="0">
                  <c:v>1</c:v>
                </c:pt>
                <c:pt idx="1">
                  <c:v>1000</c:v>
                </c:pt>
                <c:pt idx="2">
                  <c:v>2716.520085704858</c:v>
                </c:pt>
                <c:pt idx="3">
                  <c:v>13400.698799969618</c:v>
                </c:pt>
                <c:pt idx="4">
                  <c:v>36113.026919703749</c:v>
                </c:pt>
                <c:pt idx="5">
                  <c:v>95918.92951076226</c:v>
                </c:pt>
                <c:pt idx="6">
                  <c:v>245465.21683449249</c:v>
                </c:pt>
                <c:pt idx="7">
                  <c:v>575611.28639774094</c:v>
                </c:pt>
                <c:pt idx="8">
                  <c:v>1139352.5332827403</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services'!$A$253</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services'!$C$254</c:f>
              <c:strCache>
                <c:ptCount val="1"/>
                <c:pt idx="0">
                  <c:v>PAM HI</c:v>
                </c:pt>
              </c:strCache>
            </c:strRef>
          </c:tx>
          <c:marker>
            <c:symbol val="none"/>
          </c:marker>
          <c:cat>
            <c:numRef>
              <c:f>'access to services'!$D$253:$L$253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services'!$D$254:$L$254</c:f>
              <c:numCache>
                <c:formatCode>General</c:formatCode>
                <c:ptCount val="9"/>
                <c:pt idx="0">
                  <c:v>27950</c:v>
                </c:pt>
                <c:pt idx="1">
                  <c:v>58932.377594829639</c:v>
                </c:pt>
                <c:pt idx="2">
                  <c:v>257294.03804459027</c:v>
                </c:pt>
                <c:pt idx="3">
                  <c:v>1568042.4720567286</c:v>
                </c:pt>
                <c:pt idx="4">
                  <c:v>3161540.9270146028</c:v>
                </c:pt>
                <c:pt idx="5">
                  <c:v>5049188.5928821098</c:v>
                </c:pt>
                <c:pt idx="6">
                  <c:v>6470400.3781836219</c:v>
                </c:pt>
                <c:pt idx="7">
                  <c:v>7217789.8178637559</c:v>
                </c:pt>
                <c:pt idx="8">
                  <c:v>7538109.6057250071</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services'!$D$253:$L$253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services'!$D$255:$L$255</c:f>
              <c:numCache>
                <c:formatCode>0</c:formatCode>
                <c:ptCount val="9"/>
                <c:pt idx="0">
                  <c:v>138095</c:v>
                </c:pt>
                <c:pt idx="1">
                  <c:v>247192.16321457806</c:v>
                </c:pt>
                <c:pt idx="2" formatCode="General">
                  <c:v>1105509.9634307444</c:v>
                </c:pt>
                <c:pt idx="3" formatCode="General">
                  <c:v>3081102.784674434</c:v>
                </c:pt>
                <c:pt idx="4" formatCode="General">
                  <c:v>4225422.0393039202</c:v>
                </c:pt>
                <c:pt idx="5" formatCode="General">
                  <c:v>5124435.485996875</c:v>
                </c:pt>
                <c:pt idx="6" formatCode="General">
                  <c:v>5696995.6385670593</c:v>
                </c:pt>
                <c:pt idx="7" formatCode="General">
                  <c:v>6014425.9619934577</c:v>
                </c:pt>
                <c:pt idx="8" formatCode="General">
                  <c:v>6177003.1032652501</c:v>
                </c:pt>
              </c:numCache>
            </c:numRef>
          </c:val>
          <c:smooth val="0"/>
          <c:extLst>
            <c:ext xmlns:c16="http://schemas.microsoft.com/office/drawing/2014/chart" uri="{C3380CC4-5D6E-409C-BE32-E72D297353CC}">
              <c16:uniqueId val="{00000001-BA38-443A-9417-4395B1A8976C}"/>
            </c:ext>
          </c:extLst>
        </c:ser>
        <c:ser>
          <c:idx val="2"/>
          <c:order val="2"/>
          <c:tx>
            <c:strRef>
              <c:f>'access to services'!$C$258</c:f>
              <c:strCache>
                <c:ptCount val="1"/>
                <c:pt idx="0">
                  <c:v>PAM LI</c:v>
                </c:pt>
              </c:strCache>
            </c:strRef>
          </c:tx>
          <c:marker>
            <c:symbol val="none"/>
          </c:marker>
          <c:cat>
            <c:numRef>
              <c:f>'access to services'!$D$253:$L$253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services'!$D$258:$L$258</c:f>
              <c:numCache>
                <c:formatCode>0</c:formatCode>
                <c:ptCount val="9"/>
                <c:pt idx="0">
                  <c:v>1</c:v>
                </c:pt>
                <c:pt idx="1">
                  <c:v>1000</c:v>
                </c:pt>
                <c:pt idx="2">
                  <c:v>2716.520085704858</c:v>
                </c:pt>
                <c:pt idx="3">
                  <c:v>13400.698799969618</c:v>
                </c:pt>
                <c:pt idx="4">
                  <c:v>36113.026919703749</c:v>
                </c:pt>
                <c:pt idx="5">
                  <c:v>95918.92951076226</c:v>
                </c:pt>
                <c:pt idx="6">
                  <c:v>245465.21683449249</c:v>
                </c:pt>
                <c:pt idx="7">
                  <c:v>575611.28639774094</c:v>
                </c:pt>
                <c:pt idx="8">
                  <c:v>1139352.5332827403</c:v>
                </c:pt>
              </c:numCache>
            </c:numRef>
          </c:val>
          <c:smooth val="0"/>
          <c:extLst>
            <c:ext xmlns:c16="http://schemas.microsoft.com/office/drawing/2014/chart" uri="{C3380CC4-5D6E-409C-BE32-E72D297353CC}">
              <c16:uniqueId val="{00000002-BA38-443A-9417-4395B1A8976C}"/>
            </c:ext>
          </c:extLst>
        </c:ser>
        <c:ser>
          <c:idx val="3"/>
          <c:order val="3"/>
          <c:tx>
            <c:strRef>
              <c:f>'access to services'!$C$259</c:f>
              <c:strCache>
                <c:ptCount val="1"/>
                <c:pt idx="0">
                  <c:v>Total</c:v>
                </c:pt>
              </c:strCache>
            </c:strRef>
          </c:tx>
          <c:marker>
            <c:symbol val="none"/>
          </c:marker>
          <c:cat>
            <c:numRef>
              <c:f>'access to services'!$D$253:$L$253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services'!$D$259:$L$259</c:f>
              <c:numCache>
                <c:formatCode>General</c:formatCode>
                <c:ptCount val="9"/>
                <c:pt idx="0">
                  <c:v>304141</c:v>
                </c:pt>
                <c:pt idx="1">
                  <c:v>554316.70402398577</c:v>
                </c:pt>
                <c:pt idx="2">
                  <c:v>2471030.4849917837</c:v>
                </c:pt>
                <c:pt idx="3">
                  <c:v>7743648.7402055664</c:v>
                </c:pt>
                <c:pt idx="4">
                  <c:v>11648498.032542147</c:v>
                </c:pt>
                <c:pt idx="5">
                  <c:v>15393978.494386623</c:v>
                </c:pt>
                <c:pt idx="6">
                  <c:v>18109856.872152235</c:v>
                </c:pt>
                <c:pt idx="7">
                  <c:v>19822253.028248411</c:v>
                </c:pt>
                <c:pt idx="8">
                  <c:v>21031468.345538247</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233</xdr:row>
      <xdr:rowOff>139700</xdr:rowOff>
    </xdr:from>
    <xdr:to>
      <xdr:col>25</xdr:col>
      <xdr:colOff>120650</xdr:colOff>
      <xdr:row>266</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3631636" y="51544462"/>
          <a:ext cx="8405585" cy="524449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3828125" defaultRowHeight="12.45"/>
  <cols>
    <col min="1" max="1" width="38.8437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4375" defaultRowHeight="12.45"/>
  <sheetData>
    <row r="1" spans="1:6">
      <c r="B1" s="160">
        <v>1</v>
      </c>
      <c r="C1" s="6"/>
      <c r="D1" s="5" t="s">
        <v>394</v>
      </c>
      <c r="F1" s="21"/>
    </row>
    <row r="2" spans="1:6">
      <c r="A2" s="6"/>
      <c r="B2" s="159">
        <v>0</v>
      </c>
      <c r="C2" s="159" t="s">
        <v>396</v>
      </c>
    </row>
    <row r="3" spans="1:6">
      <c r="A3" s="6"/>
      <c r="B3" s="159">
        <v>1</v>
      </c>
      <c r="C3" s="159" t="s">
        <v>395</v>
      </c>
    </row>
    <row r="5" spans="1:6">
      <c r="A5" t="s">
        <v>64</v>
      </c>
    </row>
    <row r="10" spans="1:6">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4375" defaultRowHeight="12.45"/>
  <cols>
    <col min="1" max="1" width="17.69140625" customWidth="1"/>
    <col min="2" max="2" width="74.3046875" customWidth="1"/>
    <col min="3" max="3" width="44.3828125" customWidth="1"/>
    <col min="4" max="4" width="51.69140625" customWidth="1"/>
    <col min="5" max="5" width="22" customWidth="1"/>
    <col min="6" max="6" width="25.3046875" customWidth="1"/>
    <col min="7" max="7" width="43.69140625" customWidth="1"/>
  </cols>
  <sheetData>
    <row r="2" spans="1:7">
      <c r="A2" s="1"/>
    </row>
    <row r="3" spans="1:7">
      <c r="A3" s="5" t="s">
        <v>199</v>
      </c>
    </row>
    <row r="4" spans="1:7">
      <c r="A4" s="1"/>
    </row>
    <row r="5" spans="1:7">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4375" defaultRowHeight="12.45"/>
  <cols>
    <col min="3" max="3" width="15.3828125" bestFit="1" customWidth="1"/>
    <col min="5" max="5" width="13.15234375" customWidth="1"/>
    <col min="6" max="6" width="35.3046875" customWidth="1"/>
    <col min="7" max="7" width="53.3828125" customWidth="1"/>
    <col min="8" max="8" width="17.3828125" customWidth="1"/>
    <col min="11" max="11" width="17.6914062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4375" defaultRowHeight="12.45"/>
  <cols>
    <col min="1" max="1" width="7" customWidth="1"/>
    <col min="2" max="2" width="14.69140625" customWidth="1"/>
    <col min="3" max="3" width="29" customWidth="1"/>
    <col min="4" max="4" width="11.3828125" customWidth="1"/>
  </cols>
  <sheetData>
    <row r="2" spans="1:6" ht="14.15">
      <c r="B2" s="72" t="s">
        <v>0</v>
      </c>
      <c r="C2" s="72" t="s">
        <v>174</v>
      </c>
      <c r="D2" s="18" t="s">
        <v>1</v>
      </c>
      <c r="E2" s="16" t="s">
        <v>165</v>
      </c>
      <c r="F2" s="1" t="s">
        <v>212</v>
      </c>
    </row>
    <row r="3" spans="1:6" ht="15.45">
      <c r="A3" s="1"/>
      <c r="B3" s="73" t="s">
        <v>42</v>
      </c>
      <c r="C3" s="72">
        <v>3.6</v>
      </c>
      <c r="D3" s="16" t="s">
        <v>123</v>
      </c>
      <c r="E3">
        <v>4</v>
      </c>
    </row>
    <row r="4" spans="1:6" ht="14.15">
      <c r="B4" s="72" t="s">
        <v>3</v>
      </c>
      <c r="C4" s="72">
        <v>37</v>
      </c>
      <c r="D4" s="16" t="s">
        <v>172</v>
      </c>
      <c r="E4" t="s">
        <v>185</v>
      </c>
    </row>
    <row r="5" spans="1:6" ht="14.15">
      <c r="B5" s="72" t="s">
        <v>21</v>
      </c>
      <c r="C5" s="72">
        <v>26.7</v>
      </c>
      <c r="D5" s="16" t="s">
        <v>172</v>
      </c>
      <c r="E5">
        <v>4</v>
      </c>
    </row>
    <row r="6" spans="1:6" ht="14.15">
      <c r="B6" s="72" t="s">
        <v>21</v>
      </c>
      <c r="C6" s="72">
        <v>46</v>
      </c>
      <c r="D6" s="16" t="s">
        <v>32</v>
      </c>
    </row>
    <row r="7" spans="1:6" ht="14.15">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4.15">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302"/>
  <sheetViews>
    <sheetView topLeftCell="G177" zoomScale="90" zoomScaleNormal="90" workbookViewId="0">
      <selection activeCell="Y208" sqref="Y208:Y213"/>
    </sheetView>
  </sheetViews>
  <sheetFormatPr defaultColWidth="11.3828125" defaultRowHeight="12.45"/>
  <cols>
    <col min="1" max="1" width="32.3828125" customWidth="1"/>
    <col min="2" max="2" width="19.15234375" bestFit="1" customWidth="1"/>
    <col min="3" max="3" width="10.84375" customWidth="1"/>
    <col min="4" max="4" width="10" customWidth="1"/>
    <col min="5" max="5" width="16.69140625" customWidth="1"/>
    <col min="6" max="6" width="9.69140625" customWidth="1"/>
    <col min="7" max="8" width="8.84375" customWidth="1"/>
    <col min="9" max="9" width="8.3046875" customWidth="1"/>
    <col min="10" max="10" width="13.4609375" customWidth="1"/>
    <col min="11" max="11" width="14.84375" customWidth="1"/>
    <col min="12" max="12" width="10.84375" customWidth="1"/>
    <col min="13" max="13" width="9.3828125" customWidth="1"/>
    <col min="14" max="14" width="8.382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13" t="s">
        <v>444</v>
      </c>
      <c r="B11" s="612"/>
      <c r="C11" s="611" t="s">
        <v>445</v>
      </c>
      <c r="D11" s="612"/>
      <c r="E11" s="612"/>
      <c r="F11" s="612"/>
      <c r="G11" s="612"/>
      <c r="H11" s="612"/>
      <c r="I11" s="612"/>
      <c r="J11" s="612"/>
      <c r="K11" s="612"/>
      <c r="L11" s="612"/>
      <c r="M11" s="612"/>
      <c r="N11" s="612"/>
      <c r="O11" s="612"/>
      <c r="P11" s="612"/>
      <c r="Q11" s="611" t="s">
        <v>446</v>
      </c>
      <c r="R11" s="612"/>
      <c r="S11" s="612"/>
      <c r="T11" s="612"/>
      <c r="U11" s="612"/>
      <c r="V11" s="612"/>
      <c r="W11" s="612"/>
      <c r="X11" s="612"/>
      <c r="Y11" s="612"/>
      <c r="Z11" s="612"/>
      <c r="AA11" s="612"/>
      <c r="AB11" s="612"/>
      <c r="AC11" s="612"/>
      <c r="AD11" s="612"/>
      <c r="AE11" s="611" t="s">
        <v>447</v>
      </c>
      <c r="AF11" s="612"/>
      <c r="AG11" s="612"/>
      <c r="AH11" s="612"/>
      <c r="AI11" s="612"/>
      <c r="AJ11" s="612"/>
      <c r="AK11" s="612"/>
      <c r="AL11" s="612"/>
      <c r="AM11" s="612"/>
      <c r="AN11" s="612"/>
      <c r="AO11" s="612"/>
      <c r="AP11" s="612"/>
      <c r="AQ11" s="612"/>
      <c r="AR11" s="612"/>
      <c r="AS11" s="611" t="s">
        <v>448</v>
      </c>
      <c r="AT11" s="612"/>
      <c r="AU11" s="612"/>
      <c r="AV11" s="612"/>
      <c r="AW11" s="612"/>
      <c r="AX11" s="612"/>
      <c r="AY11" s="612"/>
      <c r="AZ11" s="612"/>
      <c r="BA11" s="612"/>
      <c r="BB11" s="612"/>
      <c r="BC11" s="612"/>
      <c r="BD11" s="612"/>
      <c r="BE11" s="612"/>
      <c r="BF11" s="612"/>
      <c r="BG11" s="611" t="s">
        <v>449</v>
      </c>
      <c r="BH11" s="612"/>
      <c r="BI11" s="612"/>
      <c r="BJ11" s="612"/>
      <c r="BK11" s="612"/>
      <c r="BL11" s="612"/>
      <c r="BM11" s="612"/>
      <c r="BN11" s="612"/>
      <c r="BO11" s="612"/>
      <c r="BP11" s="612"/>
      <c r="BQ11" s="612"/>
      <c r="BR11" s="612"/>
      <c r="BS11" s="612"/>
      <c r="BT11" s="612"/>
      <c r="BU11" s="611" t="s">
        <v>450</v>
      </c>
      <c r="BV11" s="612"/>
      <c r="BW11" s="612"/>
      <c r="BX11" s="612"/>
      <c r="BY11" s="612"/>
      <c r="BZ11" s="612"/>
      <c r="CA11" s="612"/>
      <c r="CB11" s="612"/>
      <c r="CC11" s="612"/>
      <c r="CD11" s="612"/>
      <c r="CE11" s="612"/>
      <c r="CF11" s="612"/>
      <c r="CG11" s="612"/>
      <c r="CH11" s="612"/>
      <c r="CI11" s="611" t="s">
        <v>451</v>
      </c>
      <c r="CJ11" s="612"/>
      <c r="CK11" s="612"/>
      <c r="CL11" s="612"/>
      <c r="CM11" s="612"/>
      <c r="CN11" s="612"/>
      <c r="CO11" s="612"/>
      <c r="CP11" s="612"/>
      <c r="CQ11" s="612"/>
      <c r="CR11" s="612"/>
      <c r="CS11" s="612"/>
      <c r="CT11" s="612"/>
      <c r="CU11" s="612"/>
      <c r="CV11" s="612"/>
    </row>
    <row r="12" spans="1:100" s="274" customFormat="1" ht="26.25" customHeight="1">
      <c r="A12" s="613" t="s">
        <v>453</v>
      </c>
      <c r="B12" s="612"/>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2.1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49.75">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4.9">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4.9">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7.299999999999997">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4.9">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4.9">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4.599999999999994">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49.75">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478</v>
      </c>
      <c r="C75" s="286" t="s">
        <v>479</v>
      </c>
      <c r="D75" s="286" t="s">
        <v>480</v>
      </c>
    </row>
    <row r="76" spans="1:12">
      <c r="A76" s="285" t="s">
        <v>504</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13" t="s">
        <v>512</v>
      </c>
      <c r="B88" s="612"/>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2.1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49.75">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4.9">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4.9">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7.299999999999997">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4.9">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4.9">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4.599999999999994">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49.75">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2.1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49.75">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4.9">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4.9">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7.299999999999997">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4.9">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4.9">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4.599999999999994">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49.75">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1.9">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7.299999999999997">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2.3">
      <c r="A137" s="303" t="s">
        <v>65</v>
      </c>
      <c r="H137" t="s">
        <v>767</v>
      </c>
    </row>
    <row r="138" spans="1:44">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c r="A154" s="5" t="s">
        <v>599</v>
      </c>
    </row>
    <row r="155" spans="1:17">
      <c r="A155" t="s">
        <v>684</v>
      </c>
      <c r="B155" s="50">
        <v>0.83</v>
      </c>
    </row>
    <row r="156" spans="1:17">
      <c r="A156" s="347" t="s">
        <v>600</v>
      </c>
      <c r="B156" s="280"/>
      <c r="C156" s="280"/>
      <c r="D156" s="280"/>
      <c r="E156" s="280"/>
      <c r="F156" s="280"/>
      <c r="G156" s="280"/>
      <c r="H156" s="280"/>
      <c r="I156" s="280"/>
      <c r="J156" s="280"/>
    </row>
    <row r="157" spans="1:17">
      <c r="A157" s="302"/>
      <c r="B157" s="305">
        <v>2012</v>
      </c>
      <c r="C157" s="305">
        <v>2017</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601</v>
      </c>
      <c r="B158" s="245">
        <f>'Census 2011_17'!F220/('Census 2011_17'!F220+'Census 2011_17'!F229+'Census 2011_17'!F238)</f>
        <v>0.44069965049004917</v>
      </c>
      <c r="C158" s="245">
        <f>'Census 2011_17'!F3</f>
        <v>0.44069965049004917</v>
      </c>
      <c r="D158" s="633">
        <f>'Census 2011_17'!I3</f>
        <v>0.44932093804663059</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602</v>
      </c>
      <c r="B159" s="245">
        <f>'Census 2011_17'!F229/('Census 2011_17'!F220+'Census 2011_17'!F229+'Census 2011_17'!F238)</f>
        <v>0.31972350159976914</v>
      </c>
      <c r="C159" s="245">
        <f>'Census 2011_17'!F4</f>
        <v>0.31972350159976914</v>
      </c>
      <c r="D159" s="633">
        <f>'Census 2011_17'!I4</f>
        <v>0.30777027456338796</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603</v>
      </c>
      <c r="B160" s="245">
        <f>'Census 2011_17'!F238/('Census 2011_17'!F220+'Census 2011_17'!F229+'Census 2011_17'!F238)</f>
        <v>0.23957684791018166</v>
      </c>
      <c r="C160" s="245">
        <f>'Census 2011_17'!F5</f>
        <v>0.23957684791018166</v>
      </c>
      <c r="D160" s="633">
        <f>'Census 2011_17'!I5</f>
        <v>0.24290878738998153</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4.6">
      <c r="A161" s="292" t="s">
        <v>688</v>
      </c>
      <c r="B161" s="293">
        <f>M161*1000000</f>
        <v>53032389.033699304</v>
      </c>
      <c r="C161" s="293">
        <f>(B161+D161)/2</f>
        <v>56316194.516849652</v>
      </c>
      <c r="D161" s="293">
        <f>N161*1000000</f>
        <v>59600000</v>
      </c>
      <c r="E161" s="293">
        <f>(D161+F161)/2</f>
        <v>65450000</v>
      </c>
      <c r="F161" s="293">
        <f>P161*1000000</f>
        <v>71300000</v>
      </c>
      <c r="G161" s="293">
        <f>(F161+H161)/2</f>
        <v>71300000</v>
      </c>
      <c r="H161" s="293">
        <f>P161*1000000</f>
        <v>71300000</v>
      </c>
      <c r="I161" s="293">
        <f>(H161+J161)/2</f>
        <v>73400000</v>
      </c>
      <c r="J161" s="293">
        <f>Q161*1000000</f>
        <v>75500000</v>
      </c>
      <c r="M161" s="306">
        <v>53.032389033699303</v>
      </c>
      <c r="N161" s="306">
        <v>59.6</v>
      </c>
      <c r="O161" s="306">
        <v>65.900000000000006</v>
      </c>
      <c r="P161" s="306">
        <v>71.3</v>
      </c>
      <c r="Q161" s="306">
        <v>75.5</v>
      </c>
    </row>
    <row r="162" spans="1:20" ht="14.6">
      <c r="A162" s="341" t="s">
        <v>626</v>
      </c>
      <c r="B162" s="342">
        <f>('Census 2011_17'!F220+'Census 2011_17'!F229+'Census 2011_17'!F238)</f>
        <v>14450161.490948498</v>
      </c>
      <c r="C162" s="342">
        <f>'Census 2011_17'!H9</f>
        <v>17431008.27</v>
      </c>
      <c r="D162" s="342">
        <f>'Census 2011_17'!J9</f>
        <v>18527765.692977004</v>
      </c>
      <c r="E162" s="342">
        <f t="shared" ref="E162:J162" si="40">D162*E161/D161</f>
        <v>20346346.721566193</v>
      </c>
      <c r="F162" s="342">
        <f t="shared" si="40"/>
        <v>22164927.750155378</v>
      </c>
      <c r="G162" s="342">
        <f t="shared" si="40"/>
        <v>22164927.750155378</v>
      </c>
      <c r="H162" s="342">
        <f t="shared" si="40"/>
        <v>22164927.750155378</v>
      </c>
      <c r="I162" s="342">
        <f t="shared" si="40"/>
        <v>22817751.70913611</v>
      </c>
      <c r="J162" s="342">
        <f t="shared" si="40"/>
        <v>23470575.668116841</v>
      </c>
      <c r="M162" s="306"/>
      <c r="N162" s="306"/>
      <c r="O162" s="306"/>
      <c r="P162" s="306"/>
      <c r="Q162" s="306"/>
    </row>
    <row r="163" spans="1:20" ht="14.6">
      <c r="A163" s="341" t="s">
        <v>816</v>
      </c>
      <c r="B163" s="342"/>
      <c r="C163" s="342"/>
      <c r="D163" s="342"/>
      <c r="E163" s="342"/>
      <c r="F163" s="342"/>
      <c r="G163" s="342"/>
      <c r="H163" s="342"/>
      <c r="I163" s="342"/>
      <c r="J163" s="342"/>
      <c r="M163" s="306"/>
      <c r="N163" s="306"/>
      <c r="O163" s="306"/>
      <c r="P163" s="306"/>
      <c r="Q163" s="306"/>
    </row>
    <row r="164" spans="1:20" ht="14.6">
      <c r="A164" s="271" t="s">
        <v>817</v>
      </c>
      <c r="B164" s="24"/>
      <c r="C164" s="24"/>
      <c r="D164" s="24"/>
      <c r="E164" s="24"/>
      <c r="F164" s="24"/>
      <c r="G164" s="24"/>
      <c r="H164" s="24"/>
      <c r="I164" s="24"/>
      <c r="J164" s="24"/>
      <c r="M164" s="306"/>
      <c r="N164" s="306"/>
      <c r="O164" s="306"/>
      <c r="P164" s="306"/>
      <c r="Q164" s="306"/>
    </row>
    <row r="165" spans="1:20" ht="14.6">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4.6">
      <c r="A166" s="308" t="s">
        <v>611</v>
      </c>
      <c r="B166" s="309">
        <f>B$162*B158</f>
        <v>6368181.1185857709</v>
      </c>
      <c r="C166" s="309">
        <f t="shared" ref="C166:J166" si="42">C$162*C158</f>
        <v>7681839.2522781566</v>
      </c>
      <c r="D166" s="309">
        <f t="shared" si="42"/>
        <v>8324913.0610766076</v>
      </c>
      <c r="E166" s="309">
        <f t="shared" si="42"/>
        <v>6201341.9084527623</v>
      </c>
      <c r="F166" s="309">
        <f t="shared" si="42"/>
        <v>5468371.7309974004</v>
      </c>
      <c r="G166" s="309">
        <f t="shared" si="42"/>
        <v>4784253.3808515966</v>
      </c>
      <c r="H166" s="309">
        <f t="shared" si="42"/>
        <v>4547295.7805294273</v>
      </c>
      <c r="I166" s="309">
        <f t="shared" si="42"/>
        <v>4436193.4238111582</v>
      </c>
      <c r="J166" s="309">
        <f t="shared" si="42"/>
        <v>4477155.6889301548</v>
      </c>
      <c r="M166" s="306"/>
      <c r="N166" s="306"/>
      <c r="O166" s="306"/>
      <c r="P166" s="306"/>
      <c r="Q166" s="306"/>
    </row>
    <row r="167" spans="1:20" ht="14.6">
      <c r="A167" s="308" t="s">
        <v>702</v>
      </c>
      <c r="B167" s="309">
        <f>B159*B162</f>
        <v>4620056.2305681948</v>
      </c>
      <c r="C167" s="309">
        <f t="shared" ref="C167:J167" si="43">C159*C162</f>
        <v>5573103.0004989337</v>
      </c>
      <c r="D167" s="309">
        <f t="shared" si="43"/>
        <v>5702295.5343736522</v>
      </c>
      <c r="E167" s="309">
        <f t="shared" si="43"/>
        <v>6981826.7528735297</v>
      </c>
      <c r="F167" s="309">
        <f t="shared" si="43"/>
        <v>7864034.614821285</v>
      </c>
      <c r="G167" s="309">
        <f t="shared" si="43"/>
        <v>8044833.366731558</v>
      </c>
      <c r="H167" s="309">
        <f t="shared" si="43"/>
        <v>8208130.8278152067</v>
      </c>
      <c r="I167" s="309">
        <f t="shared" si="43"/>
        <v>8626143.6907784492</v>
      </c>
      <c r="J167" s="309">
        <f t="shared" si="43"/>
        <v>9046190.7491419874</v>
      </c>
      <c r="K167" s="6" t="s">
        <v>619</v>
      </c>
      <c r="M167" s="306"/>
      <c r="N167" s="306"/>
      <c r="O167" s="306"/>
      <c r="P167" s="306"/>
      <c r="Q167" s="306"/>
    </row>
    <row r="168" spans="1:20" ht="14.6">
      <c r="A168" s="308" t="s">
        <v>612</v>
      </c>
      <c r="B168" s="309">
        <f>B$162*B160*B165</f>
        <v>3185338.4707402596</v>
      </c>
      <c r="C168" s="309">
        <f>C$162*C160*C165</f>
        <v>3842424.9625862199</v>
      </c>
      <c r="D168" s="309">
        <f t="shared" ref="D168:J168" si="44">D$162*D160*D165</f>
        <v>4140991.2740271431</v>
      </c>
      <c r="E168" s="309">
        <f t="shared" si="44"/>
        <v>6590885.7945735306</v>
      </c>
      <c r="F168" s="309">
        <f t="shared" si="44"/>
        <v>8126859.2466288246</v>
      </c>
      <c r="G168" s="309">
        <f t="shared" si="44"/>
        <v>8589966.8173528053</v>
      </c>
      <c r="H168" s="309">
        <f t="shared" si="44"/>
        <v>8657741.9810093138</v>
      </c>
      <c r="I168" s="309">
        <f t="shared" si="44"/>
        <v>8976019.1538807694</v>
      </c>
      <c r="J168" s="309">
        <f t="shared" si="44"/>
        <v>9152509.022716172</v>
      </c>
      <c r="M168" s="306"/>
      <c r="N168" s="306"/>
      <c r="O168" s="306"/>
      <c r="P168" s="306"/>
      <c r="Q168" s="306"/>
      <c r="T168">
        <f>D219/B168</f>
        <v>8.7745777275293861E-3</v>
      </c>
    </row>
    <row r="169" spans="1:20" ht="14.6">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0.79056858954462883</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4.6">
      <c r="A171" s="308" t="s">
        <v>686</v>
      </c>
      <c r="B171" s="344">
        <f>M171</f>
        <v>0.85487365806023408</v>
      </c>
      <c r="C171" s="346">
        <f>B171+(D171-B171)*(C$157-B$157)/(D$157-B$157)</f>
        <v>0.88307762177258775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4.6">
      <c r="A172" s="339" t="s">
        <v>687</v>
      </c>
      <c r="B172" s="340"/>
      <c r="C172" s="340"/>
      <c r="D172" s="340"/>
      <c r="E172" s="340"/>
      <c r="F172" s="340"/>
      <c r="G172" s="340"/>
      <c r="H172" s="340"/>
      <c r="I172" s="340"/>
      <c r="J172" s="340"/>
      <c r="M172" s="306"/>
      <c r="N172" s="306"/>
      <c r="O172" s="306"/>
      <c r="P172" s="306"/>
      <c r="Q172" s="306"/>
    </row>
    <row r="173" spans="1:20" ht="14.6">
      <c r="A173" s="308" t="str">
        <f>A170</f>
        <v>Low income</v>
      </c>
      <c r="B173" s="309">
        <f>B170*B166</f>
        <v>4934382.4149125442</v>
      </c>
      <c r="C173" s="309">
        <f t="shared" ref="C173:J173" si="45">C170*C166</f>
        <v>6073020.8227821086</v>
      </c>
      <c r="D173" s="309">
        <f t="shared" si="45"/>
        <v>6659930.448861286</v>
      </c>
      <c r="E173" s="309">
        <f t="shared" si="45"/>
        <v>5116107.0744735282</v>
      </c>
      <c r="F173" s="309">
        <f t="shared" si="45"/>
        <v>4648115.9713477902</v>
      </c>
      <c r="G173" s="309">
        <f t="shared" si="45"/>
        <v>4186221.708245147</v>
      </c>
      <c r="H173" s="309">
        <f t="shared" si="45"/>
        <v>4092566.2024764847</v>
      </c>
      <c r="I173" s="309">
        <f t="shared" si="45"/>
        <v>4103478.9170253216</v>
      </c>
      <c r="J173" s="309">
        <f t="shared" si="45"/>
        <v>4253297.9044836471</v>
      </c>
      <c r="M173" s="306"/>
      <c r="N173" s="306"/>
      <c r="O173" s="306"/>
      <c r="P173" s="306"/>
      <c r="Q173" s="306"/>
    </row>
    <row r="174" spans="1:20" ht="14.6">
      <c r="A174" s="308" t="str">
        <f>A171</f>
        <v>Middlel income</v>
      </c>
      <c r="B174" s="309">
        <f>B171*B167</f>
        <v>3949564.3702698089</v>
      </c>
      <c r="C174" s="309">
        <f t="shared" ref="C174:J174" si="46">C171*C167</f>
        <v>4921482.5435742717</v>
      </c>
      <c r="D174" s="309">
        <f t="shared" si="46"/>
        <v>5132065.980936287</v>
      </c>
      <c r="E174" s="309">
        <f t="shared" si="46"/>
        <v>6458189.7464080155</v>
      </c>
      <c r="F174" s="309">
        <f t="shared" si="46"/>
        <v>7470832.88408022</v>
      </c>
      <c r="G174" s="309">
        <f t="shared" si="46"/>
        <v>7642591.6983949794</v>
      </c>
      <c r="H174" s="309">
        <f t="shared" si="46"/>
        <v>7797724.2864244459</v>
      </c>
      <c r="I174" s="309">
        <f t="shared" si="46"/>
        <v>8410490.0985089876</v>
      </c>
      <c r="J174" s="309">
        <f t="shared" si="46"/>
        <v>9046190.7491419874</v>
      </c>
      <c r="M174" s="306"/>
      <c r="N174" s="306"/>
      <c r="O174" s="306"/>
      <c r="P174" s="306"/>
      <c r="Q174" s="306"/>
    </row>
    <row r="175" spans="1:20" ht="14.6">
      <c r="A175" s="339" t="s">
        <v>704</v>
      </c>
      <c r="B175" s="340"/>
      <c r="C175" s="340"/>
      <c r="D175" s="340"/>
      <c r="E175" s="340"/>
      <c r="F175" s="340"/>
      <c r="G175" s="340"/>
      <c r="H175" s="340"/>
      <c r="I175" s="340"/>
      <c r="J175" s="340"/>
      <c r="K175" t="s">
        <v>703</v>
      </c>
      <c r="M175" s="306"/>
      <c r="N175" s="306"/>
      <c r="O175" s="306"/>
      <c r="P175" s="306"/>
      <c r="Q175" s="306"/>
    </row>
    <row r="176" spans="1:20" ht="14.6">
      <c r="A176" s="308" t="s">
        <v>418</v>
      </c>
      <c r="B176" s="344">
        <v>0.51061825480855005</v>
      </c>
      <c r="C176" s="245">
        <f>$M176*$N176*EXP($O176*C$217)/($M176+$N176*(EXP($O176*C$217)-1))</f>
        <v>0.51061825480855005</v>
      </c>
      <c r="D176" s="245">
        <f>$M176*$N176*EXP($O176*D$217)/($M176+$N176*(EXP($O176*D$217)-1))</f>
        <v>0.51061825480855005</v>
      </c>
      <c r="E176" s="245">
        <f>$M176*$N176*EXP($O176*E$217)/($M176+$N176*(EXP($O176*E$217)-1))</f>
        <v>0.59564599080959524</v>
      </c>
      <c r="F176" s="245">
        <f>$M176*$N176*EXP($O176*F$217)/($M176+$N176*(EXP($O176*F$217)-1))</f>
        <v>0.66654344093048379</v>
      </c>
      <c r="G176" s="245">
        <f>$M176*$N176*EXP($O176*G$217)/($M176+$N176*(EXP($O176*G$217)-1))</f>
        <v>0.69007611535844859</v>
      </c>
      <c r="H176" s="245">
        <f>$M176*$N176*EXP($O176*H$217)/($M176+$N176*(EXP($O176*H$217)-1))</f>
        <v>0.69712770559759385</v>
      </c>
      <c r="I176" s="245">
        <f>$M176*$N176*EXP($O176*I$217)/($M176+$N176*(EXP($O176*I$217)-1))</f>
        <v>0.69917465754622554</v>
      </c>
      <c r="J176" s="245">
        <f>$M176*$N176*EXP($O176*J$217)/($M176+$N176*(EXP($O176*J$217)-1))</f>
        <v>0.6997633363336575</v>
      </c>
      <c r="K176">
        <v>1</v>
      </c>
      <c r="M176" s="306">
        <v>0.7</v>
      </c>
      <c r="N176" s="306">
        <f>B176</f>
        <v>0.51061825480855005</v>
      </c>
      <c r="O176" s="306">
        <v>0.25</v>
      </c>
    </row>
    <row r="177" spans="1:17" ht="14.6">
      <c r="A177" s="308" t="s">
        <v>701</v>
      </c>
      <c r="B177" s="309">
        <f>B176*B174</f>
        <v>2016719.6660011997</v>
      </c>
      <c r="C177" s="309">
        <f t="shared" ref="C177:J177" si="47">C176*C174</f>
        <v>2512998.8274706383</v>
      </c>
      <c r="D177" s="309">
        <f t="shared" si="47"/>
        <v>2620526.5747480164</v>
      </c>
      <c r="E177" s="309">
        <f t="shared" si="47"/>
        <v>3846794.830335571</v>
      </c>
      <c r="F177" s="309">
        <f t="shared" si="47"/>
        <v>4979634.6571714403</v>
      </c>
      <c r="G177" s="309">
        <f t="shared" si="47"/>
        <v>5273969.9904991351</v>
      </c>
      <c r="H177" s="309">
        <f t="shared" si="47"/>
        <v>5436009.6406777091</v>
      </c>
      <c r="I177" s="309">
        <f t="shared" si="47"/>
        <v>5880401.534420942</v>
      </c>
      <c r="J177" s="309">
        <f t="shared" si="47"/>
        <v>6330192.6197302658</v>
      </c>
      <c r="M177" s="306"/>
      <c r="N177" s="306"/>
      <c r="O177" s="306"/>
      <c r="P177" s="306"/>
      <c r="Q177" s="306"/>
    </row>
    <row r="178" spans="1:17" ht="14.6">
      <c r="A178" s="2"/>
      <c r="B178" s="2"/>
      <c r="D178" s="2"/>
      <c r="F178" s="2"/>
      <c r="H178" s="2"/>
      <c r="J178" s="2"/>
      <c r="M178" s="306"/>
      <c r="N178" s="306"/>
      <c r="O178" s="306"/>
      <c r="P178" s="306"/>
      <c r="Q178" s="306"/>
    </row>
    <row r="179" spans="1:17" ht="14.6">
      <c r="A179" t="s">
        <v>1064</v>
      </c>
      <c r="B179" t="s">
        <v>1067</v>
      </c>
      <c r="H179" s="2"/>
      <c r="J179" s="2"/>
      <c r="M179" s="306"/>
      <c r="N179" s="306"/>
      <c r="O179" s="306"/>
      <c r="P179" s="306"/>
      <c r="Q179" s="306"/>
    </row>
    <row r="180" spans="1:17" ht="14.6">
      <c r="C180">
        <v>2020</v>
      </c>
      <c r="D180">
        <v>2030</v>
      </c>
      <c r="E180">
        <v>2040</v>
      </c>
      <c r="F180">
        <v>2050</v>
      </c>
      <c r="H180" s="2"/>
      <c r="J180" s="2"/>
      <c r="M180" s="306"/>
      <c r="N180" s="306"/>
      <c r="O180" s="306"/>
      <c r="P180" s="306"/>
      <c r="Q180" s="306"/>
    </row>
    <row r="181" spans="1:17" ht="14.6">
      <c r="A181" t="s">
        <v>30</v>
      </c>
      <c r="C181" s="8">
        <f>D167-$C167</f>
        <v>129192.53387471847</v>
      </c>
      <c r="D181" s="8">
        <f t="shared" ref="D181:F181" si="48">E167-$C167</f>
        <v>1408723.752374596</v>
      </c>
      <c r="E181" s="8">
        <f t="shared" si="48"/>
        <v>2290931.6143223513</v>
      </c>
      <c r="F181" s="8">
        <f t="shared" si="48"/>
        <v>2471730.3662326243</v>
      </c>
      <c r="H181" s="2"/>
      <c r="J181" s="2"/>
      <c r="M181" s="306"/>
      <c r="N181" s="306"/>
      <c r="O181" s="306"/>
      <c r="P181" s="306"/>
      <c r="Q181" s="306"/>
    </row>
    <row r="182" spans="1:17" ht="14.6">
      <c r="A182" t="s">
        <v>587</v>
      </c>
      <c r="C182" s="8">
        <f>D168-$C168</f>
        <v>298566.31144092325</v>
      </c>
      <c r="D182" s="8">
        <f t="shared" ref="D182:F182" si="49">E168-$C168</f>
        <v>2748460.8319873107</v>
      </c>
      <c r="E182" s="8">
        <f t="shared" si="49"/>
        <v>4284434.2840426043</v>
      </c>
      <c r="F182" s="8">
        <f t="shared" si="49"/>
        <v>4747541.8547665849</v>
      </c>
      <c r="H182" s="2"/>
      <c r="J182" s="2"/>
      <c r="M182" s="306"/>
      <c r="N182" s="306"/>
      <c r="O182" s="306"/>
      <c r="P182" s="306"/>
      <c r="Q182" s="306"/>
    </row>
    <row r="183" spans="1:17" ht="14.6">
      <c r="H183" s="2"/>
      <c r="J183" s="2"/>
      <c r="M183" s="306"/>
      <c r="N183" s="306"/>
      <c r="O183" s="306"/>
      <c r="P183" s="306"/>
      <c r="Q183" s="306"/>
    </row>
    <row r="184" spans="1:17" ht="14.6">
      <c r="A184" t="s">
        <v>1065</v>
      </c>
      <c r="H184" s="2"/>
      <c r="J184" s="2"/>
      <c r="M184" s="306"/>
      <c r="N184" s="306"/>
      <c r="O184" s="306"/>
      <c r="P184" s="306"/>
      <c r="Q184" s="306"/>
    </row>
    <row r="185" spans="1:17" ht="14.6">
      <c r="C185">
        <v>2020</v>
      </c>
      <c r="D185">
        <v>2030</v>
      </c>
      <c r="E185">
        <v>2040</v>
      </c>
      <c r="F185">
        <v>2050</v>
      </c>
      <c r="H185" s="2"/>
      <c r="J185" s="2"/>
      <c r="M185" s="306"/>
      <c r="N185" s="306"/>
      <c r="O185" s="306"/>
      <c r="P185" s="306"/>
      <c r="Q185" s="306"/>
    </row>
    <row r="186" spans="1:17" ht="14.6">
      <c r="A186" t="s">
        <v>30</v>
      </c>
      <c r="C186" s="8">
        <f>C166-C181</f>
        <v>7552646.7184034381</v>
      </c>
      <c r="D186" s="8">
        <f t="shared" ref="D186:F186" si="50">D166-D181</f>
        <v>6916189.3087020116</v>
      </c>
      <c r="E186" s="8">
        <f t="shared" si="50"/>
        <v>3910410.294130411</v>
      </c>
      <c r="F186" s="8">
        <f t="shared" si="50"/>
        <v>2996641.3647647761</v>
      </c>
      <c r="H186" s="2"/>
      <c r="J186" s="2"/>
      <c r="M186" s="306"/>
      <c r="N186" s="306"/>
      <c r="O186" s="306"/>
      <c r="P186" s="306"/>
      <c r="Q186" s="306"/>
    </row>
    <row r="187" spans="1:17" ht="14.6">
      <c r="A187" t="s">
        <v>587</v>
      </c>
      <c r="C187" s="8">
        <f>C167-C182</f>
        <v>5274536.6890580105</v>
      </c>
      <c r="D187" s="8">
        <f t="shared" ref="D187:F187" si="51">D167-D182</f>
        <v>2953834.7023863415</v>
      </c>
      <c r="E187" s="8">
        <f t="shared" si="51"/>
        <v>2697392.4688309254</v>
      </c>
      <c r="F187" s="8">
        <f t="shared" si="51"/>
        <v>3116492.7600547001</v>
      </c>
      <c r="H187" s="2"/>
      <c r="J187" s="2"/>
      <c r="M187" s="306"/>
      <c r="N187" s="306"/>
      <c r="O187" s="306"/>
      <c r="P187" s="306"/>
      <c r="Q187" s="306"/>
    </row>
    <row r="188" spans="1:17" ht="14.6">
      <c r="A188" s="2"/>
      <c r="B188" s="2"/>
      <c r="D188" s="2"/>
      <c r="F188" s="2"/>
      <c r="H188" s="2"/>
      <c r="J188" s="2"/>
      <c r="M188" s="306"/>
      <c r="N188" s="306"/>
      <c r="O188" s="306"/>
      <c r="P188" s="306"/>
      <c r="Q188" s="306"/>
    </row>
    <row r="189" spans="1:17" ht="14.6">
      <c r="A189" s="2" t="s">
        <v>1068</v>
      </c>
      <c r="B189" s="2"/>
      <c r="D189" s="2"/>
      <c r="F189" s="2"/>
      <c r="H189" s="2"/>
      <c r="J189" s="2"/>
      <c r="M189" s="306"/>
      <c r="N189" s="306"/>
      <c r="O189" s="306"/>
      <c r="P189" s="306"/>
      <c r="Q189" s="306"/>
    </row>
    <row r="190" spans="1:17" ht="14.6">
      <c r="C190">
        <v>2020</v>
      </c>
      <c r="D190">
        <v>2030</v>
      </c>
      <c r="E190">
        <v>2040</v>
      </c>
      <c r="F190">
        <v>2050</v>
      </c>
      <c r="H190" t="s">
        <v>1069</v>
      </c>
      <c r="J190" s="2"/>
      <c r="M190" s="306"/>
      <c r="N190" s="306"/>
      <c r="O190" s="306"/>
      <c r="P190" s="306"/>
      <c r="Q190" s="306"/>
    </row>
    <row r="191" spans="1:17" ht="14.6">
      <c r="A191" t="s">
        <v>30</v>
      </c>
      <c r="B191" t="s">
        <v>165</v>
      </c>
      <c r="C191" s="50">
        <f>C193/2</f>
        <v>8.4089584298711155E-3</v>
      </c>
      <c r="D191" s="50">
        <f>D193/2</f>
        <v>8.4608916756207825E-2</v>
      </c>
      <c r="E191" s="50">
        <f>E193/2</f>
        <v>0.18471257093562995</v>
      </c>
      <c r="F191" s="50">
        <f>F193/2</f>
        <v>0.22600240874460398</v>
      </c>
      <c r="J191" s="2"/>
      <c r="M191" s="306"/>
      <c r="N191" s="306"/>
      <c r="O191" s="306"/>
      <c r="P191" s="306"/>
      <c r="Q191" s="306"/>
    </row>
    <row r="192" spans="1:17" ht="14.6">
      <c r="A192" t="s">
        <v>31</v>
      </c>
      <c r="B192" t="s">
        <v>165</v>
      </c>
      <c r="C192" s="50">
        <f>C194/2</f>
        <v>2.6786362230717252E-2</v>
      </c>
      <c r="D192" s="50">
        <f>D194/2</f>
        <v>0.24099600024406709</v>
      </c>
      <c r="E192" s="50">
        <f>E194/2</f>
        <v>0.30682759940149246</v>
      </c>
      <c r="F192" s="50">
        <f>F194/2</f>
        <v>0.30185153596723302</v>
      </c>
      <c r="J192" s="2"/>
      <c r="M192" s="306"/>
      <c r="N192" s="306"/>
      <c r="O192" s="306"/>
      <c r="P192" s="306"/>
      <c r="Q192" s="306"/>
    </row>
    <row r="193" spans="1:26" ht="14.6">
      <c r="A193" t="s">
        <v>30</v>
      </c>
      <c r="B193" t="s">
        <v>1071</v>
      </c>
      <c r="C193" s="50">
        <f>C181/C166</f>
        <v>1.6817916859742231E-2</v>
      </c>
      <c r="D193" s="50">
        <f t="shared" ref="D193:F193" si="52">D181/D166</f>
        <v>0.16921783351241565</v>
      </c>
      <c r="E193" s="50">
        <f t="shared" si="52"/>
        <v>0.36942514187125991</v>
      </c>
      <c r="F193" s="50">
        <f t="shared" si="52"/>
        <v>0.45200481748920796</v>
      </c>
      <c r="H193" t="s">
        <v>1070</v>
      </c>
      <c r="J193" s="2"/>
      <c r="M193" s="306"/>
      <c r="N193" s="306"/>
      <c r="O193" s="306"/>
      <c r="P193" s="306"/>
      <c r="Q193" s="306"/>
    </row>
    <row r="194" spans="1:26" ht="14.6">
      <c r="A194" t="s">
        <v>587</v>
      </c>
      <c r="B194" t="s">
        <v>1071</v>
      </c>
      <c r="C194" s="50">
        <f>C182/C167</f>
        <v>5.3572724461434504E-2</v>
      </c>
      <c r="D194" s="50">
        <f t="shared" ref="D194:F194" si="53">D182/D167</f>
        <v>0.48199200048813418</v>
      </c>
      <c r="E194" s="50">
        <f t="shared" si="53"/>
        <v>0.61365519880298491</v>
      </c>
      <c r="F194" s="50">
        <f t="shared" si="53"/>
        <v>0.60370307193446604</v>
      </c>
      <c r="H194" s="2"/>
      <c r="J194" s="2"/>
      <c r="M194" s="306"/>
      <c r="N194" s="306"/>
      <c r="O194" s="306"/>
      <c r="P194" s="306"/>
      <c r="Q194" s="306"/>
    </row>
    <row r="195" spans="1:26" ht="14.6">
      <c r="C195" s="50"/>
      <c r="D195" s="50"/>
      <c r="E195" s="50"/>
      <c r="F195" s="50"/>
      <c r="H195" s="2"/>
      <c r="J195" s="2"/>
      <c r="M195" s="306"/>
      <c r="N195" s="306"/>
      <c r="O195" s="306"/>
      <c r="P195" s="306"/>
      <c r="Q195" s="306"/>
    </row>
    <row r="196" spans="1:26" ht="14.6">
      <c r="A196" t="s">
        <v>1072</v>
      </c>
      <c r="C196" s="50"/>
      <c r="H196" s="2"/>
      <c r="J196" s="2"/>
      <c r="M196" s="306"/>
      <c r="N196" s="306"/>
      <c r="O196" s="306"/>
      <c r="P196" s="306"/>
      <c r="Q196" s="306"/>
    </row>
    <row r="197" spans="1:26" ht="14.6">
      <c r="A197" t="s">
        <v>30</v>
      </c>
      <c r="B197" t="s">
        <v>165</v>
      </c>
      <c r="C197" s="50">
        <f>F245</f>
        <v>1.1130833061179509E-2</v>
      </c>
      <c r="D197" s="50">
        <f>+H245</f>
        <v>5.9628218795459237E-2</v>
      </c>
      <c r="E197" s="50">
        <f>J245</f>
        <v>8.0788538156859824E-2</v>
      </c>
      <c r="F197" s="419">
        <f>L245</f>
        <v>7.4186196232652324E-2</v>
      </c>
      <c r="H197" s="2"/>
      <c r="J197" s="2"/>
      <c r="M197" s="306"/>
      <c r="N197" s="306"/>
      <c r="O197" s="306"/>
      <c r="P197" s="306"/>
      <c r="Q197" s="306"/>
    </row>
    <row r="198" spans="1:26" ht="14.6">
      <c r="A198" t="s">
        <v>31</v>
      </c>
      <c r="B198" t="s">
        <v>165</v>
      </c>
      <c r="C198" s="50">
        <f>F242</f>
        <v>4.7672759222213944E-2</v>
      </c>
      <c r="D198" s="50">
        <f>H242/2</f>
        <v>9.421021315677014E-2</v>
      </c>
      <c r="E198" s="50">
        <f>J242/2</f>
        <v>0.1985581583074123</v>
      </c>
      <c r="F198" s="419">
        <f>L242/2</f>
        <v>0.20920975947629739</v>
      </c>
      <c r="H198" s="2"/>
      <c r="J198" s="2"/>
      <c r="M198" s="306"/>
      <c r="N198" s="306"/>
      <c r="O198" s="306"/>
      <c r="P198" s="306"/>
      <c r="Q198" s="306"/>
    </row>
    <row r="199" spans="1:26" ht="14.6">
      <c r="A199" t="s">
        <v>30</v>
      </c>
      <c r="B199" t="s">
        <v>1073</v>
      </c>
      <c r="C199" s="50">
        <f>F246</f>
        <v>1.170476438799993E-2</v>
      </c>
      <c r="D199" s="50">
        <f>+H246</f>
        <v>7.4794883598647333E-2</v>
      </c>
      <c r="E199" s="50">
        <f>J246</f>
        <v>0.11661167592198908</v>
      </c>
      <c r="F199" s="50">
        <f>L246</f>
        <v>0.11065158241317938</v>
      </c>
      <c r="H199" s="2"/>
      <c r="J199" s="2"/>
      <c r="M199" s="306"/>
      <c r="N199" s="306"/>
      <c r="O199" s="306"/>
      <c r="P199" s="306"/>
      <c r="Q199" s="306"/>
    </row>
    <row r="200" spans="1:26" ht="14.6">
      <c r="A200" t="s">
        <v>31</v>
      </c>
      <c r="B200" t="s">
        <v>1073</v>
      </c>
      <c r="C200" s="50">
        <f>F243</f>
        <v>4.8384315124194562E-2</v>
      </c>
      <c r="D200" s="50">
        <f>+H243/2</f>
        <v>0.10834503150159168</v>
      </c>
      <c r="E200" s="50">
        <f>+J243/2</f>
        <v>0.28202005301289174</v>
      </c>
      <c r="F200" s="50">
        <f>+L243/2</f>
        <v>0.31221362727566604</v>
      </c>
      <c r="H200" s="2"/>
      <c r="J200" s="2"/>
      <c r="M200" s="306"/>
      <c r="N200" s="306"/>
      <c r="O200" s="306"/>
      <c r="P200" s="306"/>
      <c r="Q200" s="306"/>
    </row>
    <row r="201" spans="1:26" ht="14.6">
      <c r="C201" s="50"/>
      <c r="D201" s="50"/>
      <c r="E201" s="50"/>
      <c r="F201" s="50"/>
      <c r="H201" s="2"/>
      <c r="J201" s="2"/>
      <c r="M201" s="306"/>
      <c r="N201" s="306"/>
      <c r="O201" s="306"/>
      <c r="P201" s="306"/>
      <c r="Q201" s="306"/>
    </row>
    <row r="202" spans="1:26" ht="14.6">
      <c r="A202" s="6" t="s">
        <v>692</v>
      </c>
      <c r="B202" s="6"/>
      <c r="C202">
        <v>2020</v>
      </c>
      <c r="D202">
        <v>2030</v>
      </c>
      <c r="E202">
        <v>2040</v>
      </c>
      <c r="F202">
        <v>2050</v>
      </c>
      <c r="G202" t="s">
        <v>1076</v>
      </c>
      <c r="H202" s="2" t="s">
        <v>405</v>
      </c>
      <c r="J202">
        <v>2020</v>
      </c>
      <c r="K202">
        <v>2030</v>
      </c>
      <c r="L202">
        <v>2040</v>
      </c>
      <c r="M202">
        <v>2050</v>
      </c>
      <c r="N202" s="306"/>
      <c r="O202">
        <v>2020</v>
      </c>
      <c r="P202">
        <v>2030</v>
      </c>
      <c r="Q202">
        <v>2040</v>
      </c>
      <c r="R202">
        <v>2050</v>
      </c>
      <c r="T202">
        <v>2020</v>
      </c>
      <c r="V202">
        <v>2030</v>
      </c>
      <c r="X202">
        <v>2040</v>
      </c>
      <c r="Z202">
        <v>2050</v>
      </c>
    </row>
    <row r="203" spans="1:26" ht="14.6">
      <c r="A203" s="82" t="s">
        <v>30</v>
      </c>
      <c r="B203" s="82" t="s">
        <v>165</v>
      </c>
      <c r="C203" s="636">
        <f>(C197*C186+C181/2)/(C181+C186)</f>
        <v>1.9352594066048036E-2</v>
      </c>
      <c r="D203" s="636">
        <f t="shared" ref="D203:F203" si="54">(D197*D186+D181/2)/(D181+D186)</f>
        <v>0.13414697755089514</v>
      </c>
      <c r="E203" s="636">
        <f t="shared" si="54"/>
        <v>0.23565579192232014</v>
      </c>
      <c r="F203" s="636">
        <f t="shared" si="54"/>
        <v>0.26665608688889775</v>
      </c>
      <c r="H203" s="2"/>
      <c r="J203" s="2"/>
      <c r="M203" s="306"/>
      <c r="N203" s="306"/>
      <c r="O203" s="306"/>
      <c r="P203" s="306"/>
      <c r="Q203" s="306"/>
    </row>
    <row r="204" spans="1:26" ht="14.6">
      <c r="A204" s="82" t="s">
        <v>1075</v>
      </c>
      <c r="B204" s="82" t="s">
        <v>165</v>
      </c>
      <c r="C204" s="636">
        <f>(C198*C187+C182/2)/(C182+C187)</f>
        <v>7.1905161858803204E-2</v>
      </c>
      <c r="D204" s="636">
        <f>(D198*D187+D182/2)/(D182+D187)</f>
        <v>0.28979764429499205</v>
      </c>
      <c r="E204" s="636">
        <f>(E198*E187+E182/2)/(E182+E187)</f>
        <v>0.38353951159881505</v>
      </c>
      <c r="F204" s="636">
        <f>(F198*F187+F182/2)/(F182+F187)</f>
        <v>0.38476072096901892</v>
      </c>
      <c r="H204" s="2"/>
      <c r="J204" s="2"/>
      <c r="M204" s="306"/>
      <c r="N204" s="306"/>
      <c r="O204" s="306"/>
      <c r="P204" s="306"/>
      <c r="Q204" s="306"/>
    </row>
    <row r="205" spans="1:26" ht="14.6">
      <c r="A205" s="634" t="s">
        <v>30</v>
      </c>
      <c r="B205" s="634" t="s">
        <v>93</v>
      </c>
      <c r="C205" s="635">
        <f>C203</f>
        <v>1.9352594066048036E-2</v>
      </c>
      <c r="D205" s="635">
        <f>(D199*D186+D181)/(D181+D186)</f>
        <v>0.23135608895068657</v>
      </c>
      <c r="E205" s="635">
        <f>(E199*E186+E181)/(E181+E186)</f>
        <v>0.4429575328719228</v>
      </c>
      <c r="F205" s="635">
        <f>(F199*F186+F181)/(F181+F186)</f>
        <v>0.51264135158882618</v>
      </c>
      <c r="H205" s="2"/>
      <c r="J205" s="2"/>
      <c r="M205" s="306"/>
      <c r="N205" s="306"/>
      <c r="O205" s="306"/>
      <c r="P205" s="306"/>
      <c r="Q205" s="306"/>
    </row>
    <row r="206" spans="1:26" ht="14.6">
      <c r="A206" s="634" t="s">
        <v>31</v>
      </c>
      <c r="B206" s="634" t="s">
        <v>93</v>
      </c>
      <c r="C206" s="635">
        <f>C204</f>
        <v>7.1905161858803204E-2</v>
      </c>
      <c r="D206" s="635">
        <f>(D200*D187+D182*2/3)/(D182+D187)</f>
        <v>0.3774515933506124</v>
      </c>
      <c r="E206" s="635">
        <f>(E200*E187+E182)/(E182+E187)</f>
        <v>0.72261218011782213</v>
      </c>
      <c r="F206" s="635">
        <f>(F200*F187+F182)/(F182+F187)</f>
        <v>0.72743237332401012</v>
      </c>
      <c r="H206" s="2"/>
      <c r="J206" s="2"/>
      <c r="M206" s="306"/>
      <c r="N206" s="306"/>
      <c r="O206" s="306"/>
      <c r="P206" s="306"/>
      <c r="Q206" s="306"/>
    </row>
    <row r="207" spans="1:26" s="637" customFormat="1" ht="14.6">
      <c r="C207" s="638"/>
      <c r="D207" s="638"/>
      <c r="E207" s="638"/>
      <c r="F207" s="638"/>
      <c r="H207" s="639"/>
      <c r="J207" s="639"/>
      <c r="M207" s="640"/>
      <c r="N207" s="640"/>
      <c r="O207" s="640"/>
      <c r="P207" s="640"/>
      <c r="Q207" s="640"/>
    </row>
    <row r="208" spans="1:26" s="637" customFormat="1" ht="14.6">
      <c r="A208" s="637" t="s">
        <v>504</v>
      </c>
      <c r="C208" s="638">
        <f>1-C209-C210</f>
        <v>0.92809483814119687</v>
      </c>
      <c r="D208" s="638">
        <f t="shared" ref="D208:F208" si="55">1-D209-D210</f>
        <v>0.710202355705008</v>
      </c>
      <c r="E208" s="638">
        <f t="shared" si="55"/>
        <v>0.61646048840118506</v>
      </c>
      <c r="F208" s="638">
        <f t="shared" si="55"/>
        <v>0.61523927903098108</v>
      </c>
      <c r="G208" s="637">
        <f>Energy_Balance!F28/'Census 2011_17'!H4</f>
        <v>1.7122281602599391E-6</v>
      </c>
      <c r="H208" s="639">
        <f>RES!E132</f>
        <v>0.75</v>
      </c>
      <c r="J208" s="637">
        <f>C208*(C$182+C$187)</f>
        <v>5172368.1271922765</v>
      </c>
      <c r="K208" s="637">
        <f t="shared" ref="K208:M213" si="56">D208*(D$182+D$187)</f>
        <v>4049783.7214383152</v>
      </c>
      <c r="L208" s="637">
        <f t="shared" si="56"/>
        <v>4304020.3300088765</v>
      </c>
      <c r="M208" s="637">
        <f t="shared" si="56"/>
        <v>4838262.9866973264</v>
      </c>
      <c r="N208" s="640"/>
      <c r="O208" s="640">
        <f>J208*$G208/$H208</f>
        <v>11.808365816812772</v>
      </c>
      <c r="P208" s="640">
        <f t="shared" ref="P208:R213" si="57">K208*$G208/$H208</f>
        <v>9.2455383077453011</v>
      </c>
      <c r="Q208" s="640">
        <f t="shared" si="57"/>
        <v>9.825953081829967</v>
      </c>
      <c r="R208" s="640">
        <f t="shared" si="57"/>
        <v>11.045613510088694</v>
      </c>
      <c r="T208" s="637">
        <f>O208/SUM(O$208:O$210)</f>
        <v>0.97391941694399597</v>
      </c>
      <c r="U208" s="637">
        <f>(T208+V208)/2</f>
        <v>0.92515681494142332</v>
      </c>
      <c r="V208" s="637">
        <f>P208/SUM(P$208:P$210)</f>
        <v>0.87639421293885067</v>
      </c>
      <c r="W208" s="637">
        <f>(V208+X208)/2</f>
        <v>0.84970415098301433</v>
      </c>
      <c r="X208" s="637">
        <f>Q208/SUM(Q$208:Q$210)</f>
        <v>0.82301408902717788</v>
      </c>
      <c r="Y208" s="637">
        <f>(X208+Z208)/2</f>
        <v>0.82263751156903397</v>
      </c>
      <c r="Z208" s="637">
        <f>R208/SUM(R$208:R$210)</f>
        <v>0.82226093411089007</v>
      </c>
    </row>
    <row r="209" spans="1:26" ht="14.6">
      <c r="A209" t="s">
        <v>1074</v>
      </c>
      <c r="B209" s="82" t="s">
        <v>165</v>
      </c>
      <c r="C209" s="50">
        <f>C204*1/8</f>
        <v>8.9881452323504005E-3</v>
      </c>
      <c r="D209" s="50">
        <f t="shared" ref="D209:F209" si="58">D204*1/8</f>
        <v>3.6224705536874006E-2</v>
      </c>
      <c r="E209" s="50">
        <f t="shared" si="58"/>
        <v>4.7942438949851882E-2</v>
      </c>
      <c r="F209" s="50">
        <f t="shared" si="58"/>
        <v>4.8095090121127365E-2</v>
      </c>
      <c r="G209" s="637">
        <f>G208</f>
        <v>1.7122281602599391E-6</v>
      </c>
      <c r="H209" s="2">
        <f>RES!E133</f>
        <v>2.3199999999999998</v>
      </c>
      <c r="J209" s="637">
        <f t="shared" ref="J209:J210" si="59">C209*(C$182+C$187)</f>
        <v>50091.859163332199</v>
      </c>
      <c r="K209" s="637">
        <f t="shared" si="56"/>
        <v>206563.97661691715</v>
      </c>
      <c r="L209" s="637">
        <f t="shared" si="56"/>
        <v>334725.80285808182</v>
      </c>
      <c r="M209" s="637">
        <f t="shared" si="56"/>
        <v>378221.45351549482</v>
      </c>
      <c r="N209" s="306"/>
      <c r="O209" s="640">
        <f t="shared" ref="O209:O213" si="60">J209*$G209/$H209</f>
        <v>3.6969263732427704E-2</v>
      </c>
      <c r="P209" s="640">
        <f t="shared" si="57"/>
        <v>0.15245028347360393</v>
      </c>
      <c r="Q209" s="640">
        <f t="shared" si="57"/>
        <v>0.24703747656001057</v>
      </c>
      <c r="R209" s="640">
        <f t="shared" si="57"/>
        <v>0.27913854462227405</v>
      </c>
      <c r="T209" s="637">
        <f t="shared" ref="T209:T210" si="61">O209/SUM(O$208:O$210)</f>
        <v>3.0491165617405505E-3</v>
      </c>
      <c r="U209" s="637">
        <f t="shared" ref="U209:W213" si="62">(T209+V209)/2</f>
        <v>8.7500189165818296E-3</v>
      </c>
      <c r="V209" s="637">
        <f>P209/SUM(P$208:P$210)</f>
        <v>1.445092127142311E-2</v>
      </c>
      <c r="W209" s="637">
        <f t="shared" si="62"/>
        <v>1.757129284320388E-2</v>
      </c>
      <c r="X209" s="637">
        <f>Q209/SUM(Q$208:Q$210)</f>
        <v>2.0691664414984653E-2</v>
      </c>
      <c r="Y209" s="637">
        <f t="shared" ref="Y209" si="63">(X209+Z209)/2</f>
        <v>2.073569059959636E-2</v>
      </c>
      <c r="Z209" s="637">
        <f>R209/SUM(R$208:R$210)</f>
        <v>2.0779716784208067E-2</v>
      </c>
    </row>
    <row r="210" spans="1:26" ht="14.6">
      <c r="A210" t="s">
        <v>1075</v>
      </c>
      <c r="B210" s="82" t="s">
        <v>165</v>
      </c>
      <c r="C210" s="50">
        <f>C204-C209</f>
        <v>6.2917016626452799E-2</v>
      </c>
      <c r="D210" s="50">
        <f t="shared" ref="D210:F210" si="64">D204-D209</f>
        <v>0.25357293875811804</v>
      </c>
      <c r="E210" s="50">
        <f t="shared" si="64"/>
        <v>0.33559707264896316</v>
      </c>
      <c r="F210" s="50">
        <f t="shared" si="64"/>
        <v>0.33666563084789158</v>
      </c>
      <c r="G210" s="637">
        <f t="shared" ref="G210:G213" si="65">G209</f>
        <v>1.7122281602599391E-6</v>
      </c>
      <c r="H210" s="2">
        <f>RES!E134</f>
        <v>2.15</v>
      </c>
      <c r="J210" s="637">
        <f t="shared" si="59"/>
        <v>350643.01414332539</v>
      </c>
      <c r="K210" s="637">
        <f t="shared" si="56"/>
        <v>1445947.83631842</v>
      </c>
      <c r="L210" s="637">
        <f t="shared" si="56"/>
        <v>2343080.6200065725</v>
      </c>
      <c r="M210" s="637">
        <f t="shared" si="56"/>
        <v>2647550.1746084639</v>
      </c>
      <c r="N210" s="306"/>
      <c r="O210" s="640">
        <f t="shared" si="60"/>
        <v>0.27924690372773292</v>
      </c>
      <c r="P210" s="640">
        <f t="shared" si="57"/>
        <v>1.1515314435401525</v>
      </c>
      <c r="Q210" s="640">
        <f t="shared" si="57"/>
        <v>1.8659947066672424</v>
      </c>
      <c r="R210" s="640">
        <f t="shared" si="57"/>
        <v>2.1084697510073167</v>
      </c>
      <c r="T210" s="637">
        <f t="shared" si="61"/>
        <v>2.3031466494263502E-2</v>
      </c>
      <c r="U210" s="637">
        <f t="shared" si="62"/>
        <v>6.6093166141994841E-2</v>
      </c>
      <c r="V210" s="637">
        <f>P210/SUM(P$208:P$210)</f>
        <v>0.10915486578972619</v>
      </c>
      <c r="W210" s="637">
        <f t="shared" si="62"/>
        <v>0.13272455617378187</v>
      </c>
      <c r="X210" s="637">
        <f>Q210/SUM(Q$208:Q$210)</f>
        <v>0.15629424655783755</v>
      </c>
      <c r="Y210" s="637">
        <f t="shared" ref="Y210" si="66">(X210+Z210)/2</f>
        <v>0.15662679783136974</v>
      </c>
      <c r="Z210" s="637">
        <f>R210/SUM(R$208:R$210)</f>
        <v>0.15695934910490189</v>
      </c>
    </row>
    <row r="211" spans="1:26" ht="14.6">
      <c r="A211" s="637" t="s">
        <v>504</v>
      </c>
      <c r="B211" s="637"/>
      <c r="C211" s="638">
        <f>1-C212-C213</f>
        <v>0.92809483814119687</v>
      </c>
      <c r="D211" s="638">
        <f t="shared" ref="D211" si="67">1-D212-D213</f>
        <v>0.6225484066493876</v>
      </c>
      <c r="E211" s="638">
        <f t="shared" ref="E211" si="68">1-E212-E213</f>
        <v>0.27738781988217787</v>
      </c>
      <c r="F211" s="638">
        <f t="shared" ref="F211" si="69">1-F212-F213</f>
        <v>0.27256762667598988</v>
      </c>
      <c r="G211" s="637">
        <f t="shared" si="65"/>
        <v>1.7122281602599391E-6</v>
      </c>
      <c r="H211" s="639">
        <f>H208</f>
        <v>0.75</v>
      </c>
      <c r="J211" s="2">
        <f>C211*(C$182+C$187)</f>
        <v>5172368.1271922765</v>
      </c>
      <c r="K211" s="2">
        <f t="shared" si="56"/>
        <v>3549954.9991682353</v>
      </c>
      <c r="L211" s="2">
        <f t="shared" si="56"/>
        <v>1936673.7017746535</v>
      </c>
      <c r="M211" s="2">
        <f t="shared" si="56"/>
        <v>2143481.25105967</v>
      </c>
      <c r="N211" s="306"/>
      <c r="O211" s="640">
        <f t="shared" si="60"/>
        <v>11.808365816812772</v>
      </c>
      <c r="P211" s="640">
        <f t="shared" si="57"/>
        <v>8.1044438896418693</v>
      </c>
      <c r="Q211" s="640">
        <f t="shared" si="57"/>
        <v>4.4213696658845612</v>
      </c>
      <c r="R211" s="640">
        <f t="shared" si="57"/>
        <v>4.893505278738095</v>
      </c>
      <c r="T211" s="637">
        <f>O211/SUM(O$211:O$213)</f>
        <v>0.97391941694399597</v>
      </c>
      <c r="U211" s="637">
        <f t="shared" si="62"/>
        <v>0.90033212632647619</v>
      </c>
      <c r="V211" s="637">
        <f>P211/SUM(P$211:P$213)</f>
        <v>0.8267448357089564</v>
      </c>
      <c r="W211" s="637">
        <f t="shared" si="62"/>
        <v>0.6764723493800272</v>
      </c>
      <c r="X211" s="637">
        <f>Q211/SUM(Q$211:Q$213)</f>
        <v>0.526199863051098</v>
      </c>
      <c r="Y211" s="637">
        <f t="shared" ref="Y211" si="70">(X211+Z211)/2</f>
        <v>0.52318412210967402</v>
      </c>
      <c r="Z211" s="637">
        <f>R211/SUM(R$211:R$213)</f>
        <v>0.52016838116825004</v>
      </c>
    </row>
    <row r="212" spans="1:26" ht="14.6">
      <c r="A212" t="s">
        <v>1074</v>
      </c>
      <c r="B212" s="634" t="s">
        <v>93</v>
      </c>
      <c r="C212" s="50">
        <f>C206*1/8</f>
        <v>8.9881452323504005E-3</v>
      </c>
      <c r="D212" s="50">
        <f t="shared" ref="D212:F212" si="71">D206*1/8</f>
        <v>4.718144916882655E-2</v>
      </c>
      <c r="E212" s="50">
        <f t="shared" si="71"/>
        <v>9.0326522514727767E-2</v>
      </c>
      <c r="F212" s="50">
        <f t="shared" si="71"/>
        <v>9.0929046665501265E-2</v>
      </c>
      <c r="G212" s="637">
        <f t="shared" si="65"/>
        <v>1.7122281602599391E-6</v>
      </c>
      <c r="H212" s="2">
        <f>H209</f>
        <v>2.3199999999999998</v>
      </c>
      <c r="J212" s="2">
        <f t="shared" ref="J212:J213" si="72">C212*(C$182+C$187)</f>
        <v>50091.859163332199</v>
      </c>
      <c r="K212" s="2">
        <f t="shared" si="56"/>
        <v>269042.56690067711</v>
      </c>
      <c r="L212" s="2">
        <f t="shared" si="56"/>
        <v>630644.13138735958</v>
      </c>
      <c r="M212" s="2">
        <f t="shared" si="56"/>
        <v>715069.17047020188</v>
      </c>
      <c r="N212" s="306"/>
      <c r="O212" s="640">
        <f t="shared" si="60"/>
        <v>3.6969263732427704E-2</v>
      </c>
      <c r="P212" s="640">
        <f t="shared" si="57"/>
        <v>0.19856131868791294</v>
      </c>
      <c r="Q212" s="640">
        <f t="shared" si="57"/>
        <v>0.46543389692418369</v>
      </c>
      <c r="R212" s="640">
        <f t="shared" si="57"/>
        <v>0.52774205612620462</v>
      </c>
      <c r="T212" s="637">
        <f t="shared" ref="T212:T213" si="73">O212/SUM(O$211:O$213)</f>
        <v>3.0491165617405505E-3</v>
      </c>
      <c r="U212" s="637">
        <f t="shared" si="62"/>
        <v>1.1652307145082995E-2</v>
      </c>
      <c r="V212" s="637">
        <f>P212/SUM(P$211:P$213)</f>
        <v>2.0255497728425439E-2</v>
      </c>
      <c r="W212" s="637">
        <f t="shared" si="62"/>
        <v>3.7824059207881545E-2</v>
      </c>
      <c r="X212" s="637">
        <f>Q212/SUM(Q$211:Q$213)</f>
        <v>5.5392620687337656E-2</v>
      </c>
      <c r="Y212" s="637">
        <f t="shared" ref="Y212" si="74">(X212+Z212)/2</f>
        <v>5.5745195076900553E-2</v>
      </c>
      <c r="Z212" s="637">
        <f>R212/SUM(R$211:R$213)</f>
        <v>5.6097769466463443E-2</v>
      </c>
    </row>
    <row r="213" spans="1:26" ht="14.6">
      <c r="A213" t="s">
        <v>1075</v>
      </c>
      <c r="B213" s="634" t="s">
        <v>93</v>
      </c>
      <c r="C213" s="50">
        <f>C206-C212</f>
        <v>6.2917016626452799E-2</v>
      </c>
      <c r="D213" s="50">
        <f t="shared" ref="D213:F213" si="75">D206-D212</f>
        <v>0.33027014418178585</v>
      </c>
      <c r="E213" s="50">
        <f t="shared" si="75"/>
        <v>0.63228565760309441</v>
      </c>
      <c r="F213" s="50">
        <f t="shared" si="75"/>
        <v>0.63650332665850884</v>
      </c>
      <c r="G213" s="637">
        <f t="shared" si="65"/>
        <v>1.7122281602599391E-6</v>
      </c>
      <c r="H213" s="2">
        <f>H210</f>
        <v>2.15</v>
      </c>
      <c r="J213" s="2">
        <f t="shared" si="72"/>
        <v>350643.01414332539</v>
      </c>
      <c r="K213" s="2">
        <f t="shared" si="56"/>
        <v>1883297.9683047398</v>
      </c>
      <c r="L213" s="2">
        <f t="shared" si="56"/>
        <v>4414508.9197115172</v>
      </c>
      <c r="M213" s="2">
        <f t="shared" si="56"/>
        <v>5005484.1932914127</v>
      </c>
      <c r="N213" s="306"/>
      <c r="O213" s="640">
        <f t="shared" si="60"/>
        <v>0.27924690372773292</v>
      </c>
      <c r="P213" s="640">
        <f t="shared" si="57"/>
        <v>1.4998306118566074</v>
      </c>
      <c r="Q213" s="640">
        <f t="shared" si="57"/>
        <v>3.5156495283947637</v>
      </c>
      <c r="R213" s="640">
        <f t="shared" si="57"/>
        <v>3.9862934844137494</v>
      </c>
      <c r="T213" s="637">
        <f t="shared" si="73"/>
        <v>2.3031466494263502E-2</v>
      </c>
      <c r="U213" s="637">
        <f t="shared" si="62"/>
        <v>8.8015566528440836E-2</v>
      </c>
      <c r="V213" s="637">
        <f>P213/SUM(P$211:P$213)</f>
        <v>0.15299966656261818</v>
      </c>
      <c r="W213" s="637">
        <f t="shared" si="62"/>
        <v>0.28570359141209128</v>
      </c>
      <c r="X213" s="637">
        <f>Q213/SUM(Q$211:Q$213)</f>
        <v>0.41840751626156436</v>
      </c>
      <c r="Y213" s="637">
        <f t="shared" ref="Y213" si="76">(X213+Z213)/2</f>
        <v>0.42107068281342547</v>
      </c>
      <c r="Z213" s="637">
        <f>R213/SUM(R$211:R$213)</f>
        <v>0.42373384936528657</v>
      </c>
    </row>
    <row r="214" spans="1:26" ht="14.6">
      <c r="C214" s="50"/>
      <c r="D214" s="50"/>
      <c r="E214" s="50"/>
      <c r="F214" s="50"/>
      <c r="H214" s="2"/>
      <c r="J214" s="2"/>
      <c r="M214" s="306"/>
      <c r="N214" s="306"/>
      <c r="O214" s="306"/>
      <c r="P214" s="306"/>
      <c r="Q214" s="306"/>
    </row>
    <row r="215" spans="1:26" ht="14.6">
      <c r="A215" s="2"/>
      <c r="B215" s="2"/>
      <c r="D215" s="2"/>
      <c r="F215" s="2"/>
      <c r="H215" s="2"/>
      <c r="J215" s="2"/>
      <c r="M215" s="306"/>
      <c r="N215" s="306"/>
      <c r="O215" s="306"/>
      <c r="P215" s="306"/>
      <c r="Q215" s="306"/>
    </row>
    <row r="216" spans="1:26" ht="14.6">
      <c r="A216" s="2"/>
      <c r="B216" s="2"/>
      <c r="D216" s="2"/>
      <c r="F216" s="2"/>
      <c r="H216" s="2"/>
      <c r="J216" s="2"/>
      <c r="M216" s="306"/>
      <c r="N216" s="306"/>
      <c r="O216" s="306"/>
      <c r="P216" s="306"/>
      <c r="Q216" s="306"/>
    </row>
    <row r="217" spans="1:26">
      <c r="A217" s="304" t="s">
        <v>691</v>
      </c>
      <c r="B217" s="302"/>
      <c r="C217" s="302"/>
      <c r="D217" s="302">
        <v>0</v>
      </c>
      <c r="E217" s="302">
        <f t="shared" ref="E217:L217" si="77">E$218-$D$218</f>
        <v>3</v>
      </c>
      <c r="F217" s="302">
        <f t="shared" si="77"/>
        <v>8</v>
      </c>
      <c r="G217" s="302">
        <f t="shared" si="77"/>
        <v>13</v>
      </c>
      <c r="H217" s="302">
        <f t="shared" si="77"/>
        <v>18</v>
      </c>
      <c r="I217" s="302">
        <f t="shared" si="77"/>
        <v>23</v>
      </c>
      <c r="J217" s="302">
        <f t="shared" si="77"/>
        <v>28</v>
      </c>
      <c r="K217" s="302">
        <f t="shared" si="77"/>
        <v>33</v>
      </c>
      <c r="L217" s="302">
        <f t="shared" si="77"/>
        <v>38</v>
      </c>
      <c r="O217" t="s">
        <v>596</v>
      </c>
    </row>
    <row r="218" spans="1:26">
      <c r="A218" s="304" t="s">
        <v>614</v>
      </c>
      <c r="B218" s="302" t="s">
        <v>589</v>
      </c>
      <c r="C218" s="302"/>
      <c r="D218" s="304">
        <v>2012</v>
      </c>
      <c r="E218" s="304">
        <v>2015</v>
      </c>
      <c r="F218" s="304">
        <v>2020</v>
      </c>
      <c r="G218" s="304">
        <v>2025</v>
      </c>
      <c r="H218" s="304">
        <v>2030</v>
      </c>
      <c r="I218" s="304">
        <v>2035</v>
      </c>
      <c r="J218" s="304">
        <v>2040</v>
      </c>
      <c r="K218" s="304">
        <v>2045</v>
      </c>
      <c r="L218" s="304">
        <v>2050</v>
      </c>
      <c r="N218" s="5" t="s">
        <v>595</v>
      </c>
      <c r="O218" s="14" t="s">
        <v>594</v>
      </c>
      <c r="P218" s="14" t="s">
        <v>437</v>
      </c>
      <c r="Q218" s="14" t="s">
        <v>609</v>
      </c>
      <c r="R218" s="14" t="s">
        <v>597</v>
      </c>
    </row>
    <row r="219" spans="1:26">
      <c r="A219" s="302"/>
      <c r="B219" s="302" t="s">
        <v>59</v>
      </c>
      <c r="C219" s="302" t="s">
        <v>587</v>
      </c>
      <c r="D219" s="245">
        <f t="shared" ref="D219:L224" si="78">$O219*$P219*EXP($Q219*D$217)/($O219+$P219*(EXP($Q219*D$217)-1))</f>
        <v>27950</v>
      </c>
      <c r="E219" s="245">
        <f t="shared" si="78"/>
        <v>58932.377594829639</v>
      </c>
      <c r="F219" s="245">
        <f t="shared" si="78"/>
        <v>201865.53289402259</v>
      </c>
      <c r="G219" s="245">
        <f t="shared" si="78"/>
        <v>661597.73643793224</v>
      </c>
      <c r="H219" s="245">
        <f t="shared" si="78"/>
        <v>1903830.106152433</v>
      </c>
      <c r="I219" s="245">
        <f t="shared" si="78"/>
        <v>4120385.3861777908</v>
      </c>
      <c r="J219" s="245">
        <f t="shared" si="78"/>
        <v>6182739.3969595926</v>
      </c>
      <c r="K219" s="245">
        <f t="shared" si="78"/>
        <v>7217789.8178637559</v>
      </c>
      <c r="L219" s="245">
        <f t="shared" si="78"/>
        <v>7581422.7226090934</v>
      </c>
      <c r="N219">
        <v>100</v>
      </c>
      <c r="O219" s="8">
        <f>$E$149*$J$160*$J$162*N219/100</f>
        <v>7737963.1227126541</v>
      </c>
      <c r="P219">
        <f>I139</f>
        <v>27950</v>
      </c>
      <c r="Q219">
        <v>0.25</v>
      </c>
      <c r="R219">
        <f>J161*J160</f>
        <v>31998184.343155164</v>
      </c>
      <c r="S219" t="s">
        <v>604</v>
      </c>
    </row>
    <row r="220" spans="1:26">
      <c r="A220" s="302"/>
      <c r="B220" s="302"/>
      <c r="C220" s="302" t="s">
        <v>58</v>
      </c>
      <c r="D220" s="245">
        <f t="shared" si="78"/>
        <v>27950</v>
      </c>
      <c r="E220" s="245">
        <f t="shared" si="78"/>
        <v>58696.508038371227</v>
      </c>
      <c r="F220" s="245">
        <f t="shared" si="78"/>
        <v>197412.47994798495</v>
      </c>
      <c r="G220" s="245">
        <f t="shared" si="78"/>
        <v>611353.61515793169</v>
      </c>
      <c r="H220" s="245">
        <f t="shared" si="78"/>
        <v>1531266.2838399399</v>
      </c>
      <c r="I220" s="245">
        <f t="shared" si="78"/>
        <v>2691663.9690598208</v>
      </c>
      <c r="J220" s="245">
        <f t="shared" si="78"/>
        <v>3438130.6056999536</v>
      </c>
      <c r="K220" s="245">
        <f t="shared" si="78"/>
        <v>3734886.1384506063</v>
      </c>
      <c r="L220" s="245">
        <f t="shared" si="78"/>
        <v>3829588.4224941838</v>
      </c>
      <c r="N220">
        <v>50</v>
      </c>
      <c r="O220" s="8">
        <f>$E$149*$J$160*$J$162*N220/100</f>
        <v>3868981.561356327</v>
      </c>
      <c r="P220">
        <f>P219</f>
        <v>27950</v>
      </c>
      <c r="Q220">
        <f>Q219</f>
        <v>0.25</v>
      </c>
    </row>
    <row r="221" spans="1:26">
      <c r="A221" s="302"/>
      <c r="B221" s="302"/>
      <c r="C221" s="302" t="s">
        <v>588</v>
      </c>
      <c r="D221" s="245">
        <f t="shared" si="78"/>
        <v>27950</v>
      </c>
      <c r="E221" s="245">
        <f t="shared" si="78"/>
        <v>58853.544061695866</v>
      </c>
      <c r="F221" s="245">
        <f t="shared" si="78"/>
        <v>200359.02672906921</v>
      </c>
      <c r="G221" s="245">
        <f t="shared" si="78"/>
        <v>643956.53849244886</v>
      </c>
      <c r="H221" s="245">
        <f t="shared" si="78"/>
        <v>1761009.6421700031</v>
      </c>
      <c r="I221" s="245">
        <f t="shared" si="78"/>
        <v>3500955.6278157025</v>
      </c>
      <c r="J221" s="245">
        <f t="shared" si="78"/>
        <v>4883313.7049123701</v>
      </c>
      <c r="K221" s="245">
        <f t="shared" si="78"/>
        <v>5506214.6393779675</v>
      </c>
      <c r="L221" s="245">
        <f t="shared" si="78"/>
        <v>5715076.0813109549</v>
      </c>
      <c r="N221">
        <v>75</v>
      </c>
      <c r="O221" s="8">
        <f>$E$149*$J$160*$J$162*N221/100</f>
        <v>5803472.3420344898</v>
      </c>
      <c r="P221">
        <f>P220</f>
        <v>27950</v>
      </c>
      <c r="Q221">
        <f>Q220</f>
        <v>0.25</v>
      </c>
    </row>
    <row r="222" spans="1:26">
      <c r="A222" s="304" t="s">
        <v>613</v>
      </c>
      <c r="B222" s="302" t="s">
        <v>616</v>
      </c>
      <c r="C222" s="302" t="s">
        <v>587</v>
      </c>
      <c r="D222" s="245">
        <f t="shared" si="78"/>
        <v>138095</v>
      </c>
      <c r="E222" s="245">
        <f t="shared" si="78"/>
        <v>247192.16321457806</v>
      </c>
      <c r="F222" s="245">
        <f t="shared" si="78"/>
        <v>629686.97622950166</v>
      </c>
      <c r="G222" s="245">
        <f t="shared" si="78"/>
        <v>1461808.9326244195</v>
      </c>
      <c r="H222" s="245">
        <f t="shared" si="78"/>
        <v>2844800.9475262258</v>
      </c>
      <c r="I222" s="245">
        <f t="shared" si="78"/>
        <v>4363488.4015511619</v>
      </c>
      <c r="J222" s="245">
        <f t="shared" si="78"/>
        <v>5429866.422356287</v>
      </c>
      <c r="K222" s="245">
        <f t="shared" si="78"/>
        <v>5966262.0131053114</v>
      </c>
      <c r="L222" s="245">
        <f t="shared" si="78"/>
        <v>6191261.065305626</v>
      </c>
      <c r="N222">
        <v>100</v>
      </c>
      <c r="O222" s="8">
        <f>J177</f>
        <v>6330192.6197302658</v>
      </c>
      <c r="P222">
        <f>I140</f>
        <v>138095</v>
      </c>
      <c r="Q222">
        <v>0.2</v>
      </c>
    </row>
    <row r="223" spans="1:26">
      <c r="A223" s="302"/>
      <c r="B223" s="302"/>
      <c r="C223" s="302" t="s">
        <v>58</v>
      </c>
      <c r="D223" s="245">
        <f t="shared" si="78"/>
        <v>138095</v>
      </c>
      <c r="E223" s="245">
        <f t="shared" si="78"/>
        <v>242912.3457030518</v>
      </c>
      <c r="F223" s="245">
        <f t="shared" si="78"/>
        <v>583372.87671809434</v>
      </c>
      <c r="G223" s="245">
        <f t="shared" si="78"/>
        <v>1204349.4636807714</v>
      </c>
      <c r="H223" s="245">
        <f t="shared" si="78"/>
        <v>1979511.6323951355</v>
      </c>
      <c r="I223" s="245">
        <f t="shared" si="78"/>
        <v>2593632.7748945854</v>
      </c>
      <c r="J223" s="245">
        <f t="shared" si="78"/>
        <v>2927781.81517966</v>
      </c>
      <c r="K223" s="245">
        <f t="shared" si="78"/>
        <v>3073449.5402969769</v>
      </c>
      <c r="L223" s="245">
        <f t="shared" si="78"/>
        <v>3130752.7458519801</v>
      </c>
      <c r="N223">
        <v>50</v>
      </c>
      <c r="O223" s="8">
        <f>J177*N223/100</f>
        <v>3165096.3098651334</v>
      </c>
      <c r="P223">
        <f>P222</f>
        <v>138095</v>
      </c>
      <c r="Q223">
        <f>Q222</f>
        <v>0.2</v>
      </c>
    </row>
    <row r="224" spans="1:26">
      <c r="A224" s="302"/>
      <c r="B224" s="302"/>
      <c r="C224" s="302" t="s">
        <v>588</v>
      </c>
      <c r="D224" s="245">
        <f t="shared" si="78"/>
        <v>138095</v>
      </c>
      <c r="E224" s="245">
        <f t="shared" si="78"/>
        <v>245748.89851722636</v>
      </c>
      <c r="F224" s="245">
        <f t="shared" si="78"/>
        <v>613452.92259836034</v>
      </c>
      <c r="G224" s="245">
        <f t="shared" si="78"/>
        <v>1364571.9381252199</v>
      </c>
      <c r="H224" s="245">
        <f t="shared" si="78"/>
        <v>2483007.9636461865</v>
      </c>
      <c r="I224" s="245">
        <f t="shared" si="78"/>
        <v>3554887.8932894832</v>
      </c>
      <c r="J224" s="245">
        <f t="shared" si="78"/>
        <v>4226014.630183449</v>
      </c>
      <c r="K224" s="245">
        <f t="shared" si="78"/>
        <v>4541425.2562878756</v>
      </c>
      <c r="L224" s="245">
        <f t="shared" si="78"/>
        <v>4669638.8690225556</v>
      </c>
      <c r="N224">
        <v>75</v>
      </c>
      <c r="O224" s="8">
        <f>N224*J177/100</f>
        <v>4747644.4647976998</v>
      </c>
      <c r="P224">
        <f>P223</f>
        <v>138095</v>
      </c>
      <c r="Q224">
        <f>Q223</f>
        <v>0.2</v>
      </c>
    </row>
    <row r="225" spans="1:17">
      <c r="A225" s="302"/>
      <c r="B225" t="s">
        <v>418</v>
      </c>
      <c r="C225" s="302" t="s">
        <v>615</v>
      </c>
      <c r="D225" s="338">
        <v>0</v>
      </c>
      <c r="E225" s="338">
        <v>0</v>
      </c>
      <c r="F225" s="338">
        <v>0.05</v>
      </c>
      <c r="G225" s="338">
        <v>0.1</v>
      </c>
      <c r="H225" s="338">
        <v>0.15</v>
      </c>
      <c r="I225" s="338">
        <v>0.15</v>
      </c>
      <c r="J225" s="338">
        <v>0.15</v>
      </c>
      <c r="K225" s="338">
        <v>0.15</v>
      </c>
      <c r="L225" s="338">
        <v>0.15</v>
      </c>
      <c r="O225" s="8"/>
    </row>
    <row r="226" spans="1:17">
      <c r="A226" s="302"/>
      <c r="B226" s="302" t="s">
        <v>617</v>
      </c>
      <c r="C226" s="302" t="s">
        <v>587</v>
      </c>
      <c r="D226" s="310">
        <f>D222*D$225</f>
        <v>0</v>
      </c>
      <c r="E226" s="310">
        <f t="shared" ref="E226:L226" si="79">E222*E$225</f>
        <v>0</v>
      </c>
      <c r="F226" s="310">
        <f t="shared" si="79"/>
        <v>31484.348811475083</v>
      </c>
      <c r="G226" s="310">
        <f t="shared" si="79"/>
        <v>146180.89326244194</v>
      </c>
      <c r="H226" s="310">
        <f t="shared" si="79"/>
        <v>426720.14212893386</v>
      </c>
      <c r="I226" s="310">
        <f t="shared" si="79"/>
        <v>654523.26023267431</v>
      </c>
      <c r="J226" s="310">
        <f t="shared" si="79"/>
        <v>814479.96335344308</v>
      </c>
      <c r="K226" s="310">
        <f t="shared" si="79"/>
        <v>894939.30196579674</v>
      </c>
      <c r="L226" s="310">
        <f t="shared" si="79"/>
        <v>928689.15979584388</v>
      </c>
      <c r="O226" s="8"/>
    </row>
    <row r="227" spans="1:17">
      <c r="A227" s="302"/>
      <c r="B227" s="302"/>
      <c r="C227" s="302" t="s">
        <v>58</v>
      </c>
      <c r="D227" s="310">
        <f t="shared" ref="D227:L228" si="80">D223*D$225</f>
        <v>0</v>
      </c>
      <c r="E227" s="310">
        <f t="shared" si="80"/>
        <v>0</v>
      </c>
      <c r="F227" s="310">
        <f t="shared" si="80"/>
        <v>29168.643835904717</v>
      </c>
      <c r="G227" s="310">
        <f t="shared" si="80"/>
        <v>120434.94636807714</v>
      </c>
      <c r="H227" s="310">
        <f t="shared" si="80"/>
        <v>296926.74485927029</v>
      </c>
      <c r="I227" s="310">
        <f t="shared" si="80"/>
        <v>389044.91623418778</v>
      </c>
      <c r="J227" s="310">
        <f t="shared" si="80"/>
        <v>439167.27227694896</v>
      </c>
      <c r="K227" s="310">
        <f t="shared" si="80"/>
        <v>461017.43104454654</v>
      </c>
      <c r="L227" s="310">
        <f t="shared" si="80"/>
        <v>469612.91187779699</v>
      </c>
      <c r="O227" s="8"/>
    </row>
    <row r="228" spans="1:17">
      <c r="A228" s="302"/>
      <c r="B228" s="302"/>
      <c r="C228" s="302" t="s">
        <v>588</v>
      </c>
      <c r="D228" s="310">
        <f t="shared" si="80"/>
        <v>0</v>
      </c>
      <c r="E228" s="310">
        <f t="shared" si="80"/>
        <v>0</v>
      </c>
      <c r="F228" s="310">
        <f t="shared" si="80"/>
        <v>30672.646129918019</v>
      </c>
      <c r="G228" s="310">
        <f t="shared" si="80"/>
        <v>136457.19381252199</v>
      </c>
      <c r="H228" s="310">
        <f t="shared" si="80"/>
        <v>372451.19454692799</v>
      </c>
      <c r="I228" s="310">
        <f t="shared" si="80"/>
        <v>533233.18399342243</v>
      </c>
      <c r="J228" s="310">
        <f t="shared" si="80"/>
        <v>633902.19452751731</v>
      </c>
      <c r="K228" s="310">
        <f t="shared" si="80"/>
        <v>681213.78844318131</v>
      </c>
      <c r="L228" s="310">
        <f t="shared" si="80"/>
        <v>700445.83035338332</v>
      </c>
      <c r="O228" s="8"/>
    </row>
    <row r="229" spans="1:17">
      <c r="A229" s="302"/>
      <c r="B229" s="302" t="s">
        <v>618</v>
      </c>
      <c r="C229" s="302" t="s">
        <v>587</v>
      </c>
      <c r="D229" s="310">
        <f>D222*(1-D$225)</f>
        <v>138095</v>
      </c>
      <c r="E229" s="310">
        <f t="shared" ref="E229:L229" si="81">E222*(1-E$225)</f>
        <v>247192.16321457806</v>
      </c>
      <c r="F229" s="310">
        <f t="shared" si="81"/>
        <v>598202.62741802656</v>
      </c>
      <c r="G229" s="310">
        <f t="shared" si="81"/>
        <v>1315628.0393619775</v>
      </c>
      <c r="H229" s="310">
        <f t="shared" si="81"/>
        <v>2418080.8053972917</v>
      </c>
      <c r="I229" s="310">
        <f t="shared" si="81"/>
        <v>3708965.1413184875</v>
      </c>
      <c r="J229" s="310">
        <f t="shared" si="81"/>
        <v>4615386.4590028441</v>
      </c>
      <c r="K229" s="310">
        <f t="shared" si="81"/>
        <v>5071322.711139515</v>
      </c>
      <c r="L229" s="310">
        <f t="shared" si="81"/>
        <v>5262571.905509782</v>
      </c>
      <c r="O229" s="8"/>
    </row>
    <row r="230" spans="1:17">
      <c r="A230" s="302"/>
      <c r="B230" s="302"/>
      <c r="C230" s="302" t="s">
        <v>58</v>
      </c>
      <c r="D230" s="310">
        <f t="shared" ref="D230:L231" si="82">D223*(1-D$225)</f>
        <v>138095</v>
      </c>
      <c r="E230" s="310">
        <f t="shared" si="82"/>
        <v>242912.3457030518</v>
      </c>
      <c r="F230" s="310">
        <f t="shared" si="82"/>
        <v>554204.23288218956</v>
      </c>
      <c r="G230" s="310">
        <f t="shared" si="82"/>
        <v>1083914.5173126943</v>
      </c>
      <c r="H230" s="310">
        <f t="shared" si="82"/>
        <v>1682584.8875358652</v>
      </c>
      <c r="I230" s="310">
        <f t="shared" si="82"/>
        <v>2204587.8586603976</v>
      </c>
      <c r="J230" s="310">
        <f t="shared" si="82"/>
        <v>2488614.5429027108</v>
      </c>
      <c r="K230" s="310">
        <f t="shared" si="82"/>
        <v>2612432.1092524305</v>
      </c>
      <c r="L230" s="310">
        <f t="shared" si="82"/>
        <v>2661139.8339741831</v>
      </c>
      <c r="O230" s="8"/>
    </row>
    <row r="231" spans="1:17">
      <c r="A231" s="302"/>
      <c r="B231" s="302"/>
      <c r="C231" s="302" t="s">
        <v>588</v>
      </c>
      <c r="D231" s="310">
        <f t="shared" si="82"/>
        <v>138095</v>
      </c>
      <c r="E231" s="310">
        <f t="shared" si="82"/>
        <v>245748.89851722636</v>
      </c>
      <c r="F231" s="310">
        <f t="shared" si="82"/>
        <v>582780.27646844229</v>
      </c>
      <c r="G231" s="310">
        <f t="shared" si="82"/>
        <v>1228114.744312698</v>
      </c>
      <c r="H231" s="310">
        <f t="shared" si="82"/>
        <v>2110556.7690992584</v>
      </c>
      <c r="I231" s="310">
        <f t="shared" si="82"/>
        <v>3021654.7092960607</v>
      </c>
      <c r="J231" s="310">
        <f t="shared" si="82"/>
        <v>3592112.4356559315</v>
      </c>
      <c r="K231" s="310">
        <f t="shared" si="82"/>
        <v>3860211.4678446939</v>
      </c>
      <c r="L231" s="310">
        <f t="shared" si="82"/>
        <v>3969193.0386691722</v>
      </c>
      <c r="O231" s="8"/>
    </row>
    <row r="232" spans="1:17">
      <c r="A232" s="304" t="s">
        <v>627</v>
      </c>
      <c r="B232" s="302" t="s">
        <v>628</v>
      </c>
      <c r="C232" s="302" t="s">
        <v>31</v>
      </c>
      <c r="D232" s="310">
        <v>1</v>
      </c>
      <c r="E232" s="310">
        <v>1000</v>
      </c>
      <c r="F232" s="245">
        <f>$O232*$P232*EXP($Q232*F$252)/($O232+$P232*(EXP($Q232*F$252)-1))</f>
        <v>2716.520085704858</v>
      </c>
      <c r="G232" s="245">
        <f t="shared" ref="F232:L234" si="83">$O232*$P232*EXP($Q232*G$217)/($O232+$P232*(EXP($Q232*G$217)-1))</f>
        <v>13400.698799969618</v>
      </c>
      <c r="H232" s="245">
        <f t="shared" si="83"/>
        <v>36113.026919703749</v>
      </c>
      <c r="I232" s="245">
        <f t="shared" si="83"/>
        <v>95918.92951076226</v>
      </c>
      <c r="J232" s="245">
        <f t="shared" si="83"/>
        <v>245465.21683449249</v>
      </c>
      <c r="K232" s="245">
        <f t="shared" si="83"/>
        <v>575611.28639774094</v>
      </c>
      <c r="L232" s="245">
        <f t="shared" si="83"/>
        <v>1139352.5332827403</v>
      </c>
      <c r="N232">
        <v>100</v>
      </c>
      <c r="O232" s="8">
        <f>$D$149*$J$158*$J$162*N232/100</f>
        <v>2649505.4904109822</v>
      </c>
      <c r="P232">
        <v>1000</v>
      </c>
      <c r="Q232">
        <f>Q222</f>
        <v>0.2</v>
      </c>
    </row>
    <row r="233" spans="1:17">
      <c r="A233" s="302"/>
      <c r="B233" s="302"/>
      <c r="C233" s="302" t="s">
        <v>30</v>
      </c>
      <c r="D233" s="310">
        <v>1</v>
      </c>
      <c r="E233" s="310">
        <v>1000</v>
      </c>
      <c r="F233" s="245">
        <f t="shared" si="83"/>
        <v>4938.2966581311648</v>
      </c>
      <c r="G233" s="245">
        <f t="shared" si="83"/>
        <v>13338.247132112505</v>
      </c>
      <c r="H233" s="245">
        <f t="shared" si="83"/>
        <v>35640.516509526366</v>
      </c>
      <c r="I233" s="245">
        <f t="shared" si="83"/>
        <v>92600.258858541594</v>
      </c>
      <c r="J233" s="245">
        <f t="shared" si="83"/>
        <v>224722.62607528429</v>
      </c>
      <c r="K233" s="245">
        <f t="shared" si="83"/>
        <v>472992.37289081246</v>
      </c>
      <c r="L233" s="245">
        <f t="shared" si="83"/>
        <v>796856.23834654165</v>
      </c>
      <c r="N233">
        <v>50</v>
      </c>
      <c r="O233" s="8">
        <f>$D$149*$J$158*$J$162*N233/100</f>
        <v>1324752.7452054911</v>
      </c>
      <c r="P233">
        <v>1000</v>
      </c>
      <c r="Q233">
        <f t="shared" ref="Q233:Q234" si="84">Q232</f>
        <v>0.2</v>
      </c>
    </row>
    <row r="234" spans="1:17">
      <c r="A234" s="302"/>
      <c r="B234" s="302"/>
      <c r="C234" s="302" t="s">
        <v>29</v>
      </c>
      <c r="D234" s="310">
        <v>1</v>
      </c>
      <c r="E234" s="310">
        <v>1000</v>
      </c>
      <c r="F234" s="245">
        <f t="shared" si="83"/>
        <v>4943.1988282421753</v>
      </c>
      <c r="G234" s="245">
        <f t="shared" si="83"/>
        <v>13379.816699040834</v>
      </c>
      <c r="H234" s="245">
        <f t="shared" si="83"/>
        <v>35954.137487901775</v>
      </c>
      <c r="I234" s="245">
        <f t="shared" si="83"/>
        <v>94786.587584585286</v>
      </c>
      <c r="J234" s="245">
        <f t="shared" si="83"/>
        <v>238138.25204454683</v>
      </c>
      <c r="K234" s="245">
        <f t="shared" si="83"/>
        <v>536791.12417120161</v>
      </c>
      <c r="L234" s="245">
        <f t="shared" si="83"/>
        <v>996573.63126205187</v>
      </c>
      <c r="N234">
        <v>75</v>
      </c>
      <c r="O234" s="8">
        <f>$D$149*$J$158*$J$162*N234/100</f>
        <v>1987129.1178082365</v>
      </c>
      <c r="P234">
        <v>1000</v>
      </c>
      <c r="Q234">
        <f t="shared" si="84"/>
        <v>0.2</v>
      </c>
    </row>
    <row r="235" spans="1:17">
      <c r="A235" s="302" t="s">
        <v>610</v>
      </c>
      <c r="B235" s="302" t="s">
        <v>676</v>
      </c>
      <c r="C235" s="302" t="s">
        <v>607</v>
      </c>
      <c r="D235" s="245"/>
      <c r="E235" s="245">
        <f>(E219-D219)/E217</f>
        <v>10327.459198276547</v>
      </c>
      <c r="F235" s="245">
        <f>(F219-E219)/F217</f>
        <v>17866.644412399117</v>
      </c>
      <c r="G235" s="245">
        <f t="shared" ref="G235:L235" si="85">(G219-F219)/G217</f>
        <v>35364.015657223819</v>
      </c>
      <c r="H235" s="245">
        <f t="shared" si="85"/>
        <v>69012.909428583385</v>
      </c>
      <c r="I235" s="245">
        <f t="shared" si="85"/>
        <v>96371.968696754688</v>
      </c>
      <c r="J235" s="245">
        <f t="shared" si="85"/>
        <v>73655.500385064355</v>
      </c>
      <c r="K235" s="245">
        <f t="shared" si="85"/>
        <v>31365.16426982313</v>
      </c>
      <c r="L235" s="245">
        <f t="shared" si="85"/>
        <v>9569.2869669825668</v>
      </c>
      <c r="O235" s="8"/>
    </row>
    <row r="236" spans="1:17">
      <c r="A236" s="302"/>
      <c r="B236" s="302" t="s">
        <v>677</v>
      </c>
      <c r="C236" s="302" t="s">
        <v>607</v>
      </c>
      <c r="D236" s="245"/>
      <c r="E236" s="245">
        <f>(E220-D220)/E217</f>
        <v>10248.836012790409</v>
      </c>
      <c r="F236" s="245">
        <f t="shared" ref="F236:L236" si="86">(F220-E220)/F217</f>
        <v>17339.496488701716</v>
      </c>
      <c r="G236" s="245">
        <f t="shared" si="86"/>
        <v>31841.625785380522</v>
      </c>
      <c r="H236" s="245">
        <f t="shared" si="86"/>
        <v>51106.259371222674</v>
      </c>
      <c r="I236" s="245">
        <f t="shared" si="86"/>
        <v>50452.073270429602</v>
      </c>
      <c r="J236" s="245">
        <f t="shared" si="86"/>
        <v>26659.522737147603</v>
      </c>
      <c r="K236" s="245">
        <f t="shared" si="86"/>
        <v>8992.5919015349282</v>
      </c>
      <c r="L236" s="245">
        <f t="shared" si="86"/>
        <v>2492.1653695678287</v>
      </c>
      <c r="O236" s="8"/>
    </row>
    <row r="237" spans="1:17">
      <c r="A237" s="302"/>
      <c r="B237" s="302" t="s">
        <v>677</v>
      </c>
      <c r="C237" s="302" t="s">
        <v>608</v>
      </c>
      <c r="D237" s="245"/>
      <c r="E237" s="245"/>
      <c r="F237" s="245"/>
      <c r="G237" s="245"/>
      <c r="H237" s="245"/>
      <c r="I237" s="245"/>
      <c r="J237" s="245"/>
      <c r="K237" s="245"/>
      <c r="L237" s="245"/>
      <c r="O237" s="8"/>
    </row>
    <row r="238" spans="1:17">
      <c r="F238">
        <f>F219+F222</f>
        <v>831552.50912352419</v>
      </c>
    </row>
    <row r="239" spans="1:17">
      <c r="A239" s="304" t="s">
        <v>691</v>
      </c>
      <c r="B239" s="302"/>
      <c r="C239" s="302"/>
      <c r="D239" s="302" t="s">
        <v>605</v>
      </c>
      <c r="E239" s="302"/>
      <c r="F239" s="302"/>
      <c r="G239" s="302"/>
      <c r="H239" s="302"/>
      <c r="I239" s="302"/>
      <c r="J239" s="302"/>
      <c r="K239" s="302"/>
      <c r="L239" s="302"/>
    </row>
    <row r="240" spans="1:17">
      <c r="A240" s="304" t="s">
        <v>606</v>
      </c>
      <c r="B240" s="302" t="s">
        <v>589</v>
      </c>
      <c r="C240" s="302"/>
      <c r="D240" s="304">
        <v>2012</v>
      </c>
      <c r="E240" s="304">
        <v>2015</v>
      </c>
      <c r="F240" s="304">
        <v>2020</v>
      </c>
      <c r="G240" s="304">
        <v>2025</v>
      </c>
      <c r="H240" s="304">
        <v>2030</v>
      </c>
      <c r="I240" s="304">
        <v>2035</v>
      </c>
      <c r="J240" s="304">
        <v>2040</v>
      </c>
      <c r="K240" s="304">
        <v>2045</v>
      </c>
      <c r="L240" s="304">
        <v>2050</v>
      </c>
      <c r="M240" t="s">
        <v>697</v>
      </c>
    </row>
    <row r="241" spans="1:15">
      <c r="A241" s="302" t="s">
        <v>59</v>
      </c>
      <c r="B241" s="302" t="s">
        <v>607</v>
      </c>
      <c r="C241" s="302" t="s">
        <v>587</v>
      </c>
      <c r="D241" s="307">
        <f>D219/$B$168</f>
        <v>8.7745777275293861E-3</v>
      </c>
      <c r="E241" s="307">
        <f>E219/C$168</f>
        <v>1.5337287824396195E-2</v>
      </c>
      <c r="F241" s="307">
        <f t="shared" ref="F241:L243" si="87">F219/D$168</f>
        <v>4.8748118393813211E-2</v>
      </c>
      <c r="G241" s="307">
        <f t="shared" si="87"/>
        <v>0.10038070102544411</v>
      </c>
      <c r="H241" s="307">
        <f t="shared" si="87"/>
        <v>0.23426394482495533</v>
      </c>
      <c r="I241" s="307">
        <f t="shared" si="87"/>
        <v>0.47967419127325356</v>
      </c>
      <c r="J241" s="307">
        <f t="shared" si="87"/>
        <v>0.7141283963556988</v>
      </c>
      <c r="K241" s="307">
        <f t="shared" si="87"/>
        <v>0.80411925310377197</v>
      </c>
      <c r="L241" s="307">
        <f t="shared" si="87"/>
        <v>0.82834364913405678</v>
      </c>
    </row>
    <row r="242" spans="1:15">
      <c r="A242" s="302"/>
      <c r="B242" s="302" t="s">
        <v>607</v>
      </c>
      <c r="C242" s="302" t="s">
        <v>58</v>
      </c>
      <c r="D242" s="307">
        <f t="shared" ref="D242:D243" si="88">D220/$B$168</f>
        <v>8.7745777275293861E-3</v>
      </c>
      <c r="E242" s="307">
        <f t="shared" ref="E242:E243" si="89">E220/C$168</f>
        <v>1.5275902225782019E-2</v>
      </c>
      <c r="F242" s="307">
        <f t="shared" si="87"/>
        <v>4.7672759222213944E-2</v>
      </c>
      <c r="G242" s="307">
        <f t="shared" si="87"/>
        <v>9.2757428092787933E-2</v>
      </c>
      <c r="H242" s="307">
        <f t="shared" si="87"/>
        <v>0.18842042631354028</v>
      </c>
      <c r="I242" s="307">
        <f t="shared" si="87"/>
        <v>0.31334975166869372</v>
      </c>
      <c r="J242" s="307">
        <f t="shared" si="87"/>
        <v>0.3971163166148246</v>
      </c>
      <c r="K242" s="307">
        <f t="shared" si="87"/>
        <v>0.41609605265111688</v>
      </c>
      <c r="L242" s="307">
        <f t="shared" si="87"/>
        <v>0.41841951895259477</v>
      </c>
    </row>
    <row r="243" spans="1:15">
      <c r="A243" s="302"/>
      <c r="B243" s="302" t="s">
        <v>607</v>
      </c>
      <c r="C243" s="302" t="s">
        <v>588</v>
      </c>
      <c r="D243" s="307">
        <f t="shared" si="88"/>
        <v>8.7745777275293861E-3</v>
      </c>
      <c r="E243" s="307">
        <f t="shared" si="89"/>
        <v>1.5316771214728766E-2</v>
      </c>
      <c r="F243" s="307">
        <f t="shared" si="87"/>
        <v>4.8384315124194562E-2</v>
      </c>
      <c r="G243" s="307">
        <f t="shared" si="87"/>
        <v>9.7704096014322867E-2</v>
      </c>
      <c r="H243" s="307">
        <f t="shared" si="87"/>
        <v>0.21669006300318336</v>
      </c>
      <c r="I243" s="307">
        <f t="shared" si="87"/>
        <v>0.40756334712997205</v>
      </c>
      <c r="J243" s="307">
        <f t="shared" si="87"/>
        <v>0.56404010602578347</v>
      </c>
      <c r="K243" s="307">
        <f t="shared" si="87"/>
        <v>0.61343615081273117</v>
      </c>
      <c r="L243" s="307">
        <f t="shared" si="87"/>
        <v>0.62442725455133208</v>
      </c>
    </row>
    <row r="244" spans="1:15">
      <c r="A244" s="302" t="s">
        <v>418</v>
      </c>
      <c r="B244" s="302" t="s">
        <v>607</v>
      </c>
      <c r="C244" s="302" t="s">
        <v>587</v>
      </c>
      <c r="D244" s="307">
        <f>D222/B$177*D$225</f>
        <v>0</v>
      </c>
      <c r="E244" s="307">
        <f>E222/C$174*E$225</f>
        <v>0</v>
      </c>
      <c r="F244" s="307">
        <f>F222/D$174*F$225</f>
        <v>6.1348293120992029E-3</v>
      </c>
      <c r="G244" s="307">
        <f>G222/E$174*G$225</f>
        <v>2.2634964131201998E-2</v>
      </c>
      <c r="H244" s="307">
        <f>H222/F$174*H$225</f>
        <v>5.711814850500032E-2</v>
      </c>
      <c r="I244" s="307">
        <f>I222/G$174*I$225</f>
        <v>8.5641531834041426E-2</v>
      </c>
      <c r="J244" s="307">
        <f>J222/H$174*J$225</f>
        <v>0.10445098254774447</v>
      </c>
      <c r="K244" s="307">
        <f>K222/I$174*K$225</f>
        <v>0.1064075091324882</v>
      </c>
      <c r="L244" s="307">
        <f>L222/J$174*L$225</f>
        <v>0.10266079784841241</v>
      </c>
      <c r="M244" t="s">
        <v>111</v>
      </c>
    </row>
    <row r="245" spans="1:15">
      <c r="A245" s="302" t="s">
        <v>690</v>
      </c>
      <c r="B245" s="302" t="s">
        <v>607</v>
      </c>
      <c r="C245" s="302" t="s">
        <v>58</v>
      </c>
      <c r="D245" s="307">
        <f>D223/B$177*D$225</f>
        <v>0</v>
      </c>
      <c r="E245" s="307">
        <f>E223/C$177*E$225</f>
        <v>0</v>
      </c>
      <c r="F245" s="307">
        <f>F223/D$177*F$225</f>
        <v>1.1130833061179509E-2</v>
      </c>
      <c r="G245" s="307">
        <f>G223/E$177*G$225</f>
        <v>3.1307868415111482E-2</v>
      </c>
      <c r="H245" s="307">
        <f>H223/F$177*H$225</f>
        <v>5.9628218795459237E-2</v>
      </c>
      <c r="I245" s="307">
        <f>I223/G$177*I$225</f>
        <v>7.3766994680485115E-2</v>
      </c>
      <c r="J245" s="307">
        <f>J223/H$177*J$225</f>
        <v>8.0788538156859824E-2</v>
      </c>
      <c r="K245" s="307">
        <f>K223/I$177*K$225</f>
        <v>7.8398971285545738E-2</v>
      </c>
      <c r="L245" s="307">
        <f>L223/J$177*L$225</f>
        <v>7.4186196232652324E-2</v>
      </c>
      <c r="M245" t="s">
        <v>696</v>
      </c>
    </row>
    <row r="246" spans="1:15">
      <c r="A246" s="302"/>
      <c r="B246" s="302" t="s">
        <v>607</v>
      </c>
      <c r="C246" s="302" t="s">
        <v>588</v>
      </c>
      <c r="D246" s="307">
        <f>D224/B$177*D$225</f>
        <v>0</v>
      </c>
      <c r="E246" s="307">
        <f>E224/C$177*E$225</f>
        <v>0</v>
      </c>
      <c r="F246" s="307">
        <f>F224/D$177*F$225</f>
        <v>1.170476438799993E-2</v>
      </c>
      <c r="G246" s="307">
        <f>G224/E$177*G$225</f>
        <v>3.5472958613864597E-2</v>
      </c>
      <c r="H246" s="307">
        <f>H224/F$177*H$225</f>
        <v>7.4794883598647333E-2</v>
      </c>
      <c r="I246" s="307">
        <f>I224/G$177*I$225</f>
        <v>0.10110660184908572</v>
      </c>
      <c r="J246" s="307">
        <f>J224/H$177*J$225</f>
        <v>0.11661167592198908</v>
      </c>
      <c r="K246" s="307">
        <f>K224/I$177*K$225</f>
        <v>0.11584477428211237</v>
      </c>
      <c r="L246" s="307">
        <f>L224/J$177*L$225</f>
        <v>0.11065158241317938</v>
      </c>
      <c r="M246" t="s">
        <v>122</v>
      </c>
    </row>
    <row r="247" spans="1:15">
      <c r="A247" s="302"/>
      <c r="B247" s="302" t="s">
        <v>695</v>
      </c>
      <c r="C247" s="302" t="s">
        <v>587</v>
      </c>
      <c r="D247" s="307">
        <f>D222/B$177*(1-D$225)</f>
        <v>6.8475059934243659E-2</v>
      </c>
      <c r="E247" s="307">
        <f>E222/C$177*(1-E$225)</f>
        <v>9.8365411281699552E-2</v>
      </c>
      <c r="F247" s="307">
        <f>F222/D$177*(1-F$225)</f>
        <v>0.22827573403851029</v>
      </c>
      <c r="G247" s="307">
        <f>G222/E$177*(1-G$225)</f>
        <v>0.34200629287193107</v>
      </c>
      <c r="H247" s="307">
        <f>H222/F$177*(1-H$225)</f>
        <v>0.48559401881318415</v>
      </c>
      <c r="I247" s="307">
        <f>I222/G$177*(1-I$225)</f>
        <v>0.70325867382636853</v>
      </c>
      <c r="J247" s="307">
        <f>J222/H$177*(1-J$225)</f>
        <v>0.84903941752896561</v>
      </c>
      <c r="K247" s="307">
        <f>K222/I$177*(1-K$225)</f>
        <v>0.86241095636998877</v>
      </c>
      <c r="L247" s="307">
        <f>L222/J$177*(1-L$225)</f>
        <v>0.831344671741446</v>
      </c>
      <c r="M247" t="s">
        <v>111</v>
      </c>
    </row>
    <row r="248" spans="1:15">
      <c r="A248" s="302"/>
      <c r="B248" s="302" t="s">
        <v>695</v>
      </c>
      <c r="C248" s="302" t="s">
        <v>58</v>
      </c>
      <c r="D248" s="307">
        <f>D223/B$174*(1-D$225)</f>
        <v>3.4964615601534361E-2</v>
      </c>
      <c r="E248" s="307">
        <f>E223/C$174*(1-E$225)</f>
        <v>4.9357555076612034E-2</v>
      </c>
      <c r="F248" s="307">
        <f>F223/D$174*(1-F$225)</f>
        <v>0.10798852449303104</v>
      </c>
      <c r="G248" s="307">
        <f>G223/E$174*(1-G$225)</f>
        <v>0.16783565672029957</v>
      </c>
      <c r="H248" s="307">
        <f>H223/F$174*(1-H$225)</f>
        <v>0.22522052275072652</v>
      </c>
      <c r="I248" s="307">
        <f>I223/G$174*(1-I$225)</f>
        <v>0.28846076640773349</v>
      </c>
      <c r="J248" s="307">
        <f>J223/H$174*(1-J$225)</f>
        <v>0.31914626004862701</v>
      </c>
      <c r="K248" s="307">
        <f>K223/I$174*(1-K$225)</f>
        <v>0.3106159187697709</v>
      </c>
      <c r="L248" s="307">
        <f>L223/J$174*(1-L$225)</f>
        <v>0.29417242105209718</v>
      </c>
      <c r="M248" t="s">
        <v>696</v>
      </c>
    </row>
    <row r="249" spans="1:15">
      <c r="A249" s="302"/>
      <c r="B249" s="302" t="s">
        <v>695</v>
      </c>
      <c r="C249" s="302" t="s">
        <v>588</v>
      </c>
      <c r="D249" s="307">
        <f>D224/B$177*(1-D$225)</f>
        <v>6.8475059934243659E-2</v>
      </c>
      <c r="E249" s="307">
        <f>E224/C$177*(1-E$225)</f>
        <v>9.7791091595763061E-2</v>
      </c>
      <c r="F249" s="307">
        <f>F224/D$177*(1-F$225)</f>
        <v>0.22239052337199863</v>
      </c>
      <c r="G249" s="307">
        <f>G224/E$177*(1-G$225)</f>
        <v>0.3192566275247814</v>
      </c>
      <c r="H249" s="307">
        <f>H224/F$177*(1-H$225)</f>
        <v>0.42383767372566822</v>
      </c>
      <c r="I249" s="307">
        <f>I224/G$177*(1-I$225)</f>
        <v>0.5729374104781525</v>
      </c>
      <c r="J249" s="307">
        <f>J224/H$177*(1-J$225)</f>
        <v>0.66079949689127149</v>
      </c>
      <c r="K249" s="307">
        <f>K224/I$177*(1-K$225)</f>
        <v>0.65645372093197019</v>
      </c>
      <c r="L249" s="307">
        <f>L224/J$177*(1-L$225)</f>
        <v>0.62702563367468311</v>
      </c>
      <c r="M249" t="s">
        <v>122</v>
      </c>
    </row>
    <row r="250" spans="1:15">
      <c r="A250" s="302" t="s">
        <v>18</v>
      </c>
      <c r="B250" s="302" t="s">
        <v>695</v>
      </c>
      <c r="C250" s="302" t="s">
        <v>587</v>
      </c>
      <c r="D250" s="355">
        <v>0</v>
      </c>
      <c r="E250" s="356">
        <f>E232/C173</f>
        <v>1.6466269903910694E-4</v>
      </c>
      <c r="F250" s="356">
        <f>F232/D173</f>
        <v>4.0789015839787462E-4</v>
      </c>
      <c r="G250" s="356">
        <f>G232/E173</f>
        <v>2.6193155469383159E-3</v>
      </c>
      <c r="H250" s="356">
        <f>H232/F173</f>
        <v>7.7693902523762208E-3</v>
      </c>
      <c r="I250" s="356">
        <f>I232/G173</f>
        <v>2.2913007527012041E-2</v>
      </c>
      <c r="J250" s="356">
        <f>J232/H173</f>
        <v>5.9978313041327738E-2</v>
      </c>
      <c r="K250" s="356">
        <f>K232/I173</f>
        <v>0.14027397192404997</v>
      </c>
      <c r="L250" s="356">
        <f>L232/J173</f>
        <v>0.26787508396288984</v>
      </c>
      <c r="M250" t="s">
        <v>696</v>
      </c>
    </row>
    <row r="252" spans="1:15">
      <c r="F252">
        <f>F253-E253</f>
        <v>5</v>
      </c>
      <c r="G252" s="302">
        <f>G$253-$E$253</f>
        <v>10</v>
      </c>
      <c r="H252" s="302">
        <f t="shared" ref="H252:L252" si="90">H$253-$E$253</f>
        <v>15</v>
      </c>
      <c r="I252" s="302">
        <f t="shared" si="90"/>
        <v>20</v>
      </c>
      <c r="J252" s="302">
        <f t="shared" si="90"/>
        <v>25</v>
      </c>
      <c r="K252" s="302">
        <f t="shared" si="90"/>
        <v>30</v>
      </c>
      <c r="L252" s="302">
        <f t="shared" si="90"/>
        <v>35</v>
      </c>
    </row>
    <row r="253" spans="1:15">
      <c r="A253" s="82" t="s">
        <v>624</v>
      </c>
      <c r="B253" s="82"/>
      <c r="C253" s="82"/>
      <c r="D253" s="357">
        <f>D218</f>
        <v>2012</v>
      </c>
      <c r="E253" s="357">
        <f t="shared" ref="E253:L253" si="91">E218</f>
        <v>2015</v>
      </c>
      <c r="F253" s="357">
        <f t="shared" si="91"/>
        <v>2020</v>
      </c>
      <c r="G253" s="357">
        <f t="shared" si="91"/>
        <v>2025</v>
      </c>
      <c r="H253" s="357">
        <f t="shared" si="91"/>
        <v>2030</v>
      </c>
      <c r="I253" s="357">
        <f t="shared" si="91"/>
        <v>2035</v>
      </c>
      <c r="J253" s="357">
        <f t="shared" si="91"/>
        <v>2040</v>
      </c>
      <c r="K253" s="357">
        <f t="shared" si="91"/>
        <v>2045</v>
      </c>
      <c r="L253" s="357">
        <f t="shared" si="91"/>
        <v>2050</v>
      </c>
    </row>
    <row r="254" spans="1:15" ht="14.15" customHeight="1">
      <c r="A254" s="82"/>
      <c r="B254" s="82" t="s">
        <v>59</v>
      </c>
      <c r="C254" s="82" t="s">
        <v>629</v>
      </c>
      <c r="D254" s="245">
        <f>D219</f>
        <v>27950</v>
      </c>
      <c r="E254" s="245">
        <f>E219</f>
        <v>58932.377594829639</v>
      </c>
      <c r="F254" s="245">
        <f>$O219*$P219*EXP($N254*F$252)/($O219+$P219*(EXP($N254*F$252)-1))</f>
        <v>257294.03804459027</v>
      </c>
      <c r="G254" s="245">
        <f t="shared" ref="G254:L254" si="92">$O219*$F254*EXP($O254*G$252)/($O219+$F254*(EXP($O254*G$252)-1))</f>
        <v>1568042.4720567286</v>
      </c>
      <c r="H254" s="245">
        <f t="shared" si="92"/>
        <v>3161540.9270146028</v>
      </c>
      <c r="I254" s="245">
        <f t="shared" si="92"/>
        <v>5049188.5928821098</v>
      </c>
      <c r="J254" s="245">
        <f t="shared" si="92"/>
        <v>6470400.3781836219</v>
      </c>
      <c r="K254" s="245">
        <f t="shared" si="92"/>
        <v>7217789.8178637559</v>
      </c>
      <c r="L254" s="245">
        <f t="shared" si="92"/>
        <v>7538109.6057250071</v>
      </c>
      <c r="N254">
        <v>0.45</v>
      </c>
      <c r="O254">
        <v>0.2</v>
      </c>
    </row>
    <row r="255" spans="1:15">
      <c r="A255" s="82" t="s">
        <v>625</v>
      </c>
      <c r="B255" s="82" t="s">
        <v>681</v>
      </c>
      <c r="C255" s="82" t="s">
        <v>682</v>
      </c>
      <c r="D255" s="309">
        <f>D229</f>
        <v>138095</v>
      </c>
      <c r="E255" s="309">
        <f>E229</f>
        <v>247192.16321457806</v>
      </c>
      <c r="F255" s="245">
        <f>$O222*$P222*EXP($N255*F$252)/($O222+$P222*(EXP($N255*F$252)-1))</f>
        <v>1105509.9634307444</v>
      </c>
      <c r="G255" s="245">
        <f t="shared" ref="G255:L255" si="93">$O222*$F255*EXP($O255*G$252)/($O222+$F255*(EXP($O255*G$252)-1))</f>
        <v>3081102.784674434</v>
      </c>
      <c r="H255" s="245">
        <f t="shared" si="93"/>
        <v>4225422.0393039202</v>
      </c>
      <c r="I255" s="245">
        <f t="shared" si="93"/>
        <v>5124435.485996875</v>
      </c>
      <c r="J255" s="245">
        <f t="shared" si="93"/>
        <v>5696995.6385670593</v>
      </c>
      <c r="K255" s="245">
        <f t="shared" si="93"/>
        <v>6014425.9619934577</v>
      </c>
      <c r="L255" s="245">
        <f t="shared" si="93"/>
        <v>6177003.1032652501</v>
      </c>
      <c r="N255">
        <v>0.45</v>
      </c>
      <c r="O255">
        <v>0.15</v>
      </c>
    </row>
    <row r="256" spans="1:15">
      <c r="A256" s="82"/>
      <c r="B256" s="82"/>
      <c r="C256" s="82" t="s">
        <v>680</v>
      </c>
      <c r="D256" s="309">
        <f>D255*(1-D225)</f>
        <v>138095</v>
      </c>
      <c r="E256" s="309">
        <f t="shared" ref="E256:L256" si="94">E255*(1-E225)</f>
        <v>247192.16321457806</v>
      </c>
      <c r="F256" s="309">
        <f t="shared" si="94"/>
        <v>1050234.4652592072</v>
      </c>
      <c r="G256" s="309">
        <f t="shared" si="94"/>
        <v>2772992.5062069907</v>
      </c>
      <c r="H256" s="309">
        <f t="shared" si="94"/>
        <v>3591608.7334083319</v>
      </c>
      <c r="I256" s="309">
        <f t="shared" si="94"/>
        <v>4355770.1630973434</v>
      </c>
      <c r="J256" s="309">
        <f t="shared" si="94"/>
        <v>4842446.2927820003</v>
      </c>
      <c r="K256" s="309">
        <f t="shared" si="94"/>
        <v>5112262.0676944386</v>
      </c>
      <c r="L256" s="309">
        <f t="shared" si="94"/>
        <v>5250452.6377754621</v>
      </c>
    </row>
    <row r="257" spans="1:20">
      <c r="A257" s="82"/>
      <c r="B257" s="82"/>
      <c r="C257" s="82" t="s">
        <v>679</v>
      </c>
      <c r="D257" s="245">
        <f>D255*D225</f>
        <v>0</v>
      </c>
      <c r="E257" s="245">
        <f t="shared" ref="E257:L257" si="95">E255*E225</f>
        <v>0</v>
      </c>
      <c r="F257" s="245">
        <f t="shared" si="95"/>
        <v>55275.49817153722</v>
      </c>
      <c r="G257" s="245">
        <f t="shared" si="95"/>
        <v>308110.27846744342</v>
      </c>
      <c r="H257" s="245">
        <f t="shared" si="95"/>
        <v>633813.30589558801</v>
      </c>
      <c r="I257" s="245">
        <f t="shared" si="95"/>
        <v>768665.32289953122</v>
      </c>
      <c r="J257" s="245">
        <f t="shared" si="95"/>
        <v>854549.34578505892</v>
      </c>
      <c r="K257" s="245">
        <f t="shared" si="95"/>
        <v>902163.89429901866</v>
      </c>
      <c r="L257" s="245">
        <f t="shared" si="95"/>
        <v>926550.46548978752</v>
      </c>
    </row>
    <row r="258" spans="1:20">
      <c r="A258" s="82"/>
      <c r="B258" s="82"/>
      <c r="C258" s="82" t="s">
        <v>630</v>
      </c>
      <c r="D258" s="309">
        <f>D232</f>
        <v>1</v>
      </c>
      <c r="E258" s="309">
        <f t="shared" ref="E258:L258" si="96">E232</f>
        <v>1000</v>
      </c>
      <c r="F258" s="309">
        <f t="shared" si="96"/>
        <v>2716.520085704858</v>
      </c>
      <c r="G258" s="309">
        <f t="shared" si="96"/>
        <v>13400.698799969618</v>
      </c>
      <c r="H258" s="309">
        <f t="shared" si="96"/>
        <v>36113.026919703749</v>
      </c>
      <c r="I258" s="309">
        <f t="shared" si="96"/>
        <v>95918.92951076226</v>
      </c>
      <c r="J258" s="309">
        <f t="shared" si="96"/>
        <v>245465.21683449249</v>
      </c>
      <c r="K258" s="309">
        <f t="shared" si="96"/>
        <v>575611.28639774094</v>
      </c>
      <c r="L258" s="309">
        <f t="shared" si="96"/>
        <v>1139352.5332827403</v>
      </c>
    </row>
    <row r="259" spans="1:20">
      <c r="A259" s="82"/>
      <c r="B259" s="82"/>
      <c r="C259" s="82" t="s">
        <v>27</v>
      </c>
      <c r="D259" s="245">
        <f>SUM(D254:D258)</f>
        <v>304141</v>
      </c>
      <c r="E259" s="245">
        <f t="shared" ref="E259:L259" si="97">SUM(E254:E258)</f>
        <v>554316.70402398577</v>
      </c>
      <c r="F259" s="245">
        <f t="shared" si="97"/>
        <v>2471030.4849917837</v>
      </c>
      <c r="G259" s="245">
        <f t="shared" si="97"/>
        <v>7743648.7402055664</v>
      </c>
      <c r="H259" s="245">
        <f t="shared" si="97"/>
        <v>11648498.032542147</v>
      </c>
      <c r="I259" s="245">
        <f t="shared" si="97"/>
        <v>15393978.494386623</v>
      </c>
      <c r="J259" s="245">
        <f t="shared" si="97"/>
        <v>18109856.872152235</v>
      </c>
      <c r="K259" s="245">
        <f t="shared" si="97"/>
        <v>19822253.028248411</v>
      </c>
      <c r="L259" s="245">
        <f t="shared" si="97"/>
        <v>21031468.345538247</v>
      </c>
    </row>
    <row r="260" spans="1:20">
      <c r="A260" s="82" t="s">
        <v>675</v>
      </c>
      <c r="B260" s="82" t="s">
        <v>629</v>
      </c>
      <c r="C260" s="82" t="s">
        <v>699</v>
      </c>
      <c r="D260" s="307">
        <f>D254/(B$162*B$160)</f>
        <v>8.0735449002391386E-3</v>
      </c>
      <c r="E260" s="307">
        <f t="shared" ref="E260:L260" si="98">E254/(C$162*C$160)</f>
        <v>1.4111936294057863E-2</v>
      </c>
      <c r="F260" s="307">
        <f t="shared" si="98"/>
        <v>5.7169375361549063E-2</v>
      </c>
      <c r="G260" s="307">
        <f t="shared" si="98"/>
        <v>0.21890318220069679</v>
      </c>
      <c r="H260" s="307">
        <f t="shared" si="98"/>
        <v>0.35794319450641954</v>
      </c>
      <c r="I260" s="307">
        <f t="shared" si="98"/>
        <v>0.54083918004719134</v>
      </c>
      <c r="J260" s="307">
        <f t="shared" si="98"/>
        <v>0.68764542143819463</v>
      </c>
      <c r="K260" s="307">
        <f t="shared" si="98"/>
        <v>0.73987525060171855</v>
      </c>
      <c r="L260" s="307">
        <f t="shared" si="98"/>
        <v>0.75780998219653306</v>
      </c>
    </row>
    <row r="261" spans="1:20">
      <c r="A261" s="82"/>
      <c r="B261" s="82"/>
      <c r="C261" s="82" t="s">
        <v>607</v>
      </c>
      <c r="D261" s="307">
        <f>D257/B174</f>
        <v>0</v>
      </c>
      <c r="E261" s="307">
        <f>E257/C174</f>
        <v>0</v>
      </c>
      <c r="F261" s="307">
        <f>F257/D174</f>
        <v>1.0770613311844606E-2</v>
      </c>
      <c r="G261" s="307">
        <f>G257/E174</f>
        <v>4.7708458649548265E-2</v>
      </c>
      <c r="H261" s="307">
        <f>H257/F174</f>
        <v>8.4838372873551518E-2</v>
      </c>
      <c r="I261" s="307">
        <f>I257/G174</f>
        <v>0.10057652603120988</v>
      </c>
      <c r="J261" s="307">
        <f>J257/H174</f>
        <v>0.10958958208778916</v>
      </c>
      <c r="K261" s="307">
        <f>K257/I174</f>
        <v>0.10726650691366421</v>
      </c>
      <c r="L261" s="307">
        <f>L257/J174</f>
        <v>0.10242437852392941</v>
      </c>
    </row>
    <row r="262" spans="1:20">
      <c r="A262" s="82"/>
      <c r="B262" s="82"/>
      <c r="C262" s="82" t="s">
        <v>608</v>
      </c>
      <c r="D262" s="307">
        <f>D256/B177</f>
        <v>6.8475059934243659E-2</v>
      </c>
      <c r="E262" s="307">
        <f>E256/C177</f>
        <v>9.8365411281699552E-2</v>
      </c>
      <c r="F262" s="307">
        <f>F256/D177</f>
        <v>0.40077230102510797</v>
      </c>
      <c r="G262" s="307">
        <f>G256/E177</f>
        <v>0.7208579163981802</v>
      </c>
      <c r="H262" s="307">
        <f>H256/F177</f>
        <v>0.72125948602190371</v>
      </c>
      <c r="I262" s="307">
        <f>I256/G177</f>
        <v>0.8258996867528835</v>
      </c>
      <c r="J262" s="307">
        <f>J256/H177</f>
        <v>0.89080899646423195</v>
      </c>
      <c r="K262" s="307">
        <f>K256/I177</f>
        <v>0.86937295655233793</v>
      </c>
      <c r="L262" s="307">
        <f>L256/J177</f>
        <v>0.82943015373822671</v>
      </c>
    </row>
    <row r="263" spans="1:20">
      <c r="A263" s="82"/>
      <c r="B263" s="82" t="s">
        <v>678</v>
      </c>
      <c r="C263" s="82" t="s">
        <v>629</v>
      </c>
      <c r="D263" s="348"/>
      <c r="E263" s="348"/>
      <c r="F263" s="348"/>
      <c r="G263" s="348"/>
      <c r="H263" s="348"/>
      <c r="I263" s="348"/>
      <c r="J263" s="348"/>
      <c r="K263" s="348"/>
      <c r="L263" s="348"/>
    </row>
    <row r="264" spans="1:20">
      <c r="A264" s="82"/>
      <c r="B264" s="82"/>
      <c r="C264" s="82" t="s">
        <v>679</v>
      </c>
      <c r="D264" s="348"/>
      <c r="E264" s="348"/>
      <c r="F264" s="348"/>
      <c r="G264" s="348"/>
      <c r="H264" s="348"/>
      <c r="I264" s="348"/>
      <c r="J264" s="348"/>
      <c r="K264" s="348"/>
      <c r="L264" s="348"/>
    </row>
    <row r="266" spans="1:20" ht="12.9" thickBot="1"/>
    <row r="267" spans="1:20" s="15" customFormat="1" ht="12.9" thickBot="1">
      <c r="B267" s="335" t="s">
        <v>674</v>
      </c>
      <c r="C267" s="336"/>
      <c r="D267" s="337" t="s">
        <v>689</v>
      </c>
    </row>
    <row r="268" spans="1:20">
      <c r="A268" s="5" t="s">
        <v>673</v>
      </c>
      <c r="D268" s="5">
        <f t="shared" ref="D268:L268" si="99">D240</f>
        <v>2012</v>
      </c>
      <c r="E268" s="5">
        <f t="shared" si="99"/>
        <v>2015</v>
      </c>
      <c r="F268" s="5">
        <f t="shared" si="99"/>
        <v>2020</v>
      </c>
      <c r="G268" s="5">
        <f t="shared" si="99"/>
        <v>2025</v>
      </c>
      <c r="H268" s="5">
        <f t="shared" si="99"/>
        <v>2030</v>
      </c>
      <c r="I268" s="5">
        <f t="shared" si="99"/>
        <v>2035</v>
      </c>
      <c r="J268" s="5">
        <f t="shared" si="99"/>
        <v>2040</v>
      </c>
      <c r="K268" s="5">
        <f t="shared" si="99"/>
        <v>2045</v>
      </c>
      <c r="L268" s="5">
        <f t="shared" si="99"/>
        <v>2050</v>
      </c>
      <c r="N268">
        <f>F268</f>
        <v>2020</v>
      </c>
      <c r="O268">
        <f t="shared" ref="O268:S268" si="100">G268</f>
        <v>2025</v>
      </c>
      <c r="P268">
        <f t="shared" si="100"/>
        <v>2030</v>
      </c>
      <c r="Q268">
        <f t="shared" si="100"/>
        <v>2035</v>
      </c>
      <c r="R268">
        <f t="shared" si="100"/>
        <v>2040</v>
      </c>
      <c r="S268">
        <f t="shared" si="100"/>
        <v>2045</v>
      </c>
      <c r="T268">
        <f>L268</f>
        <v>2050</v>
      </c>
    </row>
    <row r="269" spans="1:20">
      <c r="A269" s="245" t="s">
        <v>683</v>
      </c>
      <c r="B269" s="245" t="s">
        <v>670</v>
      </c>
      <c r="C269" s="245" t="s">
        <v>669</v>
      </c>
      <c r="D269" s="352">
        <f t="shared" ref="D269:E269" si="101">-D241</f>
        <v>-8.7745777275293861E-3</v>
      </c>
      <c r="E269" s="352">
        <f t="shared" si="101"/>
        <v>-1.5337287824396195E-2</v>
      </c>
      <c r="F269" s="352">
        <f>-F241</f>
        <v>-4.8748118393813211E-2</v>
      </c>
      <c r="G269" s="352">
        <f>-G243*1.05</f>
        <v>-0.10258930081503902</v>
      </c>
      <c r="H269" s="352">
        <f t="shared" ref="H269:L269" si="102">-H243*1.05</f>
        <v>-0.22752456615334254</v>
      </c>
      <c r="I269" s="352">
        <f t="shared" si="102"/>
        <v>-0.42794151448647066</v>
      </c>
      <c r="J269" s="352">
        <f t="shared" si="102"/>
        <v>-0.59224211132707272</v>
      </c>
      <c r="K269" s="352">
        <f t="shared" si="102"/>
        <v>-0.64410795835336776</v>
      </c>
      <c r="L269" s="352">
        <f t="shared" si="102"/>
        <v>-0.65564861727889867</v>
      </c>
      <c r="N269" s="352">
        <f>-(F269+F270)/2</f>
        <v>4.8566216759003883E-2</v>
      </c>
      <c r="O269" s="352">
        <f t="shared" ref="O269:T269" si="103">-(G269+G270)/2</f>
        <v>0.10014669841468093</v>
      </c>
      <c r="P269" s="352">
        <f t="shared" si="103"/>
        <v>0.22210731457826294</v>
      </c>
      <c r="Q269" s="352">
        <f t="shared" si="103"/>
        <v>0.41775243080822133</v>
      </c>
      <c r="R269" s="352">
        <f t="shared" si="103"/>
        <v>0.57814110867642809</v>
      </c>
      <c r="S269" s="352">
        <f t="shared" si="103"/>
        <v>0.62877205458304952</v>
      </c>
      <c r="T269" s="352">
        <f t="shared" si="103"/>
        <v>0.64003793591511537</v>
      </c>
    </row>
    <row r="270" spans="1:20">
      <c r="A270" s="245"/>
      <c r="B270" s="245" t="s">
        <v>671</v>
      </c>
      <c r="C270" s="245" t="s">
        <v>669</v>
      </c>
      <c r="D270" s="352">
        <f t="shared" ref="D270:L270" si="104">-D243</f>
        <v>-8.7745777275293861E-3</v>
      </c>
      <c r="E270" s="352">
        <f t="shared" si="104"/>
        <v>-1.5316771214728766E-2</v>
      </c>
      <c r="F270" s="352">
        <f t="shared" si="104"/>
        <v>-4.8384315124194562E-2</v>
      </c>
      <c r="G270" s="352">
        <f t="shared" si="104"/>
        <v>-9.7704096014322867E-2</v>
      </c>
      <c r="H270" s="352">
        <f t="shared" si="104"/>
        <v>-0.21669006300318336</v>
      </c>
      <c r="I270" s="352">
        <f t="shared" si="104"/>
        <v>-0.40756334712997205</v>
      </c>
      <c r="J270" s="352">
        <f t="shared" si="104"/>
        <v>-0.56404010602578347</v>
      </c>
      <c r="K270" s="352">
        <f t="shared" si="104"/>
        <v>-0.61343615081273117</v>
      </c>
      <c r="L270" s="352">
        <f t="shared" si="104"/>
        <v>-0.62442725455133208</v>
      </c>
    </row>
    <row r="271" spans="1:20">
      <c r="A271" s="245" t="s">
        <v>834</v>
      </c>
      <c r="B271" s="245" t="s">
        <v>670</v>
      </c>
      <c r="C271" s="245" t="s">
        <v>669</v>
      </c>
      <c r="D271" s="352">
        <f t="shared" ref="D271:L271" si="105">-D260</f>
        <v>-8.0735449002391386E-3</v>
      </c>
      <c r="E271" s="352">
        <f t="shared" si="105"/>
        <v>-1.4111936294057863E-2</v>
      </c>
      <c r="F271" s="352">
        <f t="shared" si="105"/>
        <v>-5.7169375361549063E-2</v>
      </c>
      <c r="G271" s="352">
        <f t="shared" si="105"/>
        <v>-0.21890318220069679</v>
      </c>
      <c r="H271" s="352">
        <f t="shared" si="105"/>
        <v>-0.35794319450641954</v>
      </c>
      <c r="I271" s="352">
        <f t="shared" si="105"/>
        <v>-0.54083918004719134</v>
      </c>
      <c r="J271" s="352">
        <f t="shared" si="105"/>
        <v>-0.68764542143819463</v>
      </c>
      <c r="K271" s="352">
        <f t="shared" si="105"/>
        <v>-0.73987525060171855</v>
      </c>
      <c r="L271" s="352">
        <f t="shared" si="105"/>
        <v>-0.75780998219653306</v>
      </c>
    </row>
    <row r="272" spans="1:20">
      <c r="A272" s="245"/>
      <c r="B272" s="245" t="s">
        <v>671</v>
      </c>
      <c r="C272" s="245" t="s">
        <v>669</v>
      </c>
      <c r="D272" s="353">
        <f>D271*0.99</f>
        <v>-7.9928094512367476E-3</v>
      </c>
      <c r="E272" s="353">
        <f t="shared" ref="E272:L272" si="106">E271*0.99</f>
        <v>-1.3970816931117284E-2</v>
      </c>
      <c r="F272" s="353">
        <f t="shared" si="106"/>
        <v>-5.6597681607933568E-2</v>
      </c>
      <c r="G272" s="353">
        <f t="shared" si="106"/>
        <v>-0.21671415037868982</v>
      </c>
      <c r="H272" s="353">
        <f t="shared" si="106"/>
        <v>-0.35436376256135532</v>
      </c>
      <c r="I272" s="353">
        <f t="shared" si="106"/>
        <v>-0.53543078824671941</v>
      </c>
      <c r="J272" s="353">
        <f t="shared" si="106"/>
        <v>-0.68076896722381264</v>
      </c>
      <c r="K272" s="353">
        <f t="shared" si="106"/>
        <v>-0.73247649809570137</v>
      </c>
      <c r="L272" s="353">
        <f t="shared" si="106"/>
        <v>-0.75023188237456773</v>
      </c>
    </row>
    <row r="273" spans="1:12">
      <c r="A273" s="245" t="s">
        <v>835</v>
      </c>
      <c r="B273" s="245" t="s">
        <v>670</v>
      </c>
      <c r="C273" s="245" t="s">
        <v>669</v>
      </c>
      <c r="D273" s="352">
        <f>D271</f>
        <v>-8.0735449002391386E-3</v>
      </c>
      <c r="E273" s="352">
        <f>E271</f>
        <v>-1.4111936294057863E-2</v>
      </c>
      <c r="F273" s="352">
        <f>(F269+F271)/2</f>
        <v>-5.2958746877681137E-2</v>
      </c>
      <c r="G273" s="352">
        <f t="shared" ref="G273:L273" si="107">(G269+G271)/2</f>
        <v>-0.1607462415078679</v>
      </c>
      <c r="H273" s="352">
        <f t="shared" si="107"/>
        <v>-0.29273388032988101</v>
      </c>
      <c r="I273" s="352">
        <f t="shared" si="107"/>
        <v>-0.484390347266831</v>
      </c>
      <c r="J273" s="352">
        <f t="shared" si="107"/>
        <v>-0.63994376638263373</v>
      </c>
      <c r="K273" s="352">
        <f t="shared" si="107"/>
        <v>-0.69199160447754315</v>
      </c>
      <c r="L273" s="352">
        <f t="shared" si="107"/>
        <v>-0.70672929973771592</v>
      </c>
    </row>
    <row r="274" spans="1:12">
      <c r="A274" s="245"/>
      <c r="B274" s="245" t="s">
        <v>671</v>
      </c>
      <c r="C274" s="245" t="s">
        <v>669</v>
      </c>
      <c r="D274" s="352">
        <f>D272</f>
        <v>-7.9928094512367476E-3</v>
      </c>
      <c r="E274" s="352">
        <f>E272</f>
        <v>-1.3970816931117284E-2</v>
      </c>
      <c r="F274" s="352">
        <f>(F270+F272)/2</f>
        <v>-5.2490998366064065E-2</v>
      </c>
      <c r="G274" s="352">
        <f t="shared" ref="G274:L274" si="108">(G270+G272)/2</f>
        <v>-0.15720912319650635</v>
      </c>
      <c r="H274" s="352">
        <f t="shared" si="108"/>
        <v>-0.28552691278226933</v>
      </c>
      <c r="I274" s="352">
        <f t="shared" si="108"/>
        <v>-0.47149706768834576</v>
      </c>
      <c r="J274" s="352">
        <f t="shared" si="108"/>
        <v>-0.62240453662479811</v>
      </c>
      <c r="K274" s="352">
        <f t="shared" si="108"/>
        <v>-0.67295632445421627</v>
      </c>
      <c r="L274" s="352">
        <f t="shared" si="108"/>
        <v>-0.6873295684629499</v>
      </c>
    </row>
    <row r="275" spans="1:12">
      <c r="D275" s="5">
        <f>D268</f>
        <v>2012</v>
      </c>
      <c r="E275" s="5">
        <f t="shared" ref="E275:L275" si="109">E268</f>
        <v>2015</v>
      </c>
      <c r="F275" s="5">
        <f t="shared" si="109"/>
        <v>2020</v>
      </c>
      <c r="G275" s="5">
        <f t="shared" si="109"/>
        <v>2025</v>
      </c>
      <c r="H275" s="5">
        <f t="shared" si="109"/>
        <v>2030</v>
      </c>
      <c r="I275" s="5">
        <f t="shared" si="109"/>
        <v>2035</v>
      </c>
      <c r="J275" s="5">
        <f t="shared" si="109"/>
        <v>2040</v>
      </c>
      <c r="K275" s="5">
        <f t="shared" si="109"/>
        <v>2045</v>
      </c>
      <c r="L275" s="5">
        <f t="shared" si="109"/>
        <v>2050</v>
      </c>
    </row>
    <row r="276" spans="1:12" ht="15">
      <c r="A276" s="354" t="s">
        <v>692</v>
      </c>
      <c r="B276" s="165" t="str">
        <f>B269</f>
        <v>RHIEW-UP</v>
      </c>
      <c r="C276" s="165" t="str">
        <f>C269</f>
        <v>S-RHWEG-ALL</v>
      </c>
      <c r="D276" s="165">
        <f>IF(RES!$G$16=0,D269,IF(OR(RES!$G$16=3,RES!$G$16=1),D271,D273))</f>
        <v>-8.7745777275293861E-3</v>
      </c>
      <c r="E276" s="165">
        <f>IF(RES!$G$16=0,E269,IF(OR(RES!$G$16=3,RES!$G$16=1),E271,E273))</f>
        <v>-1.5337287824396195E-2</v>
      </c>
      <c r="F276" s="165">
        <f>IF(RES!$G$16=0,F269,IF(OR(RES!$G$16=3,RES!$G$16=1),F271,F273))</f>
        <v>-4.8748118393813211E-2</v>
      </c>
      <c r="G276" s="165">
        <f>IF(RES!$G$16=0,G269,IF(OR(RES!$G$16=3,RES!$G$16=1),G271,G273))</f>
        <v>-0.10258930081503902</v>
      </c>
      <c r="H276" s="165">
        <f>IF(RES!$G$16=0,H269,IF(OR(RES!$G$16=3,RES!$G$16=1),H271,H273))</f>
        <v>-0.22752456615334254</v>
      </c>
      <c r="I276" s="165">
        <f>IF(RES!$G$16=0,I269,IF(OR(RES!$G$16=3,RES!$G$16=1),I271,I273))</f>
        <v>-0.42794151448647066</v>
      </c>
      <c r="J276" s="165">
        <f>IF(RES!$G$16=0,J269,IF(OR(RES!$G$16=3,RES!$G$16=1),J271,J273))</f>
        <v>-0.59224211132707272</v>
      </c>
      <c r="K276" s="165">
        <f>IF(RES!$G$16=0,K269,IF(OR(RES!$G$16=3,RES!$G$16=1),K271,K273))</f>
        <v>-0.64410795835336776</v>
      </c>
      <c r="L276" s="165">
        <f>IF(RES!$G$16=0,L269,IF(OR(RES!$G$16=3,RES!$G$16=1),L271,L273))</f>
        <v>-0.65564861727889867</v>
      </c>
    </row>
    <row r="277" spans="1:12">
      <c r="A277" s="165"/>
      <c r="B277" s="165" t="str">
        <f>B270</f>
        <v>RHIEW-LO</v>
      </c>
      <c r="C277" s="165" t="str">
        <f>C270</f>
        <v>S-RHWEG-ALL</v>
      </c>
      <c r="D277" s="165">
        <f>IF(RES!$G$16=0,D270,IF(OR(RES!$G$16=3,RES!$G$16=1),D272,D274))</f>
        <v>-8.7745777275293861E-3</v>
      </c>
      <c r="E277" s="165">
        <f>IF(RES!$G$16=0,E270,IF(OR(RES!$G$16=3,RES!$G$16=1),E272,E274))</f>
        <v>-1.5316771214728766E-2</v>
      </c>
      <c r="F277" s="165">
        <f>IF(RES!$G$16=0,F270,IF(OR(RES!$G$16=3,RES!$G$16=1),F272,F274))</f>
        <v>-4.8384315124194562E-2</v>
      </c>
      <c r="G277" s="165">
        <f>IF(RES!$G$16=0,G270,IF(OR(RES!$G$16=3,RES!$G$16=1),G272,G274))</f>
        <v>-9.7704096014322867E-2</v>
      </c>
      <c r="H277" s="165">
        <f>IF(RES!$G$16=0,H270,IF(OR(RES!$G$16=3,RES!$G$16=1),H272,H274))</f>
        <v>-0.21669006300318336</v>
      </c>
      <c r="I277" s="165">
        <f>IF(RES!$G$16=0,I270,IF(OR(RES!$G$16=3,RES!$G$16=1),I272,I274))</f>
        <v>-0.40756334712997205</v>
      </c>
      <c r="J277" s="165">
        <f>IF(RES!$G$16=0,J270,IF(OR(RES!$G$16=3,RES!$G$16=1),J272,J274))</f>
        <v>-0.56404010602578347</v>
      </c>
      <c r="K277" s="165">
        <f>IF(RES!$G$16=0,K270,IF(OR(RES!$G$16=3,RES!$G$16=1),K272,K274))</f>
        <v>-0.61343615081273117</v>
      </c>
      <c r="L277" s="165">
        <f>IF(RES!$G$16=0,L270,IF(OR(RES!$G$16=3,RES!$G$16=1),L272,L274))</f>
        <v>-0.62442725455133208</v>
      </c>
    </row>
    <row r="278" spans="1:12">
      <c r="F278" s="5">
        <v>2012</v>
      </c>
      <c r="G278" s="5">
        <v>2020</v>
      </c>
      <c r="H278" s="5">
        <v>2030</v>
      </c>
      <c r="I278" s="5">
        <v>2040</v>
      </c>
      <c r="J278" s="5">
        <v>2050</v>
      </c>
    </row>
    <row r="279" spans="1:12" ht="15">
      <c r="A279" s="354" t="s">
        <v>698</v>
      </c>
      <c r="B279" s="165" t="str">
        <f>RES!B96</f>
        <v>RMEWELCSWH-E</v>
      </c>
      <c r="C279" s="165" t="s">
        <v>111</v>
      </c>
      <c r="D279" s="165" t="s">
        <v>691</v>
      </c>
      <c r="E279" s="165" t="s">
        <v>695</v>
      </c>
      <c r="F279" s="358">
        <f>SUMIFS(D$244:D$250,$B$244:$B$250,$E279,$M$244:$M$250,$C279)</f>
        <v>6.8475059934243659E-2</v>
      </c>
      <c r="G279" s="358">
        <f>SUMIFS(F$244:F$250,$B$244:$B$250,$E279,$M$244:$M$250,$C279)</f>
        <v>0.22827573403851029</v>
      </c>
      <c r="H279" s="358">
        <f>SUMIFS(H$244:H$250,$B$244:$B$250,$E279,$M$244:$M$250,$C279)</f>
        <v>0.48559401881318415</v>
      </c>
      <c r="I279" s="358">
        <f>SUMIFS(J$244:J$250,$B$244:$B$250,$E279,$M$244:$M$250,$C279)</f>
        <v>0.84903941752896561</v>
      </c>
      <c r="J279" s="358">
        <f>SUMIFS(L$244:L$250,$B$244:$B$250,$E279,$M$244:$M$250,$C279)</f>
        <v>0.831344671741446</v>
      </c>
    </row>
    <row r="280" spans="1:12" ht="15">
      <c r="A280" s="354" t="s">
        <v>692</v>
      </c>
      <c r="B280" s="165" t="str">
        <f>RES!B96</f>
        <v>RMEWELCSWH-E</v>
      </c>
      <c r="C280" s="165" t="s">
        <v>122</v>
      </c>
      <c r="D280" s="165" t="s">
        <v>691</v>
      </c>
      <c r="E280" s="165" t="str">
        <f>E279</f>
        <v>Low pressure</v>
      </c>
      <c r="F280" s="358">
        <f>SUMIFS(D$244:D$250,$B$244:$B$250,$E280,$M$244:$M$250,$C280)</f>
        <v>6.8475059934243659E-2</v>
      </c>
      <c r="G280" s="358">
        <f>SUMIFS(F$244:F$250,$B$244:$B$250,$E280,$M$244:$M$250,$C280)</f>
        <v>0.22239052337199863</v>
      </c>
      <c r="H280" s="358">
        <f>SUMIFS(H$244:H$250,$B$244:$B$250,$E280,$M$244:$M$250,$C280)</f>
        <v>0.42383767372566822</v>
      </c>
      <c r="I280" s="358">
        <f>SUMIFS(J$244:J$250,$B$244:$B$250,$E280,$M$244:$M$250,$C280)</f>
        <v>0.66079949689127149</v>
      </c>
      <c r="J280" s="358">
        <f>SUMIFS(L$244:L$250,$B$244:$B$250,$E280,$M$244:$M$250,$C280)</f>
        <v>0.62702563367468311</v>
      </c>
    </row>
    <row r="281" spans="1:12">
      <c r="A281" s="165"/>
      <c r="B281" s="165" t="e">
        <f>RES!#REF!</f>
        <v>#REF!</v>
      </c>
      <c r="C281" s="165" t="s">
        <v>111</v>
      </c>
      <c r="D281" s="165" t="s">
        <v>691</v>
      </c>
      <c r="E281" s="165" t="s">
        <v>705</v>
      </c>
      <c r="F281" s="358">
        <f>SUMIFS(D$244:D$250,$B$244:$B$250,$E281,$M$244:$M$250,$C281)</f>
        <v>0</v>
      </c>
      <c r="G281" s="358">
        <f>SUMIFS(F$244:F$250,$B$244:$B$250,$E281,$M$244:$M$250,$C281)</f>
        <v>0</v>
      </c>
      <c r="H281" s="358">
        <f>SUMIFS(H$244:H$250,$B$244:$B$250,$E281,$M$244:$M$250,$C281)</f>
        <v>0</v>
      </c>
      <c r="I281" s="358">
        <f>SUMIFS(J$244:J$250,$B$244:$B$250,$E281,$M$244:$M$250,$C281)</f>
        <v>0</v>
      </c>
      <c r="J281" s="358">
        <f>SUMIFS(L$244:L$250,$B$244:$B$250,$E281,$M$244:$M$250,$C281)</f>
        <v>0</v>
      </c>
    </row>
    <row r="282" spans="1:12">
      <c r="A282" s="165"/>
      <c r="B282" s="165" t="e">
        <f>RES!#REF!</f>
        <v>#REF!</v>
      </c>
      <c r="C282" s="165" t="s">
        <v>122</v>
      </c>
      <c r="D282" s="165" t="s">
        <v>691</v>
      </c>
      <c r="E282" s="165" t="str">
        <f>E281</f>
        <v>High pressusre</v>
      </c>
      <c r="F282" s="358">
        <f>SUMIFS(D$244:D$250,$B$244:$B$250,$E282,$M$244:$M$250,$C282)</f>
        <v>0</v>
      </c>
      <c r="G282" s="358">
        <f>SUMIFS(F$244:F$250,$B$244:$B$250,$E282,$M$244:$M$250,$C282)</f>
        <v>0</v>
      </c>
      <c r="H282" s="358">
        <f>SUMIFS(H$244:H$250,$B$244:$B$250,$E282,$M$244:$M$250,$C282)</f>
        <v>0</v>
      </c>
      <c r="I282" s="358">
        <f>SUMIFS(J$244:J$250,$B$244:$B$250,$E282,$M$244:$M$250,$C282)</f>
        <v>0</v>
      </c>
      <c r="J282" s="358">
        <f>SUMIFS(L$244:L$250,$B$244:$B$250,$E282,$M$244:$M$250,$C282)</f>
        <v>0</v>
      </c>
      <c r="L282" t="s">
        <v>700</v>
      </c>
    </row>
    <row r="283" spans="1:12">
      <c r="A283" s="165" t="s">
        <v>694</v>
      </c>
      <c r="B283" s="165" t="str">
        <f>B279</f>
        <v>RMEWELCSWH-E</v>
      </c>
      <c r="C283" s="165" t="str">
        <f t="shared" ref="C283" si="110">C279</f>
        <v>UP</v>
      </c>
      <c r="D283" s="165" t="s">
        <v>65</v>
      </c>
      <c r="E283" s="165" t="str">
        <f>E279</f>
        <v>Low pressure</v>
      </c>
      <c r="F283" s="358">
        <f>D262</f>
        <v>6.8475059934243659E-2</v>
      </c>
      <c r="G283" s="358">
        <f>F262</f>
        <v>0.40077230102510797</v>
      </c>
      <c r="H283" s="358">
        <f>H262</f>
        <v>0.72125948602190371</v>
      </c>
      <c r="I283" s="358">
        <f>J262</f>
        <v>0.89080899646423195</v>
      </c>
      <c r="J283" s="358">
        <f>L262</f>
        <v>0.82943015373822671</v>
      </c>
    </row>
    <row r="284" spans="1:12">
      <c r="A284" s="165"/>
      <c r="B284" s="165" t="str">
        <f t="shared" ref="B284:C286" si="111">B280</f>
        <v>RMEWELCSWH-E</v>
      </c>
      <c r="C284" s="165" t="str">
        <f t="shared" si="111"/>
        <v>LO</v>
      </c>
      <c r="D284" s="165" t="s">
        <v>65</v>
      </c>
      <c r="E284" s="165" t="str">
        <f>E280</f>
        <v>Low pressure</v>
      </c>
      <c r="F284" s="358">
        <f>MAX(F283-0.001,0)</f>
        <v>6.7475059934243659E-2</v>
      </c>
      <c r="G284" s="358">
        <f t="shared" ref="G284:J284" si="112">MAX(G283-0.001,0)</f>
        <v>0.39977230102510797</v>
      </c>
      <c r="H284" s="358">
        <f t="shared" si="112"/>
        <v>0.72025948602190371</v>
      </c>
      <c r="I284" s="358">
        <f t="shared" si="112"/>
        <v>0.88980899646423195</v>
      </c>
      <c r="J284" s="358">
        <f t="shared" si="112"/>
        <v>0.8284301537382267</v>
      </c>
    </row>
    <row r="285" spans="1:12">
      <c r="A285" s="165"/>
      <c r="B285" s="165" t="e">
        <f t="shared" si="111"/>
        <v>#REF!</v>
      </c>
      <c r="C285" s="165" t="str">
        <f t="shared" si="111"/>
        <v>UP</v>
      </c>
      <c r="D285" s="165" t="s">
        <v>65</v>
      </c>
      <c r="E285" s="165" t="str">
        <f>E281</f>
        <v>High pressusre</v>
      </c>
      <c r="F285" s="358">
        <f>D261</f>
        <v>0</v>
      </c>
      <c r="G285" s="358">
        <f>F261</f>
        <v>1.0770613311844606E-2</v>
      </c>
      <c r="H285" s="358">
        <f>H261</f>
        <v>8.4838372873551518E-2</v>
      </c>
      <c r="I285" s="358">
        <f>J261</f>
        <v>0.10958958208778916</v>
      </c>
      <c r="J285" s="358">
        <f>L261</f>
        <v>0.10242437852392941</v>
      </c>
    </row>
    <row r="286" spans="1:12">
      <c r="A286" s="165"/>
      <c r="B286" s="165" t="e">
        <f t="shared" si="111"/>
        <v>#REF!</v>
      </c>
      <c r="C286" s="165" t="str">
        <f t="shared" si="111"/>
        <v>LO</v>
      </c>
      <c r="D286" s="165" t="s">
        <v>65</v>
      </c>
      <c r="E286" s="165" t="str">
        <f>E282</f>
        <v>High pressusre</v>
      </c>
      <c r="F286" s="358">
        <f>MAX(F285-0.001,0)</f>
        <v>0</v>
      </c>
      <c r="G286" s="358">
        <f t="shared" ref="G286:J286" si="113">MAX(G285-0.001,0)</f>
        <v>9.7706133118446066E-3</v>
      </c>
      <c r="H286" s="358">
        <f t="shared" si="113"/>
        <v>8.3838372873551517E-2</v>
      </c>
      <c r="I286" s="358">
        <f t="shared" si="113"/>
        <v>0.10858958208778915</v>
      </c>
      <c r="J286" s="358">
        <f t="shared" si="113"/>
        <v>0.10142437852392941</v>
      </c>
    </row>
    <row r="289" spans="1:12">
      <c r="A289" s="1" t="s">
        <v>59</v>
      </c>
      <c r="B289" s="1" t="s">
        <v>409</v>
      </c>
      <c r="C289" s="1" t="s">
        <v>1059</v>
      </c>
      <c r="D289">
        <v>2015</v>
      </c>
      <c r="E289">
        <v>2017</v>
      </c>
      <c r="F289">
        <f t="shared" ref="F289:L289" si="114">F275</f>
        <v>2020</v>
      </c>
      <c r="G289">
        <f t="shared" si="114"/>
        <v>2025</v>
      </c>
      <c r="H289">
        <f t="shared" si="114"/>
        <v>2030</v>
      </c>
      <c r="I289">
        <f t="shared" si="114"/>
        <v>2035</v>
      </c>
      <c r="J289">
        <f t="shared" si="114"/>
        <v>2040</v>
      </c>
      <c r="K289">
        <f t="shared" si="114"/>
        <v>2045</v>
      </c>
      <c r="L289">
        <f t="shared" si="114"/>
        <v>2050</v>
      </c>
    </row>
    <row r="290" spans="1:12">
      <c r="A290" s="1" t="s">
        <v>504</v>
      </c>
      <c r="B290" s="3">
        <f>RES!E132</f>
        <v>0.75</v>
      </c>
    </row>
    <row r="291" spans="1:12">
      <c r="A291" s="1" t="s">
        <v>1058</v>
      </c>
      <c r="B291" s="3">
        <f>RES!E133</f>
        <v>2.3199999999999998</v>
      </c>
    </row>
    <row r="292" spans="1:12">
      <c r="A292" s="1" t="s">
        <v>65</v>
      </c>
      <c r="B292" s="3">
        <f>RES!E134</f>
        <v>2.15</v>
      </c>
    </row>
    <row r="294" spans="1:12" ht="22.3">
      <c r="A294" s="303" t="s">
        <v>585</v>
      </c>
    </row>
    <row r="295" spans="1:12">
      <c r="A295" s="5" t="s">
        <v>565</v>
      </c>
    </row>
    <row r="296" spans="1:12" ht="49.75">
      <c r="A296" s="294"/>
      <c r="B296" s="294"/>
      <c r="C296" s="299" t="s">
        <v>566</v>
      </c>
      <c r="D296" s="15"/>
      <c r="E296" s="295" t="s">
        <v>578</v>
      </c>
      <c r="F296" s="295" t="s">
        <v>579</v>
      </c>
    </row>
    <row r="297" spans="1:12">
      <c r="A297" s="248" t="s">
        <v>575</v>
      </c>
      <c r="B297" s="248"/>
      <c r="C297" s="298">
        <f>SUM(I131:O131)+SUM(W131:AC131)+SUM(AK131:AQ131)</f>
        <v>2556297.3557393001</v>
      </c>
      <c r="E297" s="248">
        <v>0.25</v>
      </c>
      <c r="F297" s="248">
        <f>E297*C297</f>
        <v>639074.33893482503</v>
      </c>
    </row>
    <row r="298" spans="1:12">
      <c r="A298" s="248" t="s">
        <v>576</v>
      </c>
      <c r="B298" s="248"/>
      <c r="C298" s="298">
        <f>SUM(I132:O132)+SUM(W132:AC132)+SUM(AK132:AQ132)</f>
        <v>317432.98297999997</v>
      </c>
      <c r="E298" s="248">
        <v>0.2</v>
      </c>
      <c r="F298" s="248">
        <f t="shared" ref="F298:F299" si="115">E298*C298</f>
        <v>63486.596595999996</v>
      </c>
    </row>
    <row r="299" spans="1:12">
      <c r="A299" s="248" t="s">
        <v>577</v>
      </c>
      <c r="B299" s="248"/>
      <c r="C299" s="298">
        <f>SUM(I133:O133)+SUM(W133:AC133)+SUM(AK133:AQ133)</f>
        <v>303646.52499999991</v>
      </c>
      <c r="E299" s="248">
        <v>0.5</v>
      </c>
      <c r="F299" s="248">
        <f t="shared" si="115"/>
        <v>151823.26249999995</v>
      </c>
    </row>
    <row r="300" spans="1:12">
      <c r="C300" s="8"/>
    </row>
    <row r="302" spans="1:12">
      <c r="A302" t="s">
        <v>567</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3828125" defaultRowHeight="12.45" outlineLevelRow="1"/>
  <cols>
    <col min="3" max="3" width="19.3828125" customWidth="1"/>
    <col min="8" max="8" width="13" bestFit="1" customWidth="1"/>
  </cols>
  <sheetData>
    <row r="2" spans="1:15" s="9" customFormat="1" ht="15" thickBot="1">
      <c r="A2" s="81" t="s">
        <v>261</v>
      </c>
      <c r="B2" s="81" t="s">
        <v>262</v>
      </c>
      <c r="C2" s="76" t="s">
        <v>0</v>
      </c>
      <c r="D2" s="77"/>
      <c r="E2" s="77" t="s">
        <v>23</v>
      </c>
    </row>
    <row r="3" spans="1:15" s="9" customFormat="1" ht="15.45" thickTop="1" thickBot="1">
      <c r="A3" s="80" t="s">
        <v>229</v>
      </c>
      <c r="B3" s="80" t="s">
        <v>246</v>
      </c>
      <c r="C3" s="80" t="s">
        <v>42</v>
      </c>
      <c r="D3" s="78"/>
      <c r="E3" s="79">
        <f>Fridges!F17</f>
        <v>1.1879983500000002</v>
      </c>
    </row>
    <row r="4" spans="1:15" s="9" customFormat="1" ht="15.45" thickTop="1" thickBot="1">
      <c r="A4" s="80" t="s">
        <v>229</v>
      </c>
      <c r="B4" s="80" t="s">
        <v>252</v>
      </c>
      <c r="C4" s="80" t="s">
        <v>42</v>
      </c>
      <c r="D4" s="78"/>
      <c r="E4" s="79">
        <f>Fridges!F20</f>
        <v>1.6055999600000002</v>
      </c>
    </row>
    <row r="5" spans="1:15" s="9" customFormat="1" ht="15.45" thickTop="1" thickBot="1">
      <c r="A5" s="80" t="s">
        <v>229</v>
      </c>
      <c r="B5" s="80" t="s">
        <v>257</v>
      </c>
      <c r="C5" s="80" t="s">
        <v>42</v>
      </c>
      <c r="D5" s="78"/>
      <c r="E5" s="79">
        <f>Fridges!F23</f>
        <v>2.9051999999999998</v>
      </c>
    </row>
    <row r="6" spans="1:15" s="9" customFormat="1" ht="15.45" thickTop="1" thickBot="1">
      <c r="A6" s="80" t="s">
        <v>229</v>
      </c>
      <c r="B6" s="80" t="s">
        <v>247</v>
      </c>
      <c r="C6" s="80" t="s">
        <v>42</v>
      </c>
      <c r="D6" s="78"/>
      <c r="E6" s="79"/>
    </row>
    <row r="7" spans="1:15" s="9" customFormat="1" ht="15.45" thickTop="1" thickBot="1">
      <c r="A7" s="80" t="s">
        <v>229</v>
      </c>
      <c r="B7" s="80" t="s">
        <v>253</v>
      </c>
      <c r="C7" s="80" t="s">
        <v>42</v>
      </c>
      <c r="D7" s="78"/>
      <c r="E7" s="79"/>
    </row>
    <row r="8" spans="1:15" s="9" customFormat="1" ht="15.45" thickTop="1" thickBot="1">
      <c r="A8" s="80" t="s">
        <v>229</v>
      </c>
      <c r="B8" s="80" t="s">
        <v>258</v>
      </c>
      <c r="C8" s="80" t="s">
        <v>42</v>
      </c>
      <c r="D8" s="78"/>
      <c r="E8" s="79"/>
    </row>
    <row r="9" spans="1:15" s="9" customFormat="1" ht="15.45" thickTop="1" thickBot="1">
      <c r="A9" s="80" t="s">
        <v>231</v>
      </c>
      <c r="B9" s="80" t="s">
        <v>287</v>
      </c>
      <c r="C9" s="80" t="s">
        <v>17</v>
      </c>
      <c r="D9" s="78"/>
      <c r="E9" s="109"/>
    </row>
    <row r="10" spans="1:15" s="9" customFormat="1" ht="15.45" thickTop="1" thickBot="1">
      <c r="A10" s="80" t="s">
        <v>231</v>
      </c>
      <c r="B10" s="80" t="s">
        <v>288</v>
      </c>
      <c r="C10" s="80" t="s">
        <v>17</v>
      </c>
      <c r="D10" s="78"/>
      <c r="E10" s="79"/>
    </row>
    <row r="11" spans="1:15" s="9" customFormat="1" ht="15.45" thickTop="1" thickBot="1">
      <c r="A11" s="80" t="s">
        <v>231</v>
      </c>
      <c r="B11" s="80" t="s">
        <v>289</v>
      </c>
      <c r="C11" s="80" t="s">
        <v>17</v>
      </c>
      <c r="D11" s="78"/>
      <c r="E11" s="79"/>
    </row>
    <row r="12" spans="1:15" s="9" customFormat="1" ht="15.45" thickTop="1" thickBot="1">
      <c r="A12" s="80" t="s">
        <v>231</v>
      </c>
      <c r="B12" s="80" t="s">
        <v>291</v>
      </c>
      <c r="C12" s="80" t="s">
        <v>17</v>
      </c>
      <c r="D12" s="78"/>
      <c r="E12" s="109"/>
    </row>
    <row r="13" spans="1:15" s="9" customFormat="1" ht="15" thickTop="1">
      <c r="A13" s="80" t="s">
        <v>231</v>
      </c>
      <c r="B13" s="80" t="s">
        <v>290</v>
      </c>
      <c r="C13" s="80" t="s">
        <v>17</v>
      </c>
      <c r="D13" s="78"/>
      <c r="E13" s="79"/>
      <c r="F13" s="10"/>
      <c r="G13" s="10"/>
      <c r="H13" s="10"/>
      <c r="I13" s="10"/>
      <c r="J13" s="10"/>
      <c r="K13" s="10"/>
      <c r="L13" s="10"/>
      <c r="M13" s="10"/>
    </row>
    <row r="14" spans="1:15" s="9" customFormat="1" ht="14.6">
      <c r="A14" s="83"/>
      <c r="B14" s="83"/>
      <c r="C14" s="83"/>
      <c r="D14" s="83"/>
      <c r="E14" s="84"/>
      <c r="F14" s="10"/>
      <c r="G14" s="10"/>
      <c r="H14" s="10"/>
      <c r="I14" s="10"/>
      <c r="J14" s="10"/>
      <c r="K14" s="10"/>
      <c r="L14" s="10"/>
      <c r="M14" s="10"/>
    </row>
    <row r="15" spans="1:15">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149999999999999">
      <c r="A27" s="322" t="s">
        <v>666</v>
      </c>
    </row>
    <row r="29" spans="1:16">
      <c r="F29" t="s">
        <v>654</v>
      </c>
    </row>
    <row r="30" spans="1:16">
      <c r="A30" t="s">
        <v>652</v>
      </c>
      <c r="F30" t="s">
        <v>653</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c r="A33" s="319" t="s">
        <v>27</v>
      </c>
      <c r="B33" s="318">
        <v>14450161</v>
      </c>
      <c r="F33" s="319" t="s">
        <v>279</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2.75">
      <c r="A38" s="321" t="s">
        <v>665</v>
      </c>
    </row>
    <row r="40" spans="1:8" ht="19.75">
      <c r="A40" s="278" t="s">
        <v>655</v>
      </c>
      <c r="B40" s="274"/>
      <c r="C40" s="274"/>
    </row>
    <row r="41" spans="1:8" ht="19.75">
      <c r="A41" s="278" t="s">
        <v>656</v>
      </c>
      <c r="B41" s="274"/>
      <c r="C41" s="274"/>
    </row>
    <row r="42" spans="1:8" ht="19.75">
      <c r="A42" s="278" t="s">
        <v>657</v>
      </c>
      <c r="B42" s="274"/>
      <c r="C42" s="274"/>
    </row>
    <row r="43" spans="1:8">
      <c r="A43" s="274"/>
      <c r="B43" s="274"/>
      <c r="C43" s="274"/>
    </row>
    <row r="44" spans="1:8" ht="19.75">
      <c r="A44" s="278" t="s">
        <v>441</v>
      </c>
      <c r="B44" s="274"/>
      <c r="C44" s="274" t="s">
        <v>655</v>
      </c>
    </row>
    <row r="45" spans="1:8">
      <c r="A45" s="274" t="s">
        <v>442</v>
      </c>
      <c r="B45" s="274" t="s">
        <v>658</v>
      </c>
      <c r="C45" s="274"/>
    </row>
    <row r="46" spans="1:8">
      <c r="A46" s="274"/>
      <c r="B46" s="274"/>
      <c r="C46" s="274"/>
    </row>
    <row r="47" spans="1:8">
      <c r="A47" s="613" t="s">
        <v>659</v>
      </c>
      <c r="B47" s="612"/>
      <c r="C47" s="273" t="s">
        <v>658</v>
      </c>
    </row>
    <row r="48" spans="1:8" ht="62.15">
      <c r="A48" s="275" t="s">
        <v>660</v>
      </c>
      <c r="B48" s="275" t="s">
        <v>661</v>
      </c>
      <c r="C48" s="274"/>
    </row>
    <row r="49" spans="1:3">
      <c r="A49" s="617" t="s">
        <v>662</v>
      </c>
      <c r="B49" s="276" t="s">
        <v>662</v>
      </c>
      <c r="C49" s="277">
        <v>10346108.0580603</v>
      </c>
    </row>
    <row r="50" spans="1:3" ht="37.299999999999997">
      <c r="A50" s="612"/>
      <c r="B50" s="276" t="s">
        <v>663</v>
      </c>
      <c r="C50" s="277">
        <v>3346922.7480302001</v>
      </c>
    </row>
    <row r="51" spans="1:3" ht="37.299999999999997">
      <c r="A51" s="612"/>
      <c r="B51" s="276" t="s">
        <v>664</v>
      </c>
      <c r="C51" s="277">
        <v>26403112.9382765</v>
      </c>
    </row>
    <row r="52" spans="1:3">
      <c r="A52" s="612"/>
      <c r="B52" s="276" t="s">
        <v>279</v>
      </c>
      <c r="C52" s="277">
        <v>530920.0628971</v>
      </c>
    </row>
    <row r="53" spans="1:3">
      <c r="A53" s="612"/>
      <c r="B53" s="276" t="s">
        <v>27</v>
      </c>
      <c r="C53" s="277">
        <v>40627063.807263501</v>
      </c>
    </row>
    <row r="54" spans="1:3">
      <c r="A54" s="617" t="s">
        <v>663</v>
      </c>
      <c r="B54" s="276" t="s">
        <v>662</v>
      </c>
      <c r="C54" s="277">
        <v>318793.32804669999</v>
      </c>
    </row>
    <row r="55" spans="1:3" ht="37.299999999999997">
      <c r="A55" s="612"/>
      <c r="B55" s="276" t="s">
        <v>663</v>
      </c>
      <c r="C55" s="277">
        <v>975904.78942289995</v>
      </c>
    </row>
    <row r="56" spans="1:3" ht="37.299999999999997">
      <c r="A56" s="612"/>
      <c r="B56" s="276" t="s">
        <v>664</v>
      </c>
      <c r="C56" s="277">
        <v>836656.96756200003</v>
      </c>
    </row>
    <row r="57" spans="1:3">
      <c r="A57" s="612"/>
      <c r="B57" s="276" t="s">
        <v>279</v>
      </c>
      <c r="C57" s="277">
        <v>11121.95803</v>
      </c>
    </row>
    <row r="58" spans="1:3">
      <c r="A58" s="612"/>
      <c r="B58" s="276" t="s">
        <v>27</v>
      </c>
      <c r="C58" s="277">
        <v>2142477.0430616001</v>
      </c>
    </row>
    <row r="59" spans="1:3">
      <c r="A59" s="617" t="s">
        <v>664</v>
      </c>
      <c r="B59" s="276" t="s">
        <v>662</v>
      </c>
      <c r="C59" s="277">
        <v>3515718.7135239998</v>
      </c>
    </row>
    <row r="60" spans="1:3" ht="37.299999999999997">
      <c r="A60" s="612"/>
      <c r="B60" s="276" t="s">
        <v>663</v>
      </c>
      <c r="C60" s="277">
        <v>128364.63808030001</v>
      </c>
    </row>
    <row r="61" spans="1:3" ht="37.299999999999997">
      <c r="A61" s="612"/>
      <c r="B61" s="276" t="s">
        <v>664</v>
      </c>
      <c r="C61" s="277">
        <v>8042799.6635534</v>
      </c>
    </row>
    <row r="62" spans="1:3">
      <c r="A62" s="612"/>
      <c r="B62" s="276" t="s">
        <v>279</v>
      </c>
      <c r="C62" s="277">
        <v>6784.6686466000001</v>
      </c>
    </row>
    <row r="63" spans="1:3">
      <c r="A63" s="612"/>
      <c r="B63" s="276" t="s">
        <v>27</v>
      </c>
      <c r="C63" s="277">
        <v>11693667.6838043</v>
      </c>
    </row>
    <row r="64" spans="1:3">
      <c r="A64" s="617" t="s">
        <v>279</v>
      </c>
      <c r="B64" s="276" t="s">
        <v>662</v>
      </c>
      <c r="C64" s="277">
        <v>85636.514467800007</v>
      </c>
    </row>
    <row r="65" spans="1:7" ht="37.299999999999997">
      <c r="A65" s="612"/>
      <c r="B65" s="276" t="s">
        <v>663</v>
      </c>
      <c r="C65" s="277">
        <v>7633.0913972999997</v>
      </c>
    </row>
    <row r="66" spans="1:7" ht="37.299999999999997">
      <c r="A66" s="612"/>
      <c r="B66" s="276" t="s">
        <v>664</v>
      </c>
      <c r="C66" s="277">
        <v>26830.0804675</v>
      </c>
    </row>
    <row r="67" spans="1:7">
      <c r="A67" s="612"/>
      <c r="B67" s="276" t="s">
        <v>279</v>
      </c>
      <c r="C67" s="277">
        <v>184119.02966619999</v>
      </c>
    </row>
    <row r="68" spans="1:7">
      <c r="A68" s="612"/>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14" t="s">
        <v>667</v>
      </c>
      <c r="B73" s="614"/>
      <c r="C73" s="614"/>
      <c r="D73" s="614"/>
      <c r="E73" s="614"/>
      <c r="F73" s="614"/>
      <c r="G73" s="614"/>
    </row>
    <row r="74" spans="1:7">
      <c r="A74" s="319"/>
      <c r="B74" s="318"/>
      <c r="F74" s="319"/>
      <c r="G74" s="318"/>
    </row>
    <row r="75" spans="1:7">
      <c r="A75" s="319"/>
      <c r="B75" s="318"/>
      <c r="F75" s="319"/>
      <c r="G75" s="318"/>
    </row>
    <row r="77" spans="1:7">
      <c r="A77" s="616" t="s">
        <v>631</v>
      </c>
      <c r="B77" s="616"/>
      <c r="C77" s="616"/>
      <c r="D77" s="313" t="s">
        <v>632</v>
      </c>
    </row>
    <row r="78" spans="1:7" ht="44.15" customHeight="1">
      <c r="A78" s="616"/>
      <c r="B78" s="616"/>
      <c r="C78" s="616"/>
      <c r="D78" s="313" t="s">
        <v>633</v>
      </c>
    </row>
    <row r="79" spans="1:7" ht="21.45">
      <c r="A79" s="615" t="s">
        <v>634</v>
      </c>
      <c r="B79" s="313" t="s">
        <v>635</v>
      </c>
      <c r="C79" s="314" t="s">
        <v>50</v>
      </c>
      <c r="D79" s="315">
        <v>8552460</v>
      </c>
    </row>
    <row r="80" spans="1:7" ht="32.15">
      <c r="A80" s="615"/>
      <c r="B80" s="313" t="s">
        <v>636</v>
      </c>
      <c r="C80" s="314" t="s">
        <v>50</v>
      </c>
      <c r="D80" s="315">
        <v>35278358</v>
      </c>
    </row>
    <row r="81" spans="1:12">
      <c r="A81" s="615" t="s">
        <v>632</v>
      </c>
      <c r="B81" s="615"/>
      <c r="C81" s="615"/>
      <c r="D81" s="315">
        <v>39777584</v>
      </c>
    </row>
    <row r="83" spans="1:12">
      <c r="A83" s="140" t="s">
        <v>637</v>
      </c>
    </row>
    <row r="84" spans="1:12">
      <c r="A84" s="316" t="s">
        <v>47</v>
      </c>
    </row>
    <row r="85" spans="1:12">
      <c r="A85" s="316" t="s">
        <v>47</v>
      </c>
    </row>
    <row r="88" spans="1:12">
      <c r="A88" s="616" t="s">
        <v>631</v>
      </c>
      <c r="B88" s="616"/>
      <c r="C88" s="616"/>
      <c r="D88" s="615" t="s">
        <v>638</v>
      </c>
      <c r="E88" s="615"/>
      <c r="F88" s="615"/>
      <c r="G88" s="615"/>
      <c r="H88" s="615"/>
      <c r="I88" s="615"/>
      <c r="J88" s="615"/>
      <c r="K88" s="615"/>
      <c r="L88" s="615" t="s">
        <v>632</v>
      </c>
    </row>
    <row r="89" spans="1:12">
      <c r="A89" s="616"/>
      <c r="B89" s="616"/>
      <c r="C89" s="616"/>
      <c r="D89" s="615" t="s">
        <v>639</v>
      </c>
      <c r="E89" s="615"/>
      <c r="F89" s="615"/>
      <c r="G89" s="615"/>
      <c r="H89" s="615"/>
      <c r="I89" s="615"/>
      <c r="J89" s="615"/>
      <c r="K89" s="615"/>
      <c r="L89" s="615"/>
    </row>
    <row r="90" spans="1:12" ht="33" customHeight="1">
      <c r="A90" s="616"/>
      <c r="B90" s="616"/>
      <c r="C90" s="616"/>
      <c r="D90" s="313" t="s">
        <v>640</v>
      </c>
      <c r="E90" s="313" t="s">
        <v>641</v>
      </c>
      <c r="F90" s="313" t="s">
        <v>642</v>
      </c>
      <c r="G90" s="313" t="s">
        <v>643</v>
      </c>
      <c r="H90" s="313" t="s">
        <v>644</v>
      </c>
      <c r="I90" s="313" t="s">
        <v>645</v>
      </c>
      <c r="J90" s="313" t="s">
        <v>646</v>
      </c>
      <c r="K90" s="313" t="s">
        <v>647</v>
      </c>
      <c r="L90" s="615"/>
    </row>
    <row r="91" spans="1:12" ht="37" customHeight="1">
      <c r="A91" s="616"/>
      <c r="B91" s="616"/>
      <c r="C91" s="616"/>
      <c r="D91" s="313" t="s">
        <v>633</v>
      </c>
      <c r="E91" s="313" t="s">
        <v>633</v>
      </c>
      <c r="F91" s="313" t="s">
        <v>633</v>
      </c>
      <c r="G91" s="313" t="s">
        <v>633</v>
      </c>
      <c r="H91" s="313" t="s">
        <v>633</v>
      </c>
      <c r="I91" s="313" t="s">
        <v>633</v>
      </c>
      <c r="J91" s="313" t="s">
        <v>633</v>
      </c>
      <c r="K91" s="313" t="s">
        <v>633</v>
      </c>
      <c r="L91" s="313" t="s">
        <v>633</v>
      </c>
    </row>
    <row r="92" spans="1:12" ht="21.45">
      <c r="A92" s="615"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2.15">
      <c r="A93" s="615"/>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15" t="s">
        <v>632</v>
      </c>
      <c r="B94" s="615"/>
      <c r="C94" s="615"/>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16" t="s">
        <v>649</v>
      </c>
      <c r="B101" s="616"/>
      <c r="C101" s="616"/>
      <c r="D101" s="615" t="s">
        <v>638</v>
      </c>
      <c r="E101" s="615"/>
      <c r="F101" s="615"/>
      <c r="G101" s="615"/>
      <c r="H101" s="615"/>
      <c r="I101" s="615"/>
      <c r="J101" s="615"/>
      <c r="K101" s="615"/>
      <c r="L101" s="615" t="s">
        <v>632</v>
      </c>
    </row>
    <row r="102" spans="1:12">
      <c r="A102" s="616"/>
      <c r="B102" s="616"/>
      <c r="C102" s="616"/>
      <c r="D102" s="615" t="s">
        <v>639</v>
      </c>
      <c r="E102" s="615"/>
      <c r="F102" s="615"/>
      <c r="G102" s="615"/>
      <c r="H102" s="615"/>
      <c r="I102" s="615"/>
      <c r="J102" s="615"/>
      <c r="K102" s="615"/>
      <c r="L102" s="615"/>
    </row>
    <row r="103" spans="1:12" ht="21.45">
      <c r="A103" s="616"/>
      <c r="B103" s="616"/>
      <c r="C103" s="616"/>
      <c r="D103" s="313" t="s">
        <v>640</v>
      </c>
      <c r="E103" s="313" t="s">
        <v>641</v>
      </c>
      <c r="F103" s="313" t="s">
        <v>642</v>
      </c>
      <c r="G103" s="313" t="s">
        <v>643</v>
      </c>
      <c r="H103" s="313" t="s">
        <v>644</v>
      </c>
      <c r="I103" s="313" t="s">
        <v>645</v>
      </c>
      <c r="J103" s="313" t="s">
        <v>646</v>
      </c>
      <c r="K103" s="313" t="s">
        <v>647</v>
      </c>
      <c r="L103" s="615"/>
    </row>
    <row r="104" spans="1:12" ht="34" customHeight="1">
      <c r="A104" s="616"/>
      <c r="B104" s="616"/>
      <c r="C104" s="616"/>
      <c r="D104" s="313" t="s">
        <v>650</v>
      </c>
      <c r="E104" s="313" t="s">
        <v>650</v>
      </c>
      <c r="F104" s="313" t="s">
        <v>650</v>
      </c>
      <c r="G104" s="313" t="s">
        <v>650</v>
      </c>
      <c r="H104" s="313" t="s">
        <v>650</v>
      </c>
      <c r="I104" s="313" t="s">
        <v>650</v>
      </c>
      <c r="J104" s="313" t="s">
        <v>650</v>
      </c>
      <c r="K104" s="313" t="s">
        <v>650</v>
      </c>
      <c r="L104" s="313" t="s">
        <v>650</v>
      </c>
    </row>
    <row r="105" spans="1:12" ht="21.45">
      <c r="A105" s="615"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2.15">
      <c r="A106" s="615"/>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15" t="s">
        <v>632</v>
      </c>
      <c r="B107" s="615"/>
      <c r="C107" s="615"/>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14" t="s">
        <v>712</v>
      </c>
      <c r="B119" s="614"/>
      <c r="C119" s="614"/>
      <c r="D119" s="614"/>
      <c r="E119" s="614"/>
      <c r="F119" s="614"/>
      <c r="G119" s="614"/>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77:C78"/>
    <mergeCell ref="A79:A80"/>
    <mergeCell ref="A81:C81"/>
    <mergeCell ref="A47:B47"/>
    <mergeCell ref="A49:A53"/>
    <mergeCell ref="A54:A58"/>
    <mergeCell ref="A59:A63"/>
    <mergeCell ref="A73:G73"/>
    <mergeCell ref="A64:A68"/>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14" zoomScale="110" zoomScaleNormal="110" workbookViewId="0">
      <selection activeCell="R27" sqref="R27"/>
    </sheetView>
  </sheetViews>
  <sheetFormatPr defaultColWidth="8.84375" defaultRowHeight="12.45" outlineLevelRow="1"/>
  <cols>
    <col min="2" max="2" width="15.3828125" customWidth="1"/>
    <col min="3" max="3" width="24.3828125" bestFit="1" customWidth="1"/>
    <col min="4" max="4" width="12.84375" customWidth="1"/>
  </cols>
  <sheetData>
    <row r="1" spans="1:52" ht="14.6">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18">
        <v>2017</v>
      </c>
      <c r="H6" s="618"/>
      <c r="I6" s="618"/>
      <c r="J6" s="33" t="str">
        <f>IF(F6="","",INDEX(#REF!,MATCH(F6,#REF!,0),0))</f>
        <v/>
      </c>
      <c r="K6" s="33" t="str">
        <f>IF(I6=""," ",G6&amp;INDEX(#REF!,MATCH(I6,#REF!,0),0))</f>
        <v xml:space="preserve"> </v>
      </c>
      <c r="L6" s="132"/>
      <c r="M6" s="619">
        <v>2012</v>
      </c>
      <c r="N6" s="620"/>
      <c r="O6" s="621"/>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c r="B13" s="627" t="s">
        <v>213</v>
      </c>
      <c r="C13" s="628"/>
      <c r="D13" s="373"/>
      <c r="E13" s="373"/>
      <c r="F13" s="373"/>
      <c r="G13" s="374">
        <v>6</v>
      </c>
      <c r="H13" s="374">
        <v>6</v>
      </c>
      <c r="I13" s="374">
        <v>6</v>
      </c>
      <c r="J13" s="374"/>
      <c r="K13" s="374"/>
      <c r="L13">
        <v>0</v>
      </c>
      <c r="M13" s="427">
        <v>2.8</v>
      </c>
    </row>
    <row r="14" spans="1:52">
      <c r="B14" s="627" t="s">
        <v>234</v>
      </c>
      <c r="C14" s="628"/>
      <c r="D14" s="373"/>
      <c r="E14" s="373"/>
      <c r="F14" s="373"/>
      <c r="G14" s="374">
        <v>1</v>
      </c>
      <c r="H14" s="374">
        <v>1</v>
      </c>
      <c r="I14" s="374">
        <v>1</v>
      </c>
      <c r="J14" s="374">
        <v>3</v>
      </c>
      <c r="K14" s="374">
        <v>4</v>
      </c>
      <c r="L14" s="374"/>
      <c r="M14" s="428">
        <v>3</v>
      </c>
    </row>
    <row r="15" spans="1:52" ht="13.5" customHeight="1">
      <c r="B15" s="623" t="s">
        <v>269</v>
      </c>
      <c r="C15" s="624"/>
      <c r="D15" s="373"/>
      <c r="E15" s="373"/>
      <c r="F15" s="373"/>
      <c r="G15" s="374">
        <v>4.5339999999999998</v>
      </c>
      <c r="H15" s="374">
        <v>5.6760000000000002</v>
      </c>
      <c r="I15" s="374">
        <v>8.6690000000000005</v>
      </c>
      <c r="J15" s="374"/>
      <c r="K15" s="374"/>
      <c r="L15" s="374"/>
      <c r="M15">
        <v>2</v>
      </c>
    </row>
    <row r="16" spans="1:52" ht="14.6">
      <c r="B16" s="625" t="s">
        <v>270</v>
      </c>
      <c r="C16" s="626"/>
      <c r="D16" s="373"/>
      <c r="E16" s="373"/>
      <c r="F16" s="373"/>
      <c r="G16" s="374">
        <f>G15*G14</f>
        <v>4.5339999999999998</v>
      </c>
      <c r="H16" s="374">
        <f t="shared" ref="H16:I16" si="2">H15*H14</f>
        <v>5.6760000000000002</v>
      </c>
      <c r="I16" s="374">
        <f t="shared" si="2"/>
        <v>8.6690000000000005</v>
      </c>
      <c r="J16" s="374"/>
      <c r="K16" s="374"/>
      <c r="L16" s="374"/>
    </row>
    <row r="17" spans="1:111" ht="14.6">
      <c r="B17" s="625" t="s">
        <v>215</v>
      </c>
      <c r="C17" s="626"/>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4.6">
      <c r="B18" s="622" t="s">
        <v>775</v>
      </c>
      <c r="C18" s="622"/>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41.6">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2.6"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4.9">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9">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9">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9">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9">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9">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9">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9">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9">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9">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41.6">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2.6"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4.9">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9">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9">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9">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9">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9">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9">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9">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9">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9">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E23" sqref="E23"/>
    </sheetView>
  </sheetViews>
  <sheetFormatPr defaultColWidth="10.84375" defaultRowHeight="12.4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879</v>
      </c>
      <c r="R2">
        <v>2</v>
      </c>
    </row>
    <row r="3" spans="1:18">
      <c r="A3" s="1" t="s">
        <v>844</v>
      </c>
      <c r="R3">
        <v>3</v>
      </c>
    </row>
    <row r="4" spans="1:18">
      <c r="A4" s="1" t="s">
        <v>845</v>
      </c>
      <c r="I4" s="1" t="s">
        <v>880</v>
      </c>
      <c r="R4">
        <v>4</v>
      </c>
    </row>
    <row r="5" spans="1:18" ht="14.6">
      <c r="A5" s="437" t="s">
        <v>884</v>
      </c>
      <c r="R5">
        <v>5</v>
      </c>
    </row>
    <row r="6" spans="1:18" ht="16.3" thickBot="1">
      <c r="A6" s="433"/>
      <c r="B6" s="434">
        <v>2020</v>
      </c>
      <c r="C6" s="434">
        <v>2030</v>
      </c>
      <c r="D6" s="434">
        <v>2040</v>
      </c>
      <c r="E6" s="1" t="s">
        <v>854</v>
      </c>
      <c r="L6" s="1" t="s">
        <v>855</v>
      </c>
      <c r="R6">
        <v>6</v>
      </c>
    </row>
    <row r="7" spans="1:18" ht="16.3" thickBot="1">
      <c r="A7" s="435" t="s">
        <v>846</v>
      </c>
      <c r="B7" s="436"/>
      <c r="C7" s="436"/>
      <c r="D7" s="436"/>
      <c r="L7">
        <v>2017</v>
      </c>
      <c r="M7">
        <v>2020</v>
      </c>
      <c r="N7">
        <v>2030</v>
      </c>
      <c r="O7">
        <v>2040</v>
      </c>
      <c r="P7">
        <v>2050</v>
      </c>
      <c r="R7">
        <v>7</v>
      </c>
    </row>
    <row r="8" spans="1:18" ht="14.6">
      <c r="A8" s="437" t="s">
        <v>847</v>
      </c>
      <c r="B8" s="438">
        <v>0.99</v>
      </c>
      <c r="C8" s="438">
        <f>C28</f>
        <v>0.92</v>
      </c>
      <c r="D8" s="438">
        <f>D28</f>
        <v>0.88</v>
      </c>
      <c r="I8" s="1" t="str">
        <f>A8</f>
        <v xml:space="preserve">   Cooking</v>
      </c>
      <c r="K8" s="1" t="s">
        <v>243</v>
      </c>
      <c r="L8" s="3">
        <v>0.8</v>
      </c>
      <c r="M8">
        <f>(1/B8)*$L8</f>
        <v>0.80808080808080818</v>
      </c>
      <c r="N8">
        <f t="shared" ref="N8:O11" si="0">(1/C8)*$L8</f>
        <v>0.86956521739130432</v>
      </c>
      <c r="O8">
        <f t="shared" si="0"/>
        <v>0.90909090909090917</v>
      </c>
      <c r="P8">
        <f>O8</f>
        <v>0.90909090909090917</v>
      </c>
      <c r="R8">
        <v>8</v>
      </c>
    </row>
    <row r="9" spans="1:18" ht="14.6">
      <c r="A9" s="437" t="s">
        <v>848</v>
      </c>
      <c r="B9" s="438">
        <v>0.99</v>
      </c>
      <c r="C9" s="438">
        <f t="shared" ref="C9:D9" si="1">C29</f>
        <v>0.89</v>
      </c>
      <c r="D9" s="438">
        <f t="shared" si="1"/>
        <v>0.68</v>
      </c>
      <c r="I9" s="1" t="str">
        <f>A9</f>
        <v xml:space="preserve">   Other appliances</v>
      </c>
      <c r="K9" s="1" t="s">
        <v>247</v>
      </c>
      <c r="L9">
        <v>0.8</v>
      </c>
      <c r="M9">
        <f t="shared" ref="M9:M11" si="2">(1/B9)*$L9</f>
        <v>0.80808080808080818</v>
      </c>
      <c r="N9">
        <f t="shared" si="0"/>
        <v>0.89887640449438211</v>
      </c>
      <c r="O9">
        <f t="shared" si="0"/>
        <v>1.1764705882352942</v>
      </c>
      <c r="P9">
        <f t="shared" ref="P9:P23" si="3">O9</f>
        <v>1.1764705882352942</v>
      </c>
      <c r="R9">
        <v>9</v>
      </c>
    </row>
    <row r="10" spans="1:18" ht="14.6">
      <c r="A10" s="437" t="s">
        <v>849</v>
      </c>
      <c r="B10" s="438">
        <v>0.86</v>
      </c>
      <c r="C10" s="438">
        <f t="shared" ref="C10:D10" si="4">C30</f>
        <v>0.47</v>
      </c>
      <c r="D10" s="438">
        <f t="shared" si="4"/>
        <v>0.39</v>
      </c>
      <c r="I10" s="1" t="str">
        <f>A10</f>
        <v xml:space="preserve">   Refrigeration</v>
      </c>
      <c r="K10" s="1" t="s">
        <v>246</v>
      </c>
      <c r="L10">
        <v>0.4</v>
      </c>
      <c r="M10">
        <f t="shared" si="2"/>
        <v>0.46511627906976749</v>
      </c>
      <c r="N10">
        <f t="shared" si="0"/>
        <v>0.85106382978723405</v>
      </c>
      <c r="O10">
        <f t="shared" si="0"/>
        <v>1.0256410256410255</v>
      </c>
      <c r="P10">
        <f t="shared" si="3"/>
        <v>1.0256410256410255</v>
      </c>
      <c r="R10">
        <v>10</v>
      </c>
    </row>
    <row r="11" spans="1:18" ht="14.6">
      <c r="A11" s="437" t="s">
        <v>850</v>
      </c>
      <c r="B11" s="438">
        <v>1</v>
      </c>
      <c r="C11" s="438">
        <v>1</v>
      </c>
      <c r="D11" s="438">
        <v>1</v>
      </c>
      <c r="I11" s="1" t="str">
        <f>A11</f>
        <v xml:space="preserve">   Space heating</v>
      </c>
      <c r="K11" s="1" t="s">
        <v>244</v>
      </c>
      <c r="L11">
        <v>0.94750000000000001</v>
      </c>
      <c r="M11">
        <f t="shared" si="2"/>
        <v>0.94750000000000001</v>
      </c>
      <c r="N11">
        <f t="shared" si="0"/>
        <v>0.94750000000000001</v>
      </c>
      <c r="O11">
        <f t="shared" si="0"/>
        <v>0.94750000000000001</v>
      </c>
      <c r="P11">
        <f t="shared" si="3"/>
        <v>0.94750000000000001</v>
      </c>
      <c r="R11">
        <v>11</v>
      </c>
    </row>
    <row r="12" spans="1:18" ht="16.3" thickBot="1">
      <c r="A12" s="435" t="s">
        <v>851</v>
      </c>
      <c r="B12" s="436"/>
      <c r="C12" s="436"/>
      <c r="D12" s="436"/>
      <c r="I12" s="1"/>
      <c r="R12">
        <v>12</v>
      </c>
    </row>
    <row r="13" spans="1:18" ht="14.6">
      <c r="A13" s="437" t="s">
        <v>852</v>
      </c>
      <c r="B13" s="438">
        <v>0.95</v>
      </c>
      <c r="C13" s="438">
        <f>C33</f>
        <v>0.88</v>
      </c>
      <c r="D13" s="438">
        <f>D33</f>
        <v>0.87</v>
      </c>
      <c r="I13" s="1" t="str">
        <f>A13</f>
        <v xml:space="preserve">    Hot water Geyser</v>
      </c>
      <c r="K13" t="str">
        <f>RES!D57</f>
        <v>RLEWG</v>
      </c>
      <c r="L13" s="3">
        <v>0.7</v>
      </c>
      <c r="M13">
        <f t="shared" ref="M13:O17" si="5">(1/B13)*$L13</f>
        <v>0.73684210526315785</v>
      </c>
      <c r="N13">
        <f t="shared" si="5"/>
        <v>0.79545454545454553</v>
      </c>
      <c r="O13">
        <f t="shared" si="5"/>
        <v>0.80459770114942519</v>
      </c>
      <c r="P13">
        <f t="shared" si="3"/>
        <v>0.80459770114942519</v>
      </c>
      <c r="R13">
        <v>13</v>
      </c>
    </row>
    <row r="14" spans="1:18" ht="14.6">
      <c r="A14" s="437" t="s">
        <v>847</v>
      </c>
      <c r="B14" s="438">
        <v>0.98</v>
      </c>
      <c r="C14" s="438">
        <f t="shared" ref="C14:D14" si="6">C34</f>
        <v>0.88</v>
      </c>
      <c r="D14" s="438">
        <f t="shared" si="6"/>
        <v>0.81</v>
      </c>
      <c r="I14" s="1" t="str">
        <f>A14</f>
        <v xml:space="preserve">   Cooking</v>
      </c>
      <c r="K14" s="1" t="s">
        <v>249</v>
      </c>
      <c r="L14">
        <v>0.65</v>
      </c>
      <c r="M14">
        <f t="shared" si="5"/>
        <v>0.66326530612244905</v>
      </c>
      <c r="N14">
        <f t="shared" si="5"/>
        <v>0.73863636363636376</v>
      </c>
      <c r="O14">
        <f t="shared" si="5"/>
        <v>0.80246913580246915</v>
      </c>
      <c r="P14">
        <f t="shared" si="3"/>
        <v>0.80246913580246915</v>
      </c>
      <c r="R14">
        <v>14</v>
      </c>
    </row>
    <row r="15" spans="1:18" ht="14.6">
      <c r="A15" s="437" t="s">
        <v>848</v>
      </c>
      <c r="B15" s="438">
        <v>0.99</v>
      </c>
      <c r="C15" s="438">
        <f t="shared" ref="C15:D16" si="7">C35</f>
        <v>0.9</v>
      </c>
      <c r="D15" s="438">
        <f t="shared" si="7"/>
        <v>0.73</v>
      </c>
      <c r="I15" s="1" t="str">
        <f>A15</f>
        <v xml:space="preserve">   Other appliances</v>
      </c>
      <c r="K15" s="1" t="s">
        <v>253</v>
      </c>
      <c r="L15">
        <v>0.8</v>
      </c>
      <c r="M15">
        <f t="shared" si="5"/>
        <v>0.80808080808080818</v>
      </c>
      <c r="N15">
        <f t="shared" si="5"/>
        <v>0.88888888888888895</v>
      </c>
      <c r="O15">
        <f t="shared" si="5"/>
        <v>1.095890410958904</v>
      </c>
      <c r="P15">
        <f t="shared" si="3"/>
        <v>1.095890410958904</v>
      </c>
      <c r="R15">
        <v>15</v>
      </c>
    </row>
    <row r="16" spans="1:18" ht="14.6">
      <c r="A16" s="437" t="s">
        <v>849</v>
      </c>
      <c r="B16" s="438">
        <v>0.86</v>
      </c>
      <c r="C16" s="438">
        <f t="shared" si="7"/>
        <v>0.47</v>
      </c>
      <c r="D16" s="438">
        <f t="shared" si="7"/>
        <v>0.39</v>
      </c>
      <c r="I16" s="1" t="str">
        <f>A16</f>
        <v xml:space="preserve">   Refrigeration</v>
      </c>
      <c r="K16" s="1" t="s">
        <v>252</v>
      </c>
      <c r="L16">
        <v>0.64200000000000002</v>
      </c>
      <c r="M16">
        <f t="shared" si="5"/>
        <v>0.74651162790697678</v>
      </c>
      <c r="N16">
        <f t="shared" si="5"/>
        <v>1.3659574468085107</v>
      </c>
      <c r="O16">
        <f t="shared" si="5"/>
        <v>1.6461538461538461</v>
      </c>
      <c r="P16">
        <f t="shared" si="3"/>
        <v>1.6461538461538461</v>
      </c>
      <c r="R16">
        <v>16</v>
      </c>
    </row>
    <row r="17" spans="1:18" ht="14.6">
      <c r="A17" s="437" t="s">
        <v>850</v>
      </c>
      <c r="B17" s="438">
        <v>1</v>
      </c>
      <c r="C17" s="438">
        <v>0.99</v>
      </c>
      <c r="D17" s="438">
        <v>0.95</v>
      </c>
      <c r="E17" t="s">
        <v>1066</v>
      </c>
      <c r="I17" s="1" t="str">
        <f>A17</f>
        <v xml:space="preserve">   Space heating</v>
      </c>
      <c r="K17" s="1" t="s">
        <v>250</v>
      </c>
      <c r="L17">
        <v>0.94750000000000012</v>
      </c>
      <c r="M17">
        <f t="shared" si="5"/>
        <v>0.94750000000000012</v>
      </c>
      <c r="N17">
        <f t="shared" si="5"/>
        <v>0.95707070707070729</v>
      </c>
      <c r="O17">
        <f t="shared" si="5"/>
        <v>0.99736842105263168</v>
      </c>
      <c r="P17">
        <f t="shared" si="3"/>
        <v>0.99736842105263168</v>
      </c>
      <c r="R17">
        <v>17</v>
      </c>
    </row>
    <row r="18" spans="1:18" ht="16.3" thickBot="1">
      <c r="A18" s="439" t="s">
        <v>853</v>
      </c>
      <c r="B18" s="440"/>
      <c r="C18" s="440"/>
      <c r="D18" s="440"/>
      <c r="I18" s="1"/>
      <c r="R18">
        <v>18</v>
      </c>
    </row>
    <row r="19" spans="1:18" ht="14.6">
      <c r="A19" s="437" t="s">
        <v>852</v>
      </c>
      <c r="B19" s="438">
        <v>0.97</v>
      </c>
      <c r="C19" s="438">
        <f>C39</f>
        <v>0.88</v>
      </c>
      <c r="D19" s="438">
        <f>D39</f>
        <v>0.84</v>
      </c>
      <c r="I19" s="1" t="str">
        <f>A19</f>
        <v xml:space="preserve">    Hot water Geyser</v>
      </c>
      <c r="L19" s="3">
        <v>0.7</v>
      </c>
      <c r="M19">
        <f t="shared" ref="M19:O23" si="8">(1/B19)*$L19</f>
        <v>0.72164948453608246</v>
      </c>
      <c r="N19">
        <f t="shared" si="8"/>
        <v>0.79545454545454553</v>
      </c>
      <c r="O19">
        <f t="shared" si="8"/>
        <v>0.83333333333333326</v>
      </c>
      <c r="P19">
        <f t="shared" si="3"/>
        <v>0.83333333333333326</v>
      </c>
      <c r="R19">
        <v>19</v>
      </c>
    </row>
    <row r="20" spans="1:18" ht="14.6">
      <c r="A20" s="437" t="s">
        <v>847</v>
      </c>
      <c r="B20" s="438">
        <v>0.97</v>
      </c>
      <c r="C20" s="438">
        <f t="shared" ref="C20:D20" si="9">C40</f>
        <v>0.84</v>
      </c>
      <c r="D20" s="438">
        <f t="shared" si="9"/>
        <v>0.75</v>
      </c>
      <c r="I20" s="1" t="str">
        <f>A20</f>
        <v xml:space="preserve">   Cooking</v>
      </c>
      <c r="K20" s="1" t="s">
        <v>255</v>
      </c>
      <c r="L20">
        <v>0.65</v>
      </c>
      <c r="M20">
        <f t="shared" si="8"/>
        <v>0.67010309278350522</v>
      </c>
      <c r="N20">
        <f t="shared" si="8"/>
        <v>0.77380952380952384</v>
      </c>
      <c r="O20">
        <f t="shared" si="8"/>
        <v>0.8666666666666667</v>
      </c>
      <c r="P20">
        <f t="shared" si="3"/>
        <v>0.8666666666666667</v>
      </c>
      <c r="R20">
        <v>20</v>
      </c>
    </row>
    <row r="21" spans="1:18" ht="14.6">
      <c r="A21" s="437" t="s">
        <v>848</v>
      </c>
      <c r="B21" s="438">
        <v>0.97</v>
      </c>
      <c r="C21" s="438">
        <f t="shared" ref="C21:D21" si="10">C41</f>
        <v>0.86</v>
      </c>
      <c r="D21" s="438">
        <f t="shared" si="10"/>
        <v>0.66</v>
      </c>
      <c r="I21" s="1" t="str">
        <f>A21</f>
        <v xml:space="preserve">   Other appliances</v>
      </c>
      <c r="K21" s="1" t="s">
        <v>258</v>
      </c>
      <c r="L21">
        <v>0.8</v>
      </c>
      <c r="M21">
        <f t="shared" si="8"/>
        <v>0.82474226804123729</v>
      </c>
      <c r="N21">
        <f t="shared" si="8"/>
        <v>0.93023255813953498</v>
      </c>
      <c r="O21">
        <f t="shared" si="8"/>
        <v>1.2121212121212122</v>
      </c>
      <c r="P21">
        <f t="shared" si="3"/>
        <v>1.2121212121212122</v>
      </c>
      <c r="R21">
        <v>21</v>
      </c>
    </row>
    <row r="22" spans="1:18" ht="14.6">
      <c r="A22" s="437" t="s">
        <v>849</v>
      </c>
      <c r="B22" s="438">
        <v>0.88</v>
      </c>
      <c r="C22" s="438">
        <f t="shared" ref="C22:D22" si="11">C42</f>
        <v>0.5</v>
      </c>
      <c r="D22" s="438">
        <f t="shared" si="11"/>
        <v>0.38</v>
      </c>
      <c r="I22" s="1" t="str">
        <f>A22</f>
        <v xml:space="preserve">   Refrigeration</v>
      </c>
      <c r="K22" s="1" t="s">
        <v>257</v>
      </c>
      <c r="L22">
        <v>0.64200000000000002</v>
      </c>
      <c r="M22">
        <f t="shared" si="8"/>
        <v>0.72954545454545461</v>
      </c>
      <c r="N22">
        <f t="shared" si="8"/>
        <v>1.284</v>
      </c>
      <c r="O22">
        <f t="shared" si="8"/>
        <v>1.6894736842105265</v>
      </c>
      <c r="P22">
        <f t="shared" si="3"/>
        <v>1.6894736842105265</v>
      </c>
      <c r="R22">
        <v>22</v>
      </c>
    </row>
    <row r="23" spans="1:18" ht="14.6">
      <c r="A23" s="437" t="s">
        <v>850</v>
      </c>
      <c r="B23" s="438">
        <v>1</v>
      </c>
      <c r="C23" s="438">
        <v>0.99</v>
      </c>
      <c r="D23" s="438">
        <v>0.9</v>
      </c>
      <c r="E23" t="s">
        <v>1066</v>
      </c>
      <c r="I23" s="1" t="str">
        <f>A23</f>
        <v xml:space="preserve">   Space heating</v>
      </c>
      <c r="K23" s="1" t="s">
        <v>239</v>
      </c>
      <c r="L23">
        <v>0.97249999999999992</v>
      </c>
      <c r="M23">
        <f t="shared" si="8"/>
        <v>0.97249999999999992</v>
      </c>
      <c r="N23">
        <f t="shared" si="8"/>
        <v>0.98232323232323226</v>
      </c>
      <c r="O23">
        <f t="shared" si="8"/>
        <v>1.0805555555555555</v>
      </c>
      <c r="P23">
        <f t="shared" si="3"/>
        <v>1.0805555555555555</v>
      </c>
      <c r="R23">
        <v>23</v>
      </c>
    </row>
    <row r="24" spans="1:18">
      <c r="R24">
        <v>24</v>
      </c>
    </row>
    <row r="25" spans="1:18" ht="14.6">
      <c r="A25" s="437" t="s">
        <v>884</v>
      </c>
      <c r="R25">
        <v>25</v>
      </c>
    </row>
    <row r="26" spans="1:18" ht="16.3" thickBot="1">
      <c r="A26" s="433"/>
      <c r="B26" s="434">
        <v>2020</v>
      </c>
      <c r="C26" s="434">
        <v>2030</v>
      </c>
      <c r="D26" s="434">
        <v>2040</v>
      </c>
      <c r="E26" s="1" t="s">
        <v>854</v>
      </c>
      <c r="L26" s="1" t="s">
        <v>855</v>
      </c>
      <c r="R26">
        <v>26</v>
      </c>
    </row>
    <row r="27" spans="1:18" ht="16.3" thickBot="1">
      <c r="A27" s="435" t="s">
        <v>846</v>
      </c>
      <c r="B27" s="436"/>
      <c r="C27" s="436"/>
      <c r="D27" s="436"/>
      <c r="L27">
        <v>2017</v>
      </c>
      <c r="M27">
        <v>2020</v>
      </c>
      <c r="N27">
        <v>2030</v>
      </c>
      <c r="O27">
        <v>2040</v>
      </c>
      <c r="P27">
        <v>2050</v>
      </c>
      <c r="R27">
        <v>27</v>
      </c>
    </row>
    <row r="28" spans="1:18" ht="14.6">
      <c r="A28" s="437" t="s">
        <v>847</v>
      </c>
      <c r="B28" s="438">
        <v>0.99</v>
      </c>
      <c r="C28" s="438">
        <v>0.92</v>
      </c>
      <c r="D28" s="438">
        <v>0.88</v>
      </c>
      <c r="I28" s="1" t="str">
        <f>A28</f>
        <v xml:space="preserve">   Cooking</v>
      </c>
      <c r="K28" s="1" t="s">
        <v>243</v>
      </c>
      <c r="L28" s="3">
        <v>0.8</v>
      </c>
      <c r="M28">
        <f>(1/B28)*$L28</f>
        <v>0.80808080808080818</v>
      </c>
      <c r="N28">
        <f t="shared" ref="N28:N31" si="12">(1/C28)*$L28</f>
        <v>0.86956521739130432</v>
      </c>
      <c r="O28">
        <f t="shared" ref="O28:O31" si="13">(1/D28)*$L28</f>
        <v>0.90909090909090917</v>
      </c>
      <c r="P28">
        <f>O28</f>
        <v>0.90909090909090917</v>
      </c>
      <c r="R28">
        <v>28</v>
      </c>
    </row>
    <row r="29" spans="1:18" ht="14.6">
      <c r="A29" s="437" t="s">
        <v>848</v>
      </c>
      <c r="B29" s="438">
        <v>0.99</v>
      </c>
      <c r="C29" s="438">
        <v>0.89</v>
      </c>
      <c r="D29" s="438">
        <v>0.68</v>
      </c>
      <c r="I29" s="1" t="str">
        <f>A29</f>
        <v xml:space="preserve">   Other appliances</v>
      </c>
      <c r="K29" s="1" t="s">
        <v>247</v>
      </c>
      <c r="L29">
        <v>0.8</v>
      </c>
      <c r="M29">
        <f t="shared" ref="M29:M31" si="14">(1/B29)*$L29</f>
        <v>0.80808080808080818</v>
      </c>
      <c r="N29">
        <f t="shared" si="12"/>
        <v>0.89887640449438211</v>
      </c>
      <c r="O29">
        <f t="shared" si="13"/>
        <v>1.1764705882352942</v>
      </c>
      <c r="P29">
        <f t="shared" ref="P29:P31" si="15">O29</f>
        <v>1.1764705882352942</v>
      </c>
      <c r="R29">
        <v>29</v>
      </c>
    </row>
    <row r="30" spans="1:18" ht="14.6">
      <c r="A30" s="437" t="s">
        <v>849</v>
      </c>
      <c r="B30" s="438">
        <v>0.86</v>
      </c>
      <c r="C30" s="438">
        <v>0.47</v>
      </c>
      <c r="D30" s="438">
        <v>0.39</v>
      </c>
      <c r="I30" s="1" t="str">
        <f>A30</f>
        <v xml:space="preserve">   Refrigeration</v>
      </c>
      <c r="K30" s="1" t="s">
        <v>246</v>
      </c>
      <c r="L30">
        <v>0.4</v>
      </c>
      <c r="M30">
        <f t="shared" si="14"/>
        <v>0.46511627906976749</v>
      </c>
      <c r="N30">
        <f t="shared" si="12"/>
        <v>0.85106382978723405</v>
      </c>
      <c r="O30">
        <f t="shared" si="13"/>
        <v>1.0256410256410255</v>
      </c>
      <c r="P30">
        <f t="shared" si="15"/>
        <v>1.0256410256410255</v>
      </c>
      <c r="R30">
        <v>30</v>
      </c>
    </row>
    <row r="31" spans="1:18" ht="14.6">
      <c r="A31" s="437" t="s">
        <v>850</v>
      </c>
      <c r="B31" s="438">
        <v>1</v>
      </c>
      <c r="C31" s="438">
        <v>1</v>
      </c>
      <c r="D31" s="438">
        <v>1</v>
      </c>
      <c r="I31" s="1" t="str">
        <f>A31</f>
        <v xml:space="preserve">   Space heating</v>
      </c>
      <c r="K31" s="1" t="s">
        <v>244</v>
      </c>
      <c r="L31">
        <v>0.94750000000000001</v>
      </c>
      <c r="M31">
        <f t="shared" si="14"/>
        <v>0.94750000000000001</v>
      </c>
      <c r="N31">
        <f t="shared" si="12"/>
        <v>0.94750000000000001</v>
      </c>
      <c r="O31">
        <f t="shared" si="13"/>
        <v>0.94750000000000001</v>
      </c>
      <c r="P31">
        <f t="shared" si="15"/>
        <v>0.94750000000000001</v>
      </c>
      <c r="R31">
        <v>31</v>
      </c>
    </row>
    <row r="32" spans="1:18" ht="16.3" thickBot="1">
      <c r="A32" s="435" t="s">
        <v>851</v>
      </c>
      <c r="B32" s="436"/>
      <c r="C32" s="436"/>
      <c r="D32" s="436"/>
      <c r="I32" s="1"/>
      <c r="R32">
        <v>32</v>
      </c>
    </row>
    <row r="33" spans="1:18" ht="14.6">
      <c r="A33" s="437" t="s">
        <v>852</v>
      </c>
      <c r="B33" s="438">
        <v>0.95</v>
      </c>
      <c r="C33" s="438">
        <v>0.88</v>
      </c>
      <c r="D33" s="438">
        <v>0.87</v>
      </c>
      <c r="I33" s="1" t="str">
        <f>A33</f>
        <v xml:space="preserve">    Hot water Geyser</v>
      </c>
      <c r="K33">
        <f>RES!D77</f>
        <v>0</v>
      </c>
      <c r="L33" s="3">
        <v>0.7</v>
      </c>
      <c r="M33">
        <f t="shared" ref="M33:M37" si="16">(1/B33)*$L33</f>
        <v>0.73684210526315785</v>
      </c>
      <c r="N33">
        <f t="shared" ref="N33:N37" si="17">(1/C33)*$L33</f>
        <v>0.79545454545454553</v>
      </c>
      <c r="O33">
        <f t="shared" ref="O33:O37" si="18">(1/D33)*$L33</f>
        <v>0.80459770114942519</v>
      </c>
      <c r="P33">
        <f t="shared" ref="P33:P37" si="19">O33</f>
        <v>0.80459770114942519</v>
      </c>
      <c r="R33">
        <v>33</v>
      </c>
    </row>
    <row r="34" spans="1:18" ht="14.6">
      <c r="A34" s="437" t="s">
        <v>847</v>
      </c>
      <c r="B34" s="438">
        <v>0.98</v>
      </c>
      <c r="C34" s="438">
        <v>0.88</v>
      </c>
      <c r="D34" s="438">
        <v>0.81</v>
      </c>
      <c r="I34" s="1" t="str">
        <f>A34</f>
        <v xml:space="preserve">   Cooking</v>
      </c>
      <c r="K34" s="1" t="s">
        <v>249</v>
      </c>
      <c r="L34">
        <v>0.65</v>
      </c>
      <c r="M34">
        <f t="shared" si="16"/>
        <v>0.66326530612244905</v>
      </c>
      <c r="N34">
        <f t="shared" si="17"/>
        <v>0.73863636363636376</v>
      </c>
      <c r="O34">
        <f t="shared" si="18"/>
        <v>0.80246913580246915</v>
      </c>
      <c r="P34">
        <f t="shared" si="19"/>
        <v>0.80246913580246915</v>
      </c>
      <c r="R34">
        <v>34</v>
      </c>
    </row>
    <row r="35" spans="1:18" ht="14.6">
      <c r="A35" s="437" t="s">
        <v>848</v>
      </c>
      <c r="B35" s="438">
        <v>0.99</v>
      </c>
      <c r="C35" s="438">
        <v>0.9</v>
      </c>
      <c r="D35" s="438">
        <v>0.73</v>
      </c>
      <c r="I35" s="1" t="str">
        <f>A35</f>
        <v xml:space="preserve">   Other appliances</v>
      </c>
      <c r="K35" s="1" t="s">
        <v>253</v>
      </c>
      <c r="L35">
        <v>0.8</v>
      </c>
      <c r="M35">
        <f t="shared" si="16"/>
        <v>0.80808080808080818</v>
      </c>
      <c r="N35">
        <f t="shared" si="17"/>
        <v>0.88888888888888895</v>
      </c>
      <c r="O35">
        <f>(1/D35)*$L35</f>
        <v>1.095890410958904</v>
      </c>
      <c r="P35">
        <f t="shared" si="19"/>
        <v>1.095890410958904</v>
      </c>
      <c r="R35">
        <v>35</v>
      </c>
    </row>
    <row r="36" spans="1:18" ht="14.6">
      <c r="A36" s="437" t="s">
        <v>849</v>
      </c>
      <c r="B36" s="438">
        <v>0.86</v>
      </c>
      <c r="C36" s="438">
        <v>0.47</v>
      </c>
      <c r="D36" s="438">
        <v>0.39</v>
      </c>
      <c r="I36" s="1" t="str">
        <f>A36</f>
        <v xml:space="preserve">   Refrigeration</v>
      </c>
      <c r="K36" s="1" t="s">
        <v>252</v>
      </c>
      <c r="L36">
        <v>0.64200000000000002</v>
      </c>
      <c r="M36">
        <f t="shared" si="16"/>
        <v>0.74651162790697678</v>
      </c>
      <c r="N36">
        <f t="shared" si="17"/>
        <v>1.3659574468085107</v>
      </c>
      <c r="O36">
        <f t="shared" si="18"/>
        <v>1.6461538461538461</v>
      </c>
      <c r="P36">
        <f t="shared" si="19"/>
        <v>1.6461538461538461</v>
      </c>
      <c r="R36">
        <v>36</v>
      </c>
    </row>
    <row r="37" spans="1:18" ht="14.6">
      <c r="A37" s="437" t="s">
        <v>850</v>
      </c>
      <c r="B37" s="438">
        <v>1</v>
      </c>
      <c r="C37" s="438">
        <v>1</v>
      </c>
      <c r="D37" s="438">
        <v>1</v>
      </c>
      <c r="I37" s="1" t="str">
        <f>A37</f>
        <v xml:space="preserve">   Space heating</v>
      </c>
      <c r="K37" s="1" t="s">
        <v>250</v>
      </c>
      <c r="L37">
        <v>0.94750000000000012</v>
      </c>
      <c r="M37">
        <f t="shared" si="16"/>
        <v>0.94750000000000012</v>
      </c>
      <c r="N37">
        <f t="shared" si="17"/>
        <v>0.94750000000000012</v>
      </c>
      <c r="O37">
        <f t="shared" si="18"/>
        <v>0.94750000000000012</v>
      </c>
      <c r="P37">
        <f t="shared" si="19"/>
        <v>0.94750000000000012</v>
      </c>
      <c r="R37">
        <v>37</v>
      </c>
    </row>
    <row r="38" spans="1:18" ht="16.3" thickBot="1">
      <c r="A38" s="439" t="s">
        <v>853</v>
      </c>
      <c r="B38" s="440"/>
      <c r="C38" s="440"/>
      <c r="D38" s="440"/>
      <c r="I38" s="1"/>
      <c r="R38">
        <v>38</v>
      </c>
    </row>
    <row r="39" spans="1:18" ht="14.6">
      <c r="A39" s="437" t="s">
        <v>852</v>
      </c>
      <c r="B39" s="438">
        <v>0.97</v>
      </c>
      <c r="C39" s="438">
        <v>0.88</v>
      </c>
      <c r="D39" s="438">
        <v>0.84</v>
      </c>
      <c r="I39" s="1" t="str">
        <f>A39</f>
        <v xml:space="preserve">    Hot water Geyser</v>
      </c>
      <c r="L39" s="3">
        <v>0.7</v>
      </c>
      <c r="M39">
        <f t="shared" ref="M39:M43" si="20">(1/B39)*$L39</f>
        <v>0.72164948453608246</v>
      </c>
      <c r="N39">
        <f t="shared" ref="N39:N43" si="21">(1/C39)*$L39</f>
        <v>0.79545454545454553</v>
      </c>
      <c r="O39">
        <f t="shared" ref="O39:O43" si="22">(1/D39)*$L39</f>
        <v>0.83333333333333326</v>
      </c>
      <c r="P39">
        <f t="shared" ref="P39:P43" si="23">O39</f>
        <v>0.83333333333333326</v>
      </c>
      <c r="R39">
        <v>39</v>
      </c>
    </row>
    <row r="40" spans="1:18" ht="14.6">
      <c r="A40" s="437" t="s">
        <v>847</v>
      </c>
      <c r="B40" s="438">
        <v>0.97</v>
      </c>
      <c r="C40" s="438">
        <v>0.84</v>
      </c>
      <c r="D40" s="438">
        <v>0.75</v>
      </c>
      <c r="I40" s="1" t="str">
        <f>A40</f>
        <v xml:space="preserve">   Cooking</v>
      </c>
      <c r="K40" s="1" t="s">
        <v>255</v>
      </c>
      <c r="L40">
        <v>0.65</v>
      </c>
      <c r="M40">
        <f t="shared" si="20"/>
        <v>0.67010309278350522</v>
      </c>
      <c r="N40">
        <f t="shared" si="21"/>
        <v>0.77380952380952384</v>
      </c>
      <c r="O40">
        <f t="shared" si="22"/>
        <v>0.8666666666666667</v>
      </c>
      <c r="P40">
        <f t="shared" si="23"/>
        <v>0.8666666666666667</v>
      </c>
      <c r="R40">
        <v>40</v>
      </c>
    </row>
    <row r="41" spans="1:18" ht="14.6">
      <c r="A41" s="437" t="s">
        <v>848</v>
      </c>
      <c r="B41" s="438">
        <v>0.97</v>
      </c>
      <c r="C41" s="438">
        <v>0.86</v>
      </c>
      <c r="D41" s="438">
        <v>0.66</v>
      </c>
      <c r="I41" s="1" t="str">
        <f>A41</f>
        <v xml:space="preserve">   Other appliances</v>
      </c>
      <c r="K41" s="1" t="s">
        <v>258</v>
      </c>
      <c r="L41">
        <v>0.8</v>
      </c>
      <c r="M41">
        <f t="shared" si="20"/>
        <v>0.82474226804123729</v>
      </c>
      <c r="N41">
        <f t="shared" si="21"/>
        <v>0.93023255813953498</v>
      </c>
      <c r="O41">
        <f t="shared" si="22"/>
        <v>1.2121212121212122</v>
      </c>
      <c r="P41">
        <f t="shared" si="23"/>
        <v>1.2121212121212122</v>
      </c>
      <c r="R41">
        <v>41</v>
      </c>
    </row>
    <row r="42" spans="1:18" ht="14.6">
      <c r="A42" s="437" t="s">
        <v>849</v>
      </c>
      <c r="B42" s="438">
        <v>0.88</v>
      </c>
      <c r="C42" s="438">
        <v>0.5</v>
      </c>
      <c r="D42" s="438">
        <v>0.38</v>
      </c>
      <c r="I42" s="1" t="str">
        <f>A42</f>
        <v xml:space="preserve">   Refrigeration</v>
      </c>
      <c r="K42" s="1" t="s">
        <v>257</v>
      </c>
      <c r="L42">
        <v>0.64200000000000002</v>
      </c>
      <c r="M42">
        <f t="shared" si="20"/>
        <v>0.72954545454545461</v>
      </c>
      <c r="N42">
        <f t="shared" si="21"/>
        <v>1.284</v>
      </c>
      <c r="O42">
        <f t="shared" si="22"/>
        <v>1.6894736842105265</v>
      </c>
      <c r="P42">
        <f t="shared" si="23"/>
        <v>1.6894736842105265</v>
      </c>
      <c r="R42">
        <v>42</v>
      </c>
    </row>
    <row r="43" spans="1:18" ht="14.6">
      <c r="A43" s="437" t="s">
        <v>850</v>
      </c>
      <c r="B43" s="438">
        <v>1</v>
      </c>
      <c r="C43" s="438">
        <v>1</v>
      </c>
      <c r="D43" s="438">
        <v>1</v>
      </c>
      <c r="I43" s="1" t="str">
        <f>A43</f>
        <v xml:space="preserve">   Space heating</v>
      </c>
      <c r="K43" s="1" t="s">
        <v>239</v>
      </c>
      <c r="L43">
        <v>0.97249999999999992</v>
      </c>
      <c r="M43">
        <f t="shared" si="20"/>
        <v>0.97249999999999992</v>
      </c>
      <c r="N43">
        <f t="shared" si="21"/>
        <v>0.97249999999999992</v>
      </c>
      <c r="O43">
        <f t="shared" si="22"/>
        <v>0.97249999999999992</v>
      </c>
      <c r="P43">
        <f t="shared" si="23"/>
        <v>0.97249999999999992</v>
      </c>
      <c r="R43">
        <v>43</v>
      </c>
    </row>
    <row r="44" spans="1:18">
      <c r="R44">
        <v>44</v>
      </c>
    </row>
    <row r="45" spans="1:18" ht="14.6">
      <c r="A45" s="437" t="s">
        <v>885</v>
      </c>
      <c r="R45">
        <v>45</v>
      </c>
    </row>
    <row r="46" spans="1:18" ht="16.3" thickBot="1">
      <c r="A46" s="433"/>
      <c r="B46" s="434">
        <v>2020</v>
      </c>
      <c r="C46" s="434">
        <v>2030</v>
      </c>
      <c r="D46" s="434">
        <v>2040</v>
      </c>
      <c r="E46" s="1" t="s">
        <v>854</v>
      </c>
      <c r="L46" s="1" t="s">
        <v>855</v>
      </c>
      <c r="R46">
        <v>46</v>
      </c>
    </row>
    <row r="47" spans="1:18" ht="16.3" thickBot="1">
      <c r="A47" s="435" t="s">
        <v>846</v>
      </c>
      <c r="B47" s="436"/>
      <c r="C47" s="436"/>
      <c r="D47" s="436"/>
      <c r="L47">
        <v>2017</v>
      </c>
      <c r="M47">
        <v>2020</v>
      </c>
      <c r="N47">
        <v>2030</v>
      </c>
      <c r="O47">
        <v>2040</v>
      </c>
      <c r="P47">
        <v>2050</v>
      </c>
      <c r="R47">
        <v>47</v>
      </c>
    </row>
    <row r="48" spans="1:18" ht="14.6">
      <c r="A48" s="437" t="s">
        <v>847</v>
      </c>
      <c r="B48" s="438">
        <v>0.99</v>
      </c>
      <c r="C48" s="438">
        <v>0.94</v>
      </c>
      <c r="D48" s="438">
        <v>0.93</v>
      </c>
      <c r="I48" s="1" t="str">
        <f>A48</f>
        <v xml:space="preserve">   Cooking</v>
      </c>
      <c r="K48" s="1" t="s">
        <v>243</v>
      </c>
      <c r="L48" s="3">
        <v>0.8</v>
      </c>
      <c r="M48">
        <f>(1/B48)*$L48</f>
        <v>0.80808080808080818</v>
      </c>
      <c r="N48">
        <f t="shared" ref="N48:N51" si="24">(1/C48)*$L48</f>
        <v>0.85106382978723405</v>
      </c>
      <c r="O48">
        <f t="shared" ref="O48:O51" si="25">(1/D48)*$L48</f>
        <v>0.86021505376344087</v>
      </c>
      <c r="P48">
        <f>O48</f>
        <v>0.86021505376344087</v>
      </c>
      <c r="R48">
        <v>48</v>
      </c>
    </row>
    <row r="49" spans="1:18" ht="14.6">
      <c r="A49" s="437" t="s">
        <v>848</v>
      </c>
      <c r="B49" s="438">
        <v>0.99</v>
      </c>
      <c r="C49" s="438">
        <v>0.94</v>
      </c>
      <c r="D49" s="438">
        <v>0.9</v>
      </c>
      <c r="I49" s="1" t="str">
        <f>A49</f>
        <v xml:space="preserve">   Other appliances</v>
      </c>
      <c r="K49" s="1" t="s">
        <v>247</v>
      </c>
      <c r="L49">
        <v>0.8</v>
      </c>
      <c r="M49">
        <f t="shared" ref="M49:M51" si="26">(1/B49)*$L49</f>
        <v>0.80808080808080818</v>
      </c>
      <c r="N49">
        <f t="shared" si="24"/>
        <v>0.85106382978723405</v>
      </c>
      <c r="O49">
        <f t="shared" si="25"/>
        <v>0.88888888888888895</v>
      </c>
      <c r="P49">
        <f t="shared" ref="P49:P51" si="27">O49</f>
        <v>0.88888888888888895</v>
      </c>
      <c r="R49">
        <v>49</v>
      </c>
    </row>
    <row r="50" spans="1:18" ht="14.6">
      <c r="A50" s="437" t="s">
        <v>849</v>
      </c>
      <c r="B50" s="438">
        <v>0.86</v>
      </c>
      <c r="C50" s="438">
        <v>0.53</v>
      </c>
      <c r="D50" s="438">
        <v>0.49</v>
      </c>
      <c r="I50" s="1" t="str">
        <f>A50</f>
        <v xml:space="preserve">   Refrigeration</v>
      </c>
      <c r="K50" s="1" t="s">
        <v>246</v>
      </c>
      <c r="L50">
        <v>0.4</v>
      </c>
      <c r="M50">
        <f t="shared" si="26"/>
        <v>0.46511627906976749</v>
      </c>
      <c r="N50">
        <f t="shared" si="24"/>
        <v>0.75471698113207542</v>
      </c>
      <c r="O50">
        <f t="shared" si="25"/>
        <v>0.81632653061224492</v>
      </c>
      <c r="P50">
        <f t="shared" si="27"/>
        <v>0.81632653061224492</v>
      </c>
      <c r="R50">
        <v>50</v>
      </c>
    </row>
    <row r="51" spans="1:18" ht="14.6">
      <c r="A51" s="437" t="s">
        <v>850</v>
      </c>
      <c r="B51" s="438">
        <v>1</v>
      </c>
      <c r="C51" s="438">
        <v>1</v>
      </c>
      <c r="D51" s="438">
        <v>1</v>
      </c>
      <c r="I51" s="1" t="str">
        <f>A51</f>
        <v xml:space="preserve">   Space heating</v>
      </c>
      <c r="K51" s="1" t="s">
        <v>244</v>
      </c>
      <c r="L51">
        <v>0.94750000000000001</v>
      </c>
      <c r="M51">
        <f t="shared" si="26"/>
        <v>0.94750000000000001</v>
      </c>
      <c r="N51">
        <f t="shared" si="24"/>
        <v>0.94750000000000001</v>
      </c>
      <c r="O51">
        <f t="shared" si="25"/>
        <v>0.94750000000000001</v>
      </c>
      <c r="P51">
        <f t="shared" si="27"/>
        <v>0.94750000000000001</v>
      </c>
      <c r="R51">
        <v>51</v>
      </c>
    </row>
    <row r="52" spans="1:18" ht="16.3" thickBot="1">
      <c r="A52" s="435" t="s">
        <v>851</v>
      </c>
      <c r="B52" s="436"/>
      <c r="C52" s="436"/>
      <c r="D52" s="436"/>
      <c r="I52" s="1"/>
      <c r="R52">
        <v>52</v>
      </c>
    </row>
    <row r="53" spans="1:18" ht="14.6">
      <c r="A53" s="437" t="s">
        <v>852</v>
      </c>
      <c r="B53" s="438">
        <v>0.95</v>
      </c>
      <c r="C53" s="438">
        <v>0.88</v>
      </c>
      <c r="D53" s="438">
        <v>0.86</v>
      </c>
      <c r="I53" s="1" t="str">
        <f>A53</f>
        <v xml:space="preserve">    Hot water Geyser</v>
      </c>
      <c r="K53">
        <f>RES!D97</f>
        <v>0</v>
      </c>
      <c r="L53" s="3">
        <v>0.7</v>
      </c>
      <c r="M53">
        <f t="shared" ref="M53:M57" si="28">(1/B53)*$L53</f>
        <v>0.73684210526315785</v>
      </c>
      <c r="N53">
        <f t="shared" ref="N53:N57" si="29">(1/C53)*$L53</f>
        <v>0.79545454545454553</v>
      </c>
      <c r="O53">
        <f t="shared" ref="O53:O57" si="30">(1/D53)*$L53</f>
        <v>0.81395348837209303</v>
      </c>
      <c r="P53">
        <f t="shared" ref="P53:P57" si="31">O53</f>
        <v>0.81395348837209303</v>
      </c>
      <c r="R53">
        <v>53</v>
      </c>
    </row>
    <row r="54" spans="1:18" ht="14.6">
      <c r="A54" s="437" t="s">
        <v>847</v>
      </c>
      <c r="B54" s="438">
        <v>0.98</v>
      </c>
      <c r="C54" s="438">
        <v>0.91</v>
      </c>
      <c r="D54" s="438">
        <v>0.89</v>
      </c>
      <c r="I54" s="1" t="str">
        <f>A54</f>
        <v xml:space="preserve">   Cooking</v>
      </c>
      <c r="K54" s="1" t="s">
        <v>249</v>
      </c>
      <c r="L54">
        <v>0.65</v>
      </c>
      <c r="M54">
        <f t="shared" si="28"/>
        <v>0.66326530612244905</v>
      </c>
      <c r="N54">
        <f t="shared" si="29"/>
        <v>0.71428571428571419</v>
      </c>
      <c r="O54">
        <f t="shared" si="30"/>
        <v>0.73033707865168551</v>
      </c>
      <c r="P54">
        <f t="shared" si="31"/>
        <v>0.73033707865168551</v>
      </c>
      <c r="R54">
        <v>54</v>
      </c>
    </row>
    <row r="55" spans="1:18" ht="14.6">
      <c r="A55" s="437" t="s">
        <v>848</v>
      </c>
      <c r="B55" s="438">
        <v>0.99</v>
      </c>
      <c r="C55" s="438">
        <v>0.95</v>
      </c>
      <c r="D55" s="438">
        <v>0.94</v>
      </c>
      <c r="I55" s="1" t="str">
        <f>A55</f>
        <v xml:space="preserve">   Other appliances</v>
      </c>
      <c r="K55" s="1" t="s">
        <v>253</v>
      </c>
      <c r="L55">
        <v>0.8</v>
      </c>
      <c r="M55">
        <f t="shared" si="28"/>
        <v>0.80808080808080818</v>
      </c>
      <c r="N55">
        <f t="shared" si="29"/>
        <v>0.84210526315789469</v>
      </c>
      <c r="O55">
        <f t="shared" si="30"/>
        <v>0.85106382978723405</v>
      </c>
      <c r="P55">
        <f t="shared" si="31"/>
        <v>0.85106382978723405</v>
      </c>
      <c r="R55">
        <v>55</v>
      </c>
    </row>
    <row r="56" spans="1:18" ht="14.6">
      <c r="A56" s="437" t="s">
        <v>849</v>
      </c>
      <c r="B56" s="438">
        <v>0.86</v>
      </c>
      <c r="C56" s="438">
        <v>0.52</v>
      </c>
      <c r="D56" s="438">
        <v>0.49</v>
      </c>
      <c r="I56" s="1" t="str">
        <f>A56</f>
        <v xml:space="preserve">   Refrigeration</v>
      </c>
      <c r="K56" s="1" t="s">
        <v>252</v>
      </c>
      <c r="L56">
        <v>0.64200000000000002</v>
      </c>
      <c r="M56">
        <f t="shared" si="28"/>
        <v>0.74651162790697678</v>
      </c>
      <c r="N56">
        <f t="shared" si="29"/>
        <v>1.2346153846153844</v>
      </c>
      <c r="O56">
        <f t="shared" si="30"/>
        <v>1.3102040816326532</v>
      </c>
      <c r="P56">
        <f t="shared" si="31"/>
        <v>1.3102040816326532</v>
      </c>
      <c r="R56">
        <v>56</v>
      </c>
    </row>
    <row r="57" spans="1:18" ht="14.6">
      <c r="A57" s="437" t="s">
        <v>850</v>
      </c>
      <c r="B57" s="438">
        <v>1</v>
      </c>
      <c r="C57" s="438">
        <v>1</v>
      </c>
      <c r="D57" s="438">
        <v>1</v>
      </c>
      <c r="I57" s="1" t="str">
        <f>A57</f>
        <v xml:space="preserve">   Space heating</v>
      </c>
      <c r="K57" s="1" t="s">
        <v>250</v>
      </c>
      <c r="L57">
        <v>0.94750000000000012</v>
      </c>
      <c r="M57">
        <f t="shared" si="28"/>
        <v>0.94750000000000012</v>
      </c>
      <c r="N57">
        <f t="shared" si="29"/>
        <v>0.94750000000000012</v>
      </c>
      <c r="O57">
        <f t="shared" si="30"/>
        <v>0.94750000000000012</v>
      </c>
      <c r="P57">
        <f t="shared" si="31"/>
        <v>0.94750000000000012</v>
      </c>
      <c r="R57">
        <v>57</v>
      </c>
    </row>
    <row r="58" spans="1:18" ht="16.3" thickBot="1">
      <c r="A58" s="439" t="s">
        <v>853</v>
      </c>
      <c r="B58" s="440"/>
      <c r="C58" s="440"/>
      <c r="D58" s="440"/>
      <c r="I58" s="1"/>
      <c r="R58">
        <v>58</v>
      </c>
    </row>
    <row r="59" spans="1:18" ht="14.6">
      <c r="A59" s="437" t="s">
        <v>852</v>
      </c>
      <c r="B59" s="438">
        <v>0.97</v>
      </c>
      <c r="C59" s="438">
        <v>0.88</v>
      </c>
      <c r="D59" s="438">
        <v>0.84</v>
      </c>
      <c r="I59" s="1" t="str">
        <f>A59</f>
        <v xml:space="preserve">    Hot water Geyser</v>
      </c>
      <c r="L59" s="3">
        <v>0.7</v>
      </c>
      <c r="M59">
        <f t="shared" ref="M59:M63" si="32">(1/B59)*$L59</f>
        <v>0.72164948453608246</v>
      </c>
      <c r="N59">
        <f t="shared" ref="N59:N63" si="33">(1/C59)*$L59</f>
        <v>0.79545454545454553</v>
      </c>
      <c r="O59">
        <f t="shared" ref="O59:O63" si="34">(1/D59)*$L59</f>
        <v>0.83333333333333326</v>
      </c>
      <c r="P59">
        <f t="shared" ref="P59:P63" si="35">O59</f>
        <v>0.83333333333333326</v>
      </c>
      <c r="R59">
        <v>59</v>
      </c>
    </row>
    <row r="60" spans="1:18" ht="14.6">
      <c r="A60" s="437" t="s">
        <v>847</v>
      </c>
      <c r="B60" s="438">
        <v>0.97</v>
      </c>
      <c r="C60" s="438">
        <v>0.88</v>
      </c>
      <c r="D60" s="438">
        <v>0.86</v>
      </c>
      <c r="I60" s="1" t="str">
        <f>A60</f>
        <v xml:space="preserve">   Cooking</v>
      </c>
      <c r="K60" s="1" t="s">
        <v>255</v>
      </c>
      <c r="L60">
        <v>0.65</v>
      </c>
      <c r="M60">
        <f t="shared" si="32"/>
        <v>0.67010309278350522</v>
      </c>
      <c r="N60">
        <f t="shared" si="33"/>
        <v>0.73863636363636376</v>
      </c>
      <c r="O60">
        <f t="shared" si="34"/>
        <v>0.75581395348837221</v>
      </c>
      <c r="P60">
        <f t="shared" si="35"/>
        <v>0.75581395348837221</v>
      </c>
      <c r="R60">
        <v>60</v>
      </c>
    </row>
    <row r="61" spans="1:18" ht="14.6">
      <c r="A61" s="437" t="s">
        <v>848</v>
      </c>
      <c r="B61" s="438">
        <v>0.97</v>
      </c>
      <c r="C61" s="438">
        <v>0.9</v>
      </c>
      <c r="D61" s="438">
        <v>0.88</v>
      </c>
      <c r="I61" s="1" t="str">
        <f>A61</f>
        <v xml:space="preserve">   Other appliances</v>
      </c>
      <c r="K61" s="1" t="s">
        <v>258</v>
      </c>
      <c r="L61">
        <v>0.8</v>
      </c>
      <c r="M61">
        <f t="shared" si="32"/>
        <v>0.82474226804123729</v>
      </c>
      <c r="N61">
        <f t="shared" si="33"/>
        <v>0.88888888888888895</v>
      </c>
      <c r="O61">
        <f t="shared" si="34"/>
        <v>0.90909090909090917</v>
      </c>
      <c r="P61">
        <f t="shared" si="35"/>
        <v>0.90909090909090917</v>
      </c>
      <c r="R61">
        <v>61</v>
      </c>
    </row>
    <row r="62" spans="1:18" ht="14.6">
      <c r="A62" s="437" t="s">
        <v>849</v>
      </c>
      <c r="B62" s="438">
        <v>0.88</v>
      </c>
      <c r="C62" s="438">
        <v>0.55000000000000004</v>
      </c>
      <c r="D62" s="438">
        <v>0.49</v>
      </c>
      <c r="I62" s="1" t="str">
        <f>A62</f>
        <v xml:space="preserve">   Refrigeration</v>
      </c>
      <c r="K62" s="1" t="s">
        <v>257</v>
      </c>
      <c r="L62">
        <v>0.64200000000000002</v>
      </c>
      <c r="M62">
        <f t="shared" si="32"/>
        <v>0.72954545454545461</v>
      </c>
      <c r="N62">
        <f t="shared" si="33"/>
        <v>1.1672727272727272</v>
      </c>
      <c r="O62">
        <f t="shared" si="34"/>
        <v>1.3102040816326532</v>
      </c>
      <c r="P62">
        <f t="shared" si="35"/>
        <v>1.3102040816326532</v>
      </c>
      <c r="R62">
        <v>62</v>
      </c>
    </row>
    <row r="63" spans="1:18" ht="14.6">
      <c r="A63" s="437" t="s">
        <v>850</v>
      </c>
      <c r="B63" s="438">
        <v>1</v>
      </c>
      <c r="C63" s="438">
        <v>1</v>
      </c>
      <c r="D63" s="438">
        <v>1</v>
      </c>
      <c r="I63" s="1" t="str">
        <f>A63</f>
        <v xml:space="preserve">   Space heating</v>
      </c>
      <c r="K63" s="1" t="s">
        <v>239</v>
      </c>
      <c r="L63">
        <v>0.97249999999999992</v>
      </c>
      <c r="M63">
        <f t="shared" si="32"/>
        <v>0.97249999999999992</v>
      </c>
      <c r="N63">
        <f t="shared" si="33"/>
        <v>0.97249999999999992</v>
      </c>
      <c r="O63">
        <f t="shared" si="34"/>
        <v>0.97249999999999992</v>
      </c>
      <c r="P63">
        <f t="shared" si="35"/>
        <v>0.97249999999999992</v>
      </c>
      <c r="R63">
        <v>63</v>
      </c>
    </row>
    <row r="64" spans="1:18">
      <c r="R64">
        <v>64</v>
      </c>
    </row>
    <row r="65" spans="1:18" ht="14.6">
      <c r="A65" s="437" t="s">
        <v>886</v>
      </c>
      <c r="R65">
        <v>65</v>
      </c>
    </row>
    <row r="66" spans="1:18" ht="16.3" thickBot="1">
      <c r="A66" s="433"/>
      <c r="B66" s="434">
        <v>2020</v>
      </c>
      <c r="C66" s="434">
        <v>2030</v>
      </c>
      <c r="D66" s="434">
        <v>2040</v>
      </c>
      <c r="E66" s="1" t="s">
        <v>854</v>
      </c>
      <c r="L66" s="1" t="s">
        <v>855</v>
      </c>
      <c r="R66">
        <v>66</v>
      </c>
    </row>
    <row r="67" spans="1:18" ht="16.3" thickBot="1">
      <c r="A67" s="435" t="s">
        <v>846</v>
      </c>
      <c r="B67" s="436"/>
      <c r="C67" s="436"/>
      <c r="D67" s="436"/>
      <c r="L67">
        <v>2017</v>
      </c>
      <c r="M67">
        <v>2020</v>
      </c>
      <c r="N67">
        <v>2030</v>
      </c>
      <c r="O67">
        <v>2040</v>
      </c>
      <c r="P67">
        <v>2050</v>
      </c>
      <c r="R67">
        <v>67</v>
      </c>
    </row>
    <row r="68" spans="1:18" ht="14.6">
      <c r="A68" s="437" t="s">
        <v>847</v>
      </c>
      <c r="B68" s="438">
        <v>0.99</v>
      </c>
      <c r="C68" s="438">
        <v>0.94</v>
      </c>
      <c r="D68" s="438">
        <v>0.93</v>
      </c>
      <c r="I68" s="1" t="str">
        <f>A68</f>
        <v xml:space="preserve">   Cooking</v>
      </c>
      <c r="K68" s="1" t="s">
        <v>243</v>
      </c>
      <c r="L68" s="3">
        <v>0.8</v>
      </c>
      <c r="M68">
        <f>(1/B68)*$L68</f>
        <v>0.80808080808080818</v>
      </c>
      <c r="N68">
        <f t="shared" ref="N68:N71" si="36">(1/C68)*$L68</f>
        <v>0.85106382978723405</v>
      </c>
      <c r="O68">
        <f t="shared" ref="O68:O71" si="37">(1/D68)*$L68</f>
        <v>0.86021505376344087</v>
      </c>
      <c r="P68">
        <f>O68</f>
        <v>0.86021505376344087</v>
      </c>
      <c r="R68">
        <v>68</v>
      </c>
    </row>
    <row r="69" spans="1:18" ht="14.6">
      <c r="A69" s="437" t="s">
        <v>848</v>
      </c>
      <c r="B69" s="438">
        <v>0.99</v>
      </c>
      <c r="C69" s="438">
        <v>0.94</v>
      </c>
      <c r="D69" s="438">
        <v>0.9</v>
      </c>
      <c r="I69" s="1" t="str">
        <f>A69</f>
        <v xml:space="preserve">   Other appliances</v>
      </c>
      <c r="K69" s="1" t="s">
        <v>247</v>
      </c>
      <c r="L69">
        <v>0.8</v>
      </c>
      <c r="M69">
        <f t="shared" ref="M69:M71" si="38">(1/B69)*$L69</f>
        <v>0.80808080808080818</v>
      </c>
      <c r="N69">
        <f t="shared" si="36"/>
        <v>0.85106382978723405</v>
      </c>
      <c r="O69">
        <f t="shared" si="37"/>
        <v>0.88888888888888895</v>
      </c>
      <c r="P69">
        <f t="shared" ref="P69:P71" si="39">O69</f>
        <v>0.88888888888888895</v>
      </c>
      <c r="R69">
        <v>69</v>
      </c>
    </row>
    <row r="70" spans="1:18" ht="14.6">
      <c r="A70" s="437" t="s">
        <v>849</v>
      </c>
      <c r="B70" s="438">
        <v>0.86</v>
      </c>
      <c r="C70" s="438">
        <v>0.53</v>
      </c>
      <c r="D70" s="438">
        <v>0.49</v>
      </c>
      <c r="I70" s="1" t="str">
        <f>A70</f>
        <v xml:space="preserve">   Refrigeration</v>
      </c>
      <c r="K70" s="1" t="s">
        <v>246</v>
      </c>
      <c r="L70">
        <v>0.4</v>
      </c>
      <c r="M70">
        <f t="shared" si="38"/>
        <v>0.46511627906976749</v>
      </c>
      <c r="N70">
        <f t="shared" si="36"/>
        <v>0.75471698113207542</v>
      </c>
      <c r="O70">
        <f t="shared" si="37"/>
        <v>0.81632653061224492</v>
      </c>
      <c r="P70">
        <f t="shared" si="39"/>
        <v>0.81632653061224492</v>
      </c>
      <c r="R70">
        <v>70</v>
      </c>
    </row>
    <row r="71" spans="1:18" ht="14.6">
      <c r="A71" s="437" t="s">
        <v>850</v>
      </c>
      <c r="B71" s="438">
        <v>1</v>
      </c>
      <c r="C71" s="438">
        <v>1</v>
      </c>
      <c r="D71" s="438">
        <v>1</v>
      </c>
      <c r="I71" s="1" t="str">
        <f>A71</f>
        <v xml:space="preserve">   Space heating</v>
      </c>
      <c r="K71" s="1" t="s">
        <v>244</v>
      </c>
      <c r="L71">
        <v>0.94750000000000001</v>
      </c>
      <c r="M71">
        <f t="shared" si="38"/>
        <v>0.94750000000000001</v>
      </c>
      <c r="N71">
        <f t="shared" si="36"/>
        <v>0.94750000000000001</v>
      </c>
      <c r="O71">
        <f t="shared" si="37"/>
        <v>0.94750000000000001</v>
      </c>
      <c r="P71">
        <f t="shared" si="39"/>
        <v>0.94750000000000001</v>
      </c>
      <c r="R71">
        <v>71</v>
      </c>
    </row>
    <row r="72" spans="1:18" ht="16.3" thickBot="1">
      <c r="A72" s="435" t="s">
        <v>851</v>
      </c>
      <c r="B72" s="436"/>
      <c r="C72" s="436"/>
      <c r="D72" s="436"/>
      <c r="I72" s="1"/>
      <c r="R72">
        <v>72</v>
      </c>
    </row>
    <row r="73" spans="1:18" ht="14.6">
      <c r="A73" s="437" t="s">
        <v>852</v>
      </c>
      <c r="B73" s="438">
        <v>0.95</v>
      </c>
      <c r="C73" s="438">
        <v>0.88</v>
      </c>
      <c r="D73" s="438">
        <v>0.86</v>
      </c>
      <c r="I73" s="1" t="str">
        <f>A73</f>
        <v xml:space="preserve">    Hot water Geyser</v>
      </c>
      <c r="K73" t="str">
        <f>RES!D117</f>
        <v>RHEK</v>
      </c>
      <c r="L73" s="3">
        <v>0.7</v>
      </c>
      <c r="M73">
        <f t="shared" ref="M73:M77" si="40">(1/B73)*$L73</f>
        <v>0.73684210526315785</v>
      </c>
      <c r="N73">
        <f t="shared" ref="N73:N77" si="41">(1/C73)*$L73</f>
        <v>0.79545454545454553</v>
      </c>
      <c r="O73">
        <f t="shared" ref="O73:O77" si="42">(1/D73)*$L73</f>
        <v>0.81395348837209303</v>
      </c>
      <c r="P73">
        <f t="shared" ref="P73:P77" si="43">O73</f>
        <v>0.81395348837209303</v>
      </c>
      <c r="R73">
        <v>73</v>
      </c>
    </row>
    <row r="74" spans="1:18" ht="14.6">
      <c r="A74" s="437" t="s">
        <v>847</v>
      </c>
      <c r="B74" s="438">
        <v>0.98</v>
      </c>
      <c r="C74" s="438">
        <v>0.91</v>
      </c>
      <c r="D74" s="438">
        <v>0.89</v>
      </c>
      <c r="I74" s="1" t="str">
        <f>A74</f>
        <v xml:space="preserve">   Cooking</v>
      </c>
      <c r="K74" s="1" t="s">
        <v>249</v>
      </c>
      <c r="L74">
        <v>0.65</v>
      </c>
      <c r="M74">
        <f t="shared" si="40"/>
        <v>0.66326530612244905</v>
      </c>
      <c r="N74">
        <f t="shared" si="41"/>
        <v>0.71428571428571419</v>
      </c>
      <c r="O74">
        <f t="shared" si="42"/>
        <v>0.73033707865168551</v>
      </c>
      <c r="P74">
        <f t="shared" si="43"/>
        <v>0.73033707865168551</v>
      </c>
      <c r="R74">
        <v>74</v>
      </c>
    </row>
    <row r="75" spans="1:18" ht="14.6">
      <c r="A75" s="437" t="s">
        <v>848</v>
      </c>
      <c r="B75" s="438">
        <v>0.99</v>
      </c>
      <c r="C75" s="438">
        <v>0.95</v>
      </c>
      <c r="D75" s="438">
        <v>0.94</v>
      </c>
      <c r="I75" s="1" t="str">
        <f>A75</f>
        <v xml:space="preserve">   Other appliances</v>
      </c>
      <c r="K75" s="1" t="s">
        <v>253</v>
      </c>
      <c r="L75">
        <v>0.8</v>
      </c>
      <c r="M75">
        <f t="shared" si="40"/>
        <v>0.80808080808080818</v>
      </c>
      <c r="N75">
        <f t="shared" si="41"/>
        <v>0.84210526315789469</v>
      </c>
      <c r="O75">
        <f t="shared" si="42"/>
        <v>0.85106382978723405</v>
      </c>
      <c r="P75">
        <f t="shared" si="43"/>
        <v>0.85106382978723405</v>
      </c>
      <c r="R75">
        <v>75</v>
      </c>
    </row>
    <row r="76" spans="1:18" ht="14.6">
      <c r="A76" s="437" t="s">
        <v>849</v>
      </c>
      <c r="B76" s="438">
        <v>0.86</v>
      </c>
      <c r="C76" s="438">
        <v>0.52</v>
      </c>
      <c r="D76" s="438">
        <v>0.49</v>
      </c>
      <c r="I76" s="1" t="str">
        <f>A76</f>
        <v xml:space="preserve">   Refrigeration</v>
      </c>
      <c r="K76" s="1" t="s">
        <v>252</v>
      </c>
      <c r="L76">
        <v>0.64200000000000002</v>
      </c>
      <c r="M76">
        <f t="shared" si="40"/>
        <v>0.74651162790697678</v>
      </c>
      <c r="N76">
        <f t="shared" si="41"/>
        <v>1.2346153846153844</v>
      </c>
      <c r="O76">
        <f t="shared" si="42"/>
        <v>1.3102040816326532</v>
      </c>
      <c r="P76">
        <f t="shared" si="43"/>
        <v>1.3102040816326532</v>
      </c>
      <c r="R76">
        <v>76</v>
      </c>
    </row>
    <row r="77" spans="1:18" ht="14.6">
      <c r="A77" s="437" t="s">
        <v>850</v>
      </c>
      <c r="B77" s="438">
        <v>1</v>
      </c>
      <c r="C77" s="438">
        <v>1</v>
      </c>
      <c r="D77" s="438">
        <v>1</v>
      </c>
      <c r="I77" s="1" t="str">
        <f>A77</f>
        <v xml:space="preserve">   Space heating</v>
      </c>
      <c r="K77" s="1" t="s">
        <v>250</v>
      </c>
      <c r="L77">
        <v>0.94750000000000012</v>
      </c>
      <c r="M77">
        <f t="shared" si="40"/>
        <v>0.94750000000000012</v>
      </c>
      <c r="N77">
        <f t="shared" si="41"/>
        <v>0.94750000000000012</v>
      </c>
      <c r="O77">
        <f t="shared" si="42"/>
        <v>0.94750000000000012</v>
      </c>
      <c r="P77">
        <f t="shared" si="43"/>
        <v>0.94750000000000012</v>
      </c>
      <c r="R77">
        <v>77</v>
      </c>
    </row>
    <row r="78" spans="1:18" ht="16.3" thickBot="1">
      <c r="A78" s="439" t="s">
        <v>853</v>
      </c>
      <c r="B78" s="440"/>
      <c r="C78" s="440"/>
      <c r="D78" s="440"/>
      <c r="I78" s="1"/>
      <c r="R78">
        <v>78</v>
      </c>
    </row>
    <row r="79" spans="1:18" ht="14.6">
      <c r="A79" s="437" t="s">
        <v>852</v>
      </c>
      <c r="B79" s="438">
        <v>0.97</v>
      </c>
      <c r="C79" s="438">
        <v>0.88</v>
      </c>
      <c r="D79" s="438">
        <v>0.84</v>
      </c>
      <c r="I79" s="1" t="str">
        <f>A79</f>
        <v xml:space="preserve">    Hot water Geyser</v>
      </c>
      <c r="L79" s="3">
        <v>0.7</v>
      </c>
      <c r="M79">
        <f t="shared" ref="M79:M83" si="44">(1/B79)*$L79</f>
        <v>0.72164948453608246</v>
      </c>
      <c r="N79">
        <f t="shared" ref="N79:N83" si="45">(1/C79)*$L79</f>
        <v>0.79545454545454553</v>
      </c>
      <c r="O79">
        <f t="shared" ref="O79:O83" si="46">(1/D79)*$L79</f>
        <v>0.83333333333333326</v>
      </c>
      <c r="P79">
        <f t="shared" ref="P79:P83" si="47">O79</f>
        <v>0.83333333333333326</v>
      </c>
      <c r="R79">
        <v>79</v>
      </c>
    </row>
    <row r="80" spans="1:18" ht="14.6">
      <c r="A80" s="437" t="s">
        <v>847</v>
      </c>
      <c r="B80" s="438">
        <v>0.97</v>
      </c>
      <c r="C80" s="438">
        <v>0.88</v>
      </c>
      <c r="D80" s="438">
        <v>0.86</v>
      </c>
      <c r="I80" s="1" t="str">
        <f>A80</f>
        <v xml:space="preserve">   Cooking</v>
      </c>
      <c r="K80" s="1" t="s">
        <v>255</v>
      </c>
      <c r="L80">
        <v>0.65</v>
      </c>
      <c r="M80">
        <f t="shared" si="44"/>
        <v>0.67010309278350522</v>
      </c>
      <c r="N80">
        <f t="shared" si="45"/>
        <v>0.73863636363636376</v>
      </c>
      <c r="O80">
        <f t="shared" si="46"/>
        <v>0.75581395348837221</v>
      </c>
      <c r="P80">
        <f t="shared" si="47"/>
        <v>0.75581395348837221</v>
      </c>
      <c r="R80">
        <v>80</v>
      </c>
    </row>
    <row r="81" spans="1:18" ht="14.6">
      <c r="A81" s="437" t="s">
        <v>848</v>
      </c>
      <c r="B81" s="438">
        <v>0.97</v>
      </c>
      <c r="C81" s="438">
        <v>0.9</v>
      </c>
      <c r="D81" s="438">
        <v>0.88</v>
      </c>
      <c r="I81" s="1" t="str">
        <f>A81</f>
        <v xml:space="preserve">   Other appliances</v>
      </c>
      <c r="K81" s="1" t="s">
        <v>258</v>
      </c>
      <c r="L81">
        <v>0.8</v>
      </c>
      <c r="M81">
        <f t="shared" si="44"/>
        <v>0.82474226804123729</v>
      </c>
      <c r="N81">
        <f t="shared" si="45"/>
        <v>0.88888888888888895</v>
      </c>
      <c r="O81">
        <f t="shared" si="46"/>
        <v>0.90909090909090917</v>
      </c>
      <c r="P81">
        <f t="shared" si="47"/>
        <v>0.90909090909090917</v>
      </c>
      <c r="R81">
        <v>81</v>
      </c>
    </row>
    <row r="82" spans="1:18" ht="14.6">
      <c r="A82" s="437" t="s">
        <v>849</v>
      </c>
      <c r="B82" s="438">
        <v>0.88</v>
      </c>
      <c r="C82" s="438">
        <v>0.55000000000000004</v>
      </c>
      <c r="D82" s="438">
        <v>0.49</v>
      </c>
      <c r="I82" s="1" t="str">
        <f>A82</f>
        <v xml:space="preserve">   Refrigeration</v>
      </c>
      <c r="K82" s="1" t="s">
        <v>257</v>
      </c>
      <c r="L82">
        <v>0.64200000000000002</v>
      </c>
      <c r="M82">
        <f t="shared" si="44"/>
        <v>0.72954545454545461</v>
      </c>
      <c r="N82">
        <f t="shared" si="45"/>
        <v>1.1672727272727272</v>
      </c>
      <c r="O82">
        <f t="shared" si="46"/>
        <v>1.3102040816326532</v>
      </c>
      <c r="P82">
        <f t="shared" si="47"/>
        <v>1.3102040816326532</v>
      </c>
      <c r="R82">
        <v>82</v>
      </c>
    </row>
    <row r="83" spans="1:18" ht="14.6">
      <c r="A83" s="437" t="s">
        <v>850</v>
      </c>
      <c r="B83" s="438">
        <v>1</v>
      </c>
      <c r="C83" s="438">
        <v>1</v>
      </c>
      <c r="D83" s="438">
        <v>1</v>
      </c>
      <c r="I83" s="1" t="str">
        <f>A83</f>
        <v xml:space="preserve">   Space heating</v>
      </c>
      <c r="K83" s="1" t="s">
        <v>239</v>
      </c>
      <c r="L83">
        <v>0.97249999999999992</v>
      </c>
      <c r="M83">
        <f t="shared" si="44"/>
        <v>0.97249999999999992</v>
      </c>
      <c r="N83">
        <f t="shared" si="45"/>
        <v>0.97249999999999992</v>
      </c>
      <c r="O83">
        <f t="shared" si="46"/>
        <v>0.97249999999999992</v>
      </c>
      <c r="P83">
        <f t="shared" si="47"/>
        <v>0.97249999999999992</v>
      </c>
      <c r="R83">
        <v>83</v>
      </c>
    </row>
    <row r="84" spans="1:18">
      <c r="R84">
        <v>84</v>
      </c>
    </row>
    <row r="85" spans="1:18" ht="14.6">
      <c r="A85" s="437" t="s">
        <v>887</v>
      </c>
      <c r="R85">
        <v>85</v>
      </c>
    </row>
    <row r="86" spans="1:18" ht="16.3" thickBot="1">
      <c r="A86" s="433"/>
      <c r="B86" s="434">
        <v>2020</v>
      </c>
      <c r="C86" s="434">
        <v>2030</v>
      </c>
      <c r="D86" s="434">
        <v>2040</v>
      </c>
      <c r="E86" s="1" t="s">
        <v>854</v>
      </c>
      <c r="L86" s="1" t="s">
        <v>855</v>
      </c>
      <c r="R86">
        <v>86</v>
      </c>
    </row>
    <row r="87" spans="1:18" ht="16.3" thickBot="1">
      <c r="A87" s="435" t="s">
        <v>846</v>
      </c>
      <c r="B87" s="436"/>
      <c r="C87" s="436"/>
      <c r="D87" s="436"/>
      <c r="L87">
        <v>2017</v>
      </c>
      <c r="M87">
        <v>2020</v>
      </c>
      <c r="N87">
        <v>2030</v>
      </c>
      <c r="O87">
        <v>2040</v>
      </c>
      <c r="P87">
        <v>2050</v>
      </c>
      <c r="R87">
        <v>87</v>
      </c>
    </row>
    <row r="88" spans="1:18" ht="14.6">
      <c r="A88" s="437" t="s">
        <v>847</v>
      </c>
      <c r="B88" s="438">
        <v>0.99</v>
      </c>
      <c r="C88" s="438">
        <v>0.94</v>
      </c>
      <c r="D88" s="438">
        <v>0.93</v>
      </c>
      <c r="I88" s="1" t="str">
        <f>A88</f>
        <v xml:space="preserve">   Cooking</v>
      </c>
      <c r="K88" s="1" t="s">
        <v>243</v>
      </c>
      <c r="L88" s="3">
        <v>0.8</v>
      </c>
      <c r="M88">
        <f>(1/B88)*$L88</f>
        <v>0.80808080808080818</v>
      </c>
      <c r="N88">
        <f t="shared" ref="N88:N91" si="48">(1/C88)*$L88</f>
        <v>0.85106382978723405</v>
      </c>
      <c r="O88">
        <f t="shared" ref="O88:O91" si="49">(1/D88)*$L88</f>
        <v>0.86021505376344087</v>
      </c>
      <c r="P88">
        <f>O88</f>
        <v>0.86021505376344087</v>
      </c>
      <c r="R88">
        <v>88</v>
      </c>
    </row>
    <row r="89" spans="1:18" ht="14.6">
      <c r="A89" s="437" t="s">
        <v>848</v>
      </c>
      <c r="B89" s="438">
        <v>0.99</v>
      </c>
      <c r="C89" s="438">
        <v>0.94</v>
      </c>
      <c r="D89" s="438">
        <v>0.9</v>
      </c>
      <c r="I89" s="1" t="str">
        <f>A89</f>
        <v xml:space="preserve">   Other appliances</v>
      </c>
      <c r="K89" s="1" t="s">
        <v>247</v>
      </c>
      <c r="L89">
        <v>0.8</v>
      </c>
      <c r="M89">
        <f t="shared" ref="M89:M91" si="50">(1/B89)*$L89</f>
        <v>0.80808080808080818</v>
      </c>
      <c r="N89">
        <f t="shared" si="48"/>
        <v>0.85106382978723405</v>
      </c>
      <c r="O89">
        <f t="shared" si="49"/>
        <v>0.88888888888888895</v>
      </c>
      <c r="P89">
        <f t="shared" ref="P89:P91" si="51">O89</f>
        <v>0.88888888888888895</v>
      </c>
      <c r="R89">
        <v>89</v>
      </c>
    </row>
    <row r="90" spans="1:18" ht="14.6">
      <c r="A90" s="437" t="s">
        <v>849</v>
      </c>
      <c r="B90" s="438">
        <v>0.86</v>
      </c>
      <c r="C90" s="438">
        <v>0.53</v>
      </c>
      <c r="D90" s="438">
        <v>0.49</v>
      </c>
      <c r="I90" s="1" t="str">
        <f>A90</f>
        <v xml:space="preserve">   Refrigeration</v>
      </c>
      <c r="K90" s="1" t="s">
        <v>246</v>
      </c>
      <c r="L90">
        <v>0.4</v>
      </c>
      <c r="M90">
        <f t="shared" si="50"/>
        <v>0.46511627906976749</v>
      </c>
      <c r="N90">
        <f t="shared" si="48"/>
        <v>0.75471698113207542</v>
      </c>
      <c r="O90">
        <f t="shared" si="49"/>
        <v>0.81632653061224492</v>
      </c>
      <c r="P90">
        <f t="shared" si="51"/>
        <v>0.81632653061224492</v>
      </c>
      <c r="R90">
        <v>90</v>
      </c>
    </row>
    <row r="91" spans="1:18" ht="14.6">
      <c r="A91" s="437" t="s">
        <v>850</v>
      </c>
      <c r="B91" s="438">
        <v>1</v>
      </c>
      <c r="C91" s="438">
        <v>1</v>
      </c>
      <c r="D91" s="438">
        <v>1</v>
      </c>
      <c r="I91" s="1" t="str">
        <f>A91</f>
        <v xml:space="preserve">   Space heating</v>
      </c>
      <c r="K91" s="1" t="s">
        <v>244</v>
      </c>
      <c r="L91">
        <v>0.94750000000000001</v>
      </c>
      <c r="M91">
        <f t="shared" si="50"/>
        <v>0.94750000000000001</v>
      </c>
      <c r="N91">
        <f t="shared" si="48"/>
        <v>0.94750000000000001</v>
      </c>
      <c r="O91">
        <f t="shared" si="49"/>
        <v>0.94750000000000001</v>
      </c>
      <c r="P91">
        <f t="shared" si="51"/>
        <v>0.94750000000000001</v>
      </c>
      <c r="R91">
        <v>91</v>
      </c>
    </row>
    <row r="92" spans="1:18" ht="16.3" thickBot="1">
      <c r="A92" s="435" t="s">
        <v>851</v>
      </c>
      <c r="B92" s="436"/>
      <c r="C92" s="436"/>
      <c r="D92" s="436"/>
      <c r="I92" s="1"/>
      <c r="R92">
        <v>92</v>
      </c>
    </row>
    <row r="93" spans="1:18" ht="14.6">
      <c r="A93" s="437" t="s">
        <v>852</v>
      </c>
      <c r="B93" s="438">
        <v>0.95</v>
      </c>
      <c r="C93" s="438">
        <v>0.88</v>
      </c>
      <c r="D93" s="438">
        <v>0.86</v>
      </c>
      <c r="I93" s="1" t="str">
        <f>A93</f>
        <v xml:space="preserve">    Hot water Geyser</v>
      </c>
      <c r="K93" t="str">
        <f>RES!D137</f>
        <v>RHEW</v>
      </c>
      <c r="L93" s="3">
        <v>0.7</v>
      </c>
      <c r="M93">
        <f t="shared" ref="M93:M97" si="52">(1/B93)*$L93</f>
        <v>0.73684210526315785</v>
      </c>
      <c r="N93">
        <f t="shared" ref="N93:N97" si="53">(1/C93)*$L93</f>
        <v>0.79545454545454553</v>
      </c>
      <c r="O93">
        <f t="shared" ref="O93:O97" si="54">(1/D93)*$L93</f>
        <v>0.81395348837209303</v>
      </c>
      <c r="P93">
        <f t="shared" ref="P93:P97" si="55">O93</f>
        <v>0.81395348837209303</v>
      </c>
      <c r="R93">
        <v>93</v>
      </c>
    </row>
    <row r="94" spans="1:18" ht="14.6">
      <c r="A94" s="437" t="s">
        <v>847</v>
      </c>
      <c r="B94" s="438">
        <v>0.98</v>
      </c>
      <c r="C94" s="438">
        <v>0.91</v>
      </c>
      <c r="D94" s="438">
        <v>0.89</v>
      </c>
      <c r="I94" s="1" t="str">
        <f>A94</f>
        <v xml:space="preserve">   Cooking</v>
      </c>
      <c r="K94" s="1" t="s">
        <v>249</v>
      </c>
      <c r="L94">
        <v>0.65</v>
      </c>
      <c r="M94">
        <f t="shared" si="52"/>
        <v>0.66326530612244905</v>
      </c>
      <c r="N94">
        <f t="shared" si="53"/>
        <v>0.71428571428571419</v>
      </c>
      <c r="O94">
        <f t="shared" si="54"/>
        <v>0.73033707865168551</v>
      </c>
      <c r="P94">
        <f t="shared" si="55"/>
        <v>0.73033707865168551</v>
      </c>
      <c r="R94">
        <v>94</v>
      </c>
    </row>
    <row r="95" spans="1:18" ht="14.6">
      <c r="A95" s="437" t="s">
        <v>848</v>
      </c>
      <c r="B95" s="438">
        <v>0.99</v>
      </c>
      <c r="C95" s="438">
        <v>0.95</v>
      </c>
      <c r="D95" s="438">
        <v>0.94</v>
      </c>
      <c r="I95" s="1" t="str">
        <f>A95</f>
        <v xml:space="preserve">   Other appliances</v>
      </c>
      <c r="K95" s="1" t="s">
        <v>253</v>
      </c>
      <c r="L95">
        <v>0.8</v>
      </c>
      <c r="M95">
        <f t="shared" si="52"/>
        <v>0.80808080808080818</v>
      </c>
      <c r="N95">
        <f t="shared" si="53"/>
        <v>0.84210526315789469</v>
      </c>
      <c r="O95">
        <f t="shared" si="54"/>
        <v>0.85106382978723405</v>
      </c>
      <c r="P95">
        <f t="shared" si="55"/>
        <v>0.85106382978723405</v>
      </c>
      <c r="R95">
        <v>95</v>
      </c>
    </row>
    <row r="96" spans="1:18" ht="14.6">
      <c r="A96" s="437" t="s">
        <v>849</v>
      </c>
      <c r="B96" s="438">
        <v>0.86</v>
      </c>
      <c r="C96" s="438">
        <v>0.52</v>
      </c>
      <c r="D96" s="438">
        <v>0.49</v>
      </c>
      <c r="I96" s="1" t="str">
        <f>A96</f>
        <v xml:space="preserve">   Refrigeration</v>
      </c>
      <c r="K96" s="1" t="s">
        <v>252</v>
      </c>
      <c r="L96">
        <v>0.64200000000000002</v>
      </c>
      <c r="M96">
        <f t="shared" si="52"/>
        <v>0.74651162790697678</v>
      </c>
      <c r="N96">
        <f t="shared" si="53"/>
        <v>1.2346153846153844</v>
      </c>
      <c r="O96">
        <f t="shared" si="54"/>
        <v>1.3102040816326532</v>
      </c>
      <c r="P96">
        <f t="shared" si="55"/>
        <v>1.3102040816326532</v>
      </c>
      <c r="R96">
        <v>96</v>
      </c>
    </row>
    <row r="97" spans="1:18" ht="14.6">
      <c r="A97" s="437" t="s">
        <v>850</v>
      </c>
      <c r="B97" s="438">
        <v>1</v>
      </c>
      <c r="C97" s="438">
        <v>1</v>
      </c>
      <c r="D97" s="438">
        <v>1</v>
      </c>
      <c r="I97" s="1" t="str">
        <f>A97</f>
        <v xml:space="preserve">   Space heating</v>
      </c>
      <c r="K97" s="1" t="s">
        <v>250</v>
      </c>
      <c r="L97">
        <v>0.94750000000000012</v>
      </c>
      <c r="M97">
        <f t="shared" si="52"/>
        <v>0.94750000000000012</v>
      </c>
      <c r="N97">
        <f t="shared" si="53"/>
        <v>0.94750000000000012</v>
      </c>
      <c r="O97">
        <f t="shared" si="54"/>
        <v>0.94750000000000012</v>
      </c>
      <c r="P97">
        <f t="shared" si="55"/>
        <v>0.94750000000000012</v>
      </c>
      <c r="R97">
        <v>97</v>
      </c>
    </row>
    <row r="98" spans="1:18" ht="16.3" thickBot="1">
      <c r="A98" s="439" t="s">
        <v>853</v>
      </c>
      <c r="B98" s="440"/>
      <c r="C98" s="440"/>
      <c r="D98" s="440"/>
      <c r="I98" s="1"/>
      <c r="R98">
        <v>98</v>
      </c>
    </row>
    <row r="99" spans="1:18" ht="14.6">
      <c r="A99" s="437" t="s">
        <v>852</v>
      </c>
      <c r="B99" s="438">
        <v>0.97</v>
      </c>
      <c r="C99" s="438">
        <v>0.88</v>
      </c>
      <c r="D99" s="438">
        <v>0.84</v>
      </c>
      <c r="I99" s="1" t="str">
        <f>A99</f>
        <v xml:space="preserve">    Hot water Geyser</v>
      </c>
      <c r="L99" s="3">
        <v>0.7</v>
      </c>
      <c r="M99">
        <f t="shared" ref="M99:M103" si="56">(1/B99)*$L99</f>
        <v>0.72164948453608246</v>
      </c>
      <c r="N99">
        <f t="shared" ref="N99:N103" si="57">(1/C99)*$L99</f>
        <v>0.79545454545454553</v>
      </c>
      <c r="O99">
        <f t="shared" ref="O99:O103" si="58">(1/D99)*$L99</f>
        <v>0.83333333333333326</v>
      </c>
      <c r="P99">
        <f t="shared" ref="P99:P103" si="59">O99</f>
        <v>0.83333333333333326</v>
      </c>
      <c r="R99">
        <v>99</v>
      </c>
    </row>
    <row r="100" spans="1:18" ht="14.6">
      <c r="A100" s="437" t="s">
        <v>847</v>
      </c>
      <c r="B100" s="438">
        <v>0.97</v>
      </c>
      <c r="C100" s="438">
        <v>0.88</v>
      </c>
      <c r="D100" s="438">
        <v>0.86</v>
      </c>
      <c r="I100" s="1" t="str">
        <f>A100</f>
        <v xml:space="preserve">   Cooking</v>
      </c>
      <c r="K100" s="1" t="s">
        <v>255</v>
      </c>
      <c r="L100">
        <v>0.65</v>
      </c>
      <c r="M100">
        <f t="shared" si="56"/>
        <v>0.67010309278350522</v>
      </c>
      <c r="N100">
        <f t="shared" si="57"/>
        <v>0.73863636363636376</v>
      </c>
      <c r="O100">
        <f t="shared" si="58"/>
        <v>0.75581395348837221</v>
      </c>
      <c r="P100">
        <f t="shared" si="59"/>
        <v>0.75581395348837221</v>
      </c>
      <c r="R100">
        <v>100</v>
      </c>
    </row>
    <row r="101" spans="1:18" ht="14.6">
      <c r="A101" s="437" t="s">
        <v>848</v>
      </c>
      <c r="B101" s="438">
        <v>0.97</v>
      </c>
      <c r="C101" s="438">
        <v>0.9</v>
      </c>
      <c r="D101" s="438">
        <v>0.88</v>
      </c>
      <c r="I101" s="1" t="str">
        <f>A101</f>
        <v xml:space="preserve">   Other appliances</v>
      </c>
      <c r="K101" s="1" t="s">
        <v>258</v>
      </c>
      <c r="L101">
        <v>0.8</v>
      </c>
      <c r="M101">
        <f t="shared" si="56"/>
        <v>0.82474226804123729</v>
      </c>
      <c r="N101">
        <f t="shared" si="57"/>
        <v>0.88888888888888895</v>
      </c>
      <c r="O101">
        <f t="shared" si="58"/>
        <v>0.90909090909090917</v>
      </c>
      <c r="P101">
        <f t="shared" si="59"/>
        <v>0.90909090909090917</v>
      </c>
      <c r="R101">
        <v>101</v>
      </c>
    </row>
    <row r="102" spans="1:18" ht="14.6">
      <c r="A102" s="437" t="s">
        <v>849</v>
      </c>
      <c r="B102" s="438">
        <v>0.88</v>
      </c>
      <c r="C102" s="438">
        <v>0.55000000000000004</v>
      </c>
      <c r="D102" s="438">
        <v>0.49</v>
      </c>
      <c r="I102" s="1" t="str">
        <f>A102</f>
        <v xml:space="preserve">   Refrigeration</v>
      </c>
      <c r="K102" s="1" t="s">
        <v>257</v>
      </c>
      <c r="L102">
        <v>0.64200000000000002</v>
      </c>
      <c r="M102">
        <f t="shared" si="56"/>
        <v>0.72954545454545461</v>
      </c>
      <c r="N102">
        <f t="shared" si="57"/>
        <v>1.1672727272727272</v>
      </c>
      <c r="O102">
        <f t="shared" si="58"/>
        <v>1.3102040816326532</v>
      </c>
      <c r="P102">
        <f t="shared" si="59"/>
        <v>1.3102040816326532</v>
      </c>
      <c r="R102">
        <v>102</v>
      </c>
    </row>
    <row r="103" spans="1:18" ht="14.6">
      <c r="A103" s="437" t="s">
        <v>850</v>
      </c>
      <c r="B103" s="438">
        <v>1</v>
      </c>
      <c r="C103" s="438">
        <v>1</v>
      </c>
      <c r="D103" s="438">
        <v>1</v>
      </c>
      <c r="I103" s="1" t="str">
        <f>A103</f>
        <v xml:space="preserve">   Space heating</v>
      </c>
      <c r="K103" s="1" t="s">
        <v>239</v>
      </c>
      <c r="L103">
        <v>0.97249999999999992</v>
      </c>
      <c r="M103">
        <f t="shared" si="56"/>
        <v>0.97249999999999992</v>
      </c>
      <c r="N103">
        <f t="shared" si="57"/>
        <v>0.97249999999999992</v>
      </c>
      <c r="O103">
        <f t="shared" si="58"/>
        <v>0.97249999999999992</v>
      </c>
      <c r="P103">
        <f t="shared" si="59"/>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F1" zoomScale="130" zoomScaleNormal="130" workbookViewId="0">
      <selection activeCell="E28" sqref="E28"/>
    </sheetView>
  </sheetViews>
  <sheetFormatPr defaultColWidth="9.15234375" defaultRowHeight="12.45"/>
  <cols>
    <col min="1" max="1" width="56.69140625" style="85" customWidth="1"/>
    <col min="2" max="2" width="21.69140625" style="85" customWidth="1"/>
    <col min="3" max="3" width="13.3046875" style="85" customWidth="1"/>
    <col min="4" max="4" width="14.69140625" style="85" customWidth="1"/>
    <col min="5" max="5" width="10.69140625" style="85" customWidth="1"/>
    <col min="6" max="16" width="29.3828125" style="85" customWidth="1"/>
    <col min="17" max="17" width="15.3828125" style="85" customWidth="1"/>
    <col min="18" max="46" width="9.15234375" style="85"/>
    <col min="47" max="47" width="13.69140625" style="85" customWidth="1"/>
    <col min="48" max="78" width="9.15234375" style="85"/>
    <col min="79" max="79" width="13.3046875" style="85" bestFit="1" customWidth="1"/>
    <col min="80" max="80" width="10.3828125" style="85" bestFit="1" customWidth="1"/>
    <col min="81" max="82" width="11.3828125" style="85" bestFit="1" customWidth="1"/>
    <col min="83" max="84" width="10.3828125" style="85" bestFit="1" customWidth="1"/>
    <col min="85" max="85" width="9.3828125" style="85" bestFit="1" customWidth="1"/>
    <col min="86" max="86" width="9.3046875" style="85" bestFit="1" customWidth="1"/>
    <col min="87" max="88" width="9.15234375" style="85"/>
    <col min="89" max="89" width="10.3828125" style="85" bestFit="1" customWidth="1"/>
    <col min="90" max="91" width="9.15234375" style="85"/>
    <col min="92" max="92" width="10.3828125" style="85" customWidth="1"/>
    <col min="93" max="16384" width="9.15234375" style="85"/>
  </cols>
  <sheetData>
    <row r="1" spans="1:15" s="442" customFormat="1" ht="22.3">
      <c r="A1" s="462" t="s">
        <v>865</v>
      </c>
      <c r="O1" s="85"/>
    </row>
    <row r="2" spans="1:15" s="397" customFormat="1" ht="37.75" thickBot="1">
      <c r="D2" s="429" t="s">
        <v>826</v>
      </c>
      <c r="E2" s="429" t="s">
        <v>825</v>
      </c>
      <c r="F2" s="429" t="s">
        <v>859</v>
      </c>
      <c r="G2" s="429" t="s">
        <v>861</v>
      </c>
      <c r="H2" s="429" t="s">
        <v>860</v>
      </c>
      <c r="I2" s="429"/>
      <c r="J2" s="429" t="s">
        <v>902</v>
      </c>
      <c r="K2" s="85"/>
    </row>
    <row r="3" spans="1:15" ht="62.15">
      <c r="A3" s="457" t="s">
        <v>35</v>
      </c>
      <c r="B3" s="448" t="s">
        <v>824</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434</v>
      </c>
      <c r="B4" s="451" t="s">
        <v>819</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900</v>
      </c>
      <c r="N4" s="85" t="s">
        <v>901</v>
      </c>
    </row>
    <row r="5" spans="1:15" ht="12.9" thickBot="1">
      <c r="A5" s="459" t="s">
        <v>37</v>
      </c>
      <c r="B5" s="454" t="s">
        <v>819</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587</v>
      </c>
      <c r="M5" s="85">
        <v>14.406601969588325</v>
      </c>
      <c r="N5" s="85">
        <f>M5/SUM(M$5:M$7)</f>
        <v>0.27623399180360764</v>
      </c>
    </row>
    <row r="6" spans="1:15">
      <c r="A6" s="460" t="s">
        <v>782</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783</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899</v>
      </c>
      <c r="M7" s="85">
        <v>16.428106624765377</v>
      </c>
      <c r="N7" s="85">
        <f t="shared" si="2"/>
        <v>0.31499457542547121</v>
      </c>
    </row>
    <row r="8" spans="1:15">
      <c r="A8" s="463" t="s">
        <v>858</v>
      </c>
      <c r="B8" s="464"/>
      <c r="C8" s="464"/>
      <c r="D8" s="464"/>
      <c r="E8" s="464"/>
      <c r="F8" s="464"/>
      <c r="G8" s="464">
        <f>F220+F229+F238</f>
        <v>14450161.490948498</v>
      </c>
      <c r="H8" s="470"/>
      <c r="I8" s="429"/>
      <c r="J8" s="499"/>
    </row>
    <row r="9" spans="1:15">
      <c r="A9" s="463" t="s">
        <v>857</v>
      </c>
      <c r="B9" s="464"/>
      <c r="C9" s="464"/>
      <c r="D9" s="464"/>
      <c r="E9" s="464"/>
      <c r="F9" s="464"/>
      <c r="G9" s="464"/>
      <c r="H9" s="471">
        <f>D47</f>
        <v>17431008.27</v>
      </c>
      <c r="I9" s="429"/>
      <c r="J9" s="500">
        <v>18527765.692977004</v>
      </c>
    </row>
    <row r="10" spans="1:15">
      <c r="A10" s="463" t="s">
        <v>862</v>
      </c>
      <c r="B10" s="464"/>
      <c r="C10" s="464"/>
      <c r="D10" s="464"/>
      <c r="E10" s="464"/>
      <c r="F10" s="464"/>
      <c r="G10" s="465">
        <f>(G5+G6+G7)/SUM(G3:G5)</f>
        <v>0.81784410608592495</v>
      </c>
      <c r="H10" s="470"/>
      <c r="I10" s="429"/>
      <c r="J10" s="499"/>
    </row>
    <row r="11" spans="1:15">
      <c r="A11" s="463" t="s">
        <v>863</v>
      </c>
      <c r="B11" s="464"/>
      <c r="C11" s="464"/>
      <c r="D11" s="464"/>
      <c r="E11" s="464"/>
      <c r="F11" s="464"/>
      <c r="G11" s="464"/>
      <c r="H11" s="472">
        <f>(H5+H6+H7)/SUM(H3:H5)</f>
        <v>0.85662136462098004</v>
      </c>
      <c r="I11" s="429"/>
      <c r="J11" s="501"/>
    </row>
    <row r="12" spans="1:15">
      <c r="A12" s="463" t="s">
        <v>864</v>
      </c>
      <c r="B12" s="464"/>
      <c r="C12" s="464"/>
      <c r="D12" s="464"/>
      <c r="E12" s="464"/>
      <c r="F12" s="464"/>
      <c r="G12" s="464"/>
      <c r="H12" s="470">
        <f>H11</f>
        <v>0.85662136462098004</v>
      </c>
      <c r="I12" s="429"/>
      <c r="J12" s="499"/>
    </row>
    <row r="15" spans="1:15" s="442" customFormat="1" ht="22.3">
      <c r="A15" s="474" t="s">
        <v>868</v>
      </c>
    </row>
    <row r="16" spans="1:15" ht="22.3">
      <c r="A16" s="475"/>
    </row>
    <row r="17" spans="1:43">
      <c r="A17" s="391" t="s">
        <v>867</v>
      </c>
      <c r="B17" s="85">
        <f>-($N111*B$20)*$N112/(100-$N111)</f>
        <v>-9.5368495030374672E-6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c r="F23" s="14" t="s">
        <v>820</v>
      </c>
    </row>
    <row r="24" spans="1:43" customFormat="1">
      <c r="A24" t="s">
        <v>110</v>
      </c>
      <c r="B24">
        <v>0</v>
      </c>
      <c r="C24" t="s">
        <v>1024</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1025</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821</v>
      </c>
      <c r="G29" s="420">
        <f t="shared" ref="G29:J30" si="3">(G25-$F25)/$F25</f>
        <v>4.4045676998368755E-2</v>
      </c>
      <c r="H29" s="420">
        <f t="shared" si="3"/>
        <v>0.10929853181076671</v>
      </c>
      <c r="I29" s="420">
        <f t="shared" si="3"/>
        <v>0.1745513866231648</v>
      </c>
      <c r="J29" s="420">
        <f t="shared" si="3"/>
        <v>0.23980424143556278</v>
      </c>
    </row>
    <row r="30" spans="1:43" customFormat="1">
      <c r="C30" t="str">
        <f>C26</f>
        <v>Middle Income</v>
      </c>
      <c r="D30" t="s">
        <v>821</v>
      </c>
      <c r="G30" s="420">
        <f t="shared" si="3"/>
        <v>3.0042918454935615E-2</v>
      </c>
      <c r="H30" s="420">
        <f t="shared" si="3"/>
        <v>8.7267525035765292E-2</v>
      </c>
      <c r="I30" s="420">
        <f t="shared" si="3"/>
        <v>8.7267525035765292E-2</v>
      </c>
      <c r="J30" s="420">
        <f t="shared" si="3"/>
        <v>0.1444921316165951</v>
      </c>
    </row>
    <row r="31" spans="1:43" customFormat="1"/>
    <row r="32" spans="1:43" customFormat="1">
      <c r="G32" s="419">
        <f>F25*(1+G29)</f>
        <v>0.8</v>
      </c>
    </row>
    <row r="33" spans="1:16" customFormat="1"/>
    <row r="34" spans="1:16" customFormat="1"/>
    <row r="35" spans="1:16" customFormat="1"/>
    <row r="36" spans="1:16" customFormat="1">
      <c r="G36" s="14" t="s">
        <v>893</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3">
      <c r="A43" s="462" t="s">
        <v>869</v>
      </c>
      <c r="O43" s="85"/>
    </row>
    <row r="46" spans="1:16" s="385" customFormat="1">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3">
      <c r="A57" s="462" t="s">
        <v>866</v>
      </c>
      <c r="O57" s="473"/>
    </row>
    <row r="58" spans="1:17">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779</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780</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781</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3">
      <c r="A68" s="462" t="s">
        <v>870</v>
      </c>
    </row>
    <row r="69" spans="1:17" ht="12.9" thickBot="1">
      <c r="F69" s="390" t="s">
        <v>42</v>
      </c>
      <c r="G69" s="390" t="s">
        <v>43</v>
      </c>
      <c r="H69" s="390" t="s">
        <v>17</v>
      </c>
      <c r="I69" s="390" t="s">
        <v>7</v>
      </c>
      <c r="J69" s="390" t="s">
        <v>9</v>
      </c>
      <c r="K69" s="390" t="s">
        <v>46</v>
      </c>
      <c r="L69" s="390" t="s">
        <v>44</v>
      </c>
      <c r="M69" s="401" t="s">
        <v>41</v>
      </c>
      <c r="N69" s="389" t="s">
        <v>2</v>
      </c>
      <c r="O69" s="228" t="s">
        <v>47</v>
      </c>
      <c r="P69" s="389" t="s">
        <v>279</v>
      </c>
    </row>
    <row r="70" spans="1:17" ht="12.9"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2.9"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2.9"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2.9"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2.9"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2.9"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2.9"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2.9"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2.9"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3">
      <c r="A80" s="462" t="s">
        <v>895</v>
      </c>
    </row>
    <row r="81" spans="1:1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7.299999999999997">
      <c r="D88" s="400" t="s">
        <v>795</v>
      </c>
      <c r="E88" s="400" t="s">
        <v>794</v>
      </c>
      <c r="F88" s="382"/>
      <c r="G88" s="382"/>
      <c r="H88" s="382"/>
      <c r="I88" s="382"/>
      <c r="J88" s="382"/>
      <c r="K88" s="382"/>
      <c r="L88" s="382"/>
      <c r="M88" s="402"/>
      <c r="N88" s="382"/>
      <c r="O88" s="402"/>
      <c r="P88" s="383"/>
      <c r="Q88" s="381"/>
    </row>
    <row r="89" spans="1:17">
      <c r="A89" s="85">
        <v>2017</v>
      </c>
      <c r="B89" s="394" t="s">
        <v>22</v>
      </c>
      <c r="C89" s="85" t="s">
        <v>801</v>
      </c>
      <c r="D89" s="85">
        <f>F6*0.95</f>
        <v>0.7279374999999999</v>
      </c>
      <c r="E89" s="85">
        <f>D89*H3</f>
        <v>5591898.8607052295</v>
      </c>
      <c r="F89" s="382"/>
      <c r="G89" s="382"/>
      <c r="H89" s="382"/>
      <c r="I89" s="382"/>
      <c r="J89" s="382"/>
      <c r="K89" s="382"/>
      <c r="L89" s="382"/>
      <c r="M89" s="402"/>
      <c r="N89" s="382"/>
      <c r="O89" s="402"/>
      <c r="P89" s="383"/>
      <c r="Q89" s="381"/>
    </row>
    <row r="90" spans="1:17">
      <c r="A90" s="85">
        <v>2017</v>
      </c>
      <c r="B90" s="394" t="s">
        <v>24</v>
      </c>
      <c r="C90" s="85" t="s">
        <v>801</v>
      </c>
      <c r="D90" s="383">
        <f>F7</f>
        <v>0.87375000000000003</v>
      </c>
      <c r="E90" s="85">
        <f>D90*H4</f>
        <v>4869498.7466859436</v>
      </c>
      <c r="F90" s="382"/>
      <c r="G90" s="382"/>
      <c r="H90" s="382"/>
      <c r="I90" s="382"/>
      <c r="J90" s="382"/>
      <c r="K90" s="382"/>
      <c r="L90" s="382"/>
      <c r="M90" s="402"/>
      <c r="N90" s="382"/>
      <c r="O90" s="402"/>
      <c r="P90" s="383"/>
      <c r="Q90" s="381"/>
    </row>
    <row r="91" spans="1:17">
      <c r="A91" s="85">
        <v>2017</v>
      </c>
      <c r="B91" s="394" t="s">
        <v>25</v>
      </c>
      <c r="C91" s="85" t="s">
        <v>801</v>
      </c>
      <c r="D91" s="85">
        <f>100</f>
        <v>100</v>
      </c>
      <c r="E91" s="85">
        <f>D91*H5</f>
        <v>417606601.72229087</v>
      </c>
      <c r="F91" s="382"/>
      <c r="G91" s="382"/>
      <c r="H91" s="382"/>
      <c r="I91" s="382"/>
      <c r="J91" s="382"/>
      <c r="K91" s="382"/>
      <c r="L91" s="382"/>
      <c r="M91" s="402"/>
      <c r="N91" s="382"/>
      <c r="O91" s="402"/>
      <c r="P91" s="383"/>
      <c r="Q91" s="381"/>
    </row>
    <row r="92" spans="1:17">
      <c r="A92" s="85">
        <v>2017</v>
      </c>
      <c r="B92" s="394" t="s">
        <v>22</v>
      </c>
      <c r="C92" s="85" t="s">
        <v>802</v>
      </c>
      <c r="F92" s="382"/>
      <c r="G92" s="382"/>
      <c r="H92" s="382"/>
      <c r="I92" s="382"/>
      <c r="J92" s="382"/>
      <c r="K92" s="382"/>
      <c r="L92" s="382"/>
      <c r="M92" s="402"/>
      <c r="N92" s="382"/>
      <c r="O92" s="402"/>
      <c r="P92" s="383"/>
      <c r="Q92" s="381"/>
    </row>
    <row r="93" spans="1:17">
      <c r="A93" s="85">
        <v>2017</v>
      </c>
      <c r="B93" s="394" t="s">
        <v>24</v>
      </c>
      <c r="C93" s="85" t="s">
        <v>802</v>
      </c>
      <c r="F93" s="382"/>
      <c r="G93" s="382"/>
      <c r="H93" s="382"/>
      <c r="I93" s="382"/>
      <c r="J93" s="382"/>
      <c r="K93" s="382"/>
      <c r="L93" s="382"/>
      <c r="M93" s="402"/>
      <c r="N93" s="382"/>
      <c r="O93" s="402"/>
      <c r="P93" s="383"/>
      <c r="Q93" s="381"/>
    </row>
    <row r="94" spans="1:17">
      <c r="A94" s="85">
        <v>2017</v>
      </c>
      <c r="B94" s="394" t="s">
        <v>25</v>
      </c>
      <c r="C94" s="85" t="s">
        <v>802</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c r="A104" s="85">
        <v>2017</v>
      </c>
      <c r="B104" s="394" t="str">
        <f t="shared" si="27"/>
        <v>Low Income</v>
      </c>
      <c r="C104" t="str">
        <f>'2017 end use splits'!D67</f>
        <v>space heating</v>
      </c>
      <c r="D104">
        <f>100-'Census 2011_17'!G298</f>
        <v>84.7</v>
      </c>
      <c r="E104">
        <f>D104*SUMIF('Census 2011_17'!A$3:$A$5,B104,'Census 2011_17'!H$3:$H$5)/100</f>
        <v>6506517.846679599</v>
      </c>
      <c r="F104" s="14" t="s">
        <v>796</v>
      </c>
      <c r="G104" s="384"/>
      <c r="H104" s="384"/>
      <c r="I104" s="384"/>
      <c r="J104" s="384"/>
      <c r="K104" s="384"/>
      <c r="L104" s="384"/>
      <c r="M104" s="384"/>
      <c r="N104" s="384"/>
      <c r="O104" s="384"/>
      <c r="P104" s="384"/>
      <c r="Q104" s="384"/>
    </row>
    <row r="105" spans="1:19">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c r="A106" s="85">
        <v>2017</v>
      </c>
      <c r="B106" s="394" t="str">
        <f t="shared" si="27"/>
        <v>High Income</v>
      </c>
      <c r="C106" t="str">
        <f>'2017 end use splits'!D69</f>
        <v>space heating</v>
      </c>
      <c r="D106">
        <f>D105</f>
        <v>84.7</v>
      </c>
      <c r="E106">
        <f>D106*SUMIF('Census 2011_17'!A$3:$A$5,B106,'Census 2011_17'!H$3:$H$5)/100</f>
        <v>3537127.916587804</v>
      </c>
      <c r="F106"/>
    </row>
    <row r="107" spans="1:19">
      <c r="A107" s="394"/>
      <c r="B107"/>
      <c r="C107"/>
      <c r="D107"/>
      <c r="E107"/>
      <c r="F107"/>
    </row>
    <row r="108" spans="1:19">
      <c r="A108" s="237" t="s">
        <v>417</v>
      </c>
      <c r="C108" s="87"/>
      <c r="D108" s="88"/>
      <c r="E108" s="87"/>
      <c r="F108" s="87"/>
      <c r="G108" s="87"/>
    </row>
    <row r="109" spans="1:19" ht="12.9" thickBot="1">
      <c r="B109" s="212" t="s">
        <v>38</v>
      </c>
      <c r="C109" s="213"/>
      <c r="D109" s="213"/>
      <c r="E109" s="213"/>
      <c r="F109" s="213"/>
      <c r="G109" s="213"/>
      <c r="H109" s="214" t="s">
        <v>281</v>
      </c>
      <c r="I109" s="215"/>
      <c r="J109" s="215"/>
    </row>
    <row r="110" spans="1:19" s="397" customFormat="1" ht="25.3"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2.9"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2.9"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2.9"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2.9"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2.9"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2.9"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2.9"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2.9"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2.9" thickBot="1">
      <c r="A119" s="85" t="s">
        <v>12</v>
      </c>
      <c r="B119" s="211" t="s">
        <v>22</v>
      </c>
      <c r="C119" s="211" t="s">
        <v>410</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2.9" thickBot="1">
      <c r="A120" s="85" t="s">
        <v>12</v>
      </c>
      <c r="B120" s="250" t="s">
        <v>283</v>
      </c>
      <c r="C120" s="96"/>
      <c r="D120" s="89" t="s">
        <v>34</v>
      </c>
      <c r="E120" s="89" t="s">
        <v>33</v>
      </c>
      <c r="F120" s="89" t="s">
        <v>27</v>
      </c>
      <c r="G120" s="387"/>
      <c r="H120" s="89" t="s">
        <v>34</v>
      </c>
      <c r="I120" s="90" t="s">
        <v>33</v>
      </c>
      <c r="J120" s="89" t="s">
        <v>27</v>
      </c>
      <c r="L120"/>
      <c r="N120" s="409"/>
    </row>
    <row r="121" spans="1:19" ht="12.9"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2.9"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2.9"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2.9"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2.9"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2.9"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2.9"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2.9"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2.9" thickBot="1">
      <c r="A129" s="85" t="s">
        <v>12</v>
      </c>
      <c r="B129" s="95" t="s">
        <v>24</v>
      </c>
      <c r="C129" s="251" t="s">
        <v>410</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2.9" thickBot="1">
      <c r="A130" s="85" t="s">
        <v>12</v>
      </c>
      <c r="B130" s="252" t="s">
        <v>284</v>
      </c>
      <c r="C130" s="96"/>
      <c r="D130" s="89" t="s">
        <v>34</v>
      </c>
      <c r="E130" s="89" t="s">
        <v>33</v>
      </c>
      <c r="F130" s="89" t="s">
        <v>27</v>
      </c>
      <c r="G130" s="387"/>
      <c r="H130" s="89" t="s">
        <v>34</v>
      </c>
      <c r="I130" s="90" t="s">
        <v>33</v>
      </c>
      <c r="J130" s="89" t="s">
        <v>27</v>
      </c>
      <c r="L130"/>
      <c r="N130" s="409"/>
    </row>
    <row r="131" spans="1:19" ht="12.9"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2.9"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2.9"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2.9"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2.9"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2.9"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2.9"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2.9"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2.9" thickBot="1">
      <c r="A139" s="85" t="s">
        <v>12</v>
      </c>
      <c r="B139" s="98" t="s">
        <v>25</v>
      </c>
      <c r="C139" s="251" t="s">
        <v>410</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2.9" thickBot="1">
      <c r="A140" s="85" t="s">
        <v>310</v>
      </c>
      <c r="B140" s="99" t="s">
        <v>40</v>
      </c>
      <c r="C140" s="100"/>
      <c r="D140" s="101"/>
      <c r="E140" s="101"/>
      <c r="F140" s="103"/>
      <c r="G140" s="387"/>
      <c r="H140" s="101"/>
      <c r="I140" s="102"/>
      <c r="J140" s="103"/>
      <c r="L140"/>
    </row>
    <row r="141" spans="1:19" ht="12.9"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2.9"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2.9"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2.9"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2.9"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2.9"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2.9"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2.9"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2.9"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2.9" thickBot="1">
      <c r="A150" s="85" t="s">
        <v>13</v>
      </c>
      <c r="B150" s="211" t="s">
        <v>22</v>
      </c>
      <c r="C150" s="251" t="s">
        <v>410</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2.9" thickBot="1">
      <c r="A151" s="85" t="s">
        <v>13</v>
      </c>
      <c r="B151" s="250" t="s">
        <v>283</v>
      </c>
      <c r="C151" s="255"/>
      <c r="D151" s="89" t="s">
        <v>34</v>
      </c>
      <c r="E151" s="89" t="s">
        <v>33</v>
      </c>
      <c r="F151" s="89" t="s">
        <v>27</v>
      </c>
      <c r="G151" s="387"/>
      <c r="H151" s="89" t="s">
        <v>34</v>
      </c>
      <c r="I151" s="90" t="s">
        <v>33</v>
      </c>
      <c r="J151" s="89" t="s">
        <v>27</v>
      </c>
      <c r="L151"/>
    </row>
    <row r="152" spans="1:19" ht="12.9"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2.9"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2.9"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2.9"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2.9"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2.9"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2.9"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2.9"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2.9" thickBot="1">
      <c r="A160" s="85" t="s">
        <v>13</v>
      </c>
      <c r="B160" s="95" t="s">
        <v>24</v>
      </c>
      <c r="C160" s="251" t="s">
        <v>410</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2.9" thickBot="1">
      <c r="A161" s="85" t="s">
        <v>13</v>
      </c>
      <c r="B161" s="252" t="s">
        <v>284</v>
      </c>
      <c r="C161" s="256"/>
      <c r="D161" s="89" t="s">
        <v>34</v>
      </c>
      <c r="E161" s="89" t="s">
        <v>33</v>
      </c>
      <c r="F161" s="89" t="s">
        <v>27</v>
      </c>
      <c r="G161" s="387"/>
      <c r="H161" s="89" t="s">
        <v>34</v>
      </c>
      <c r="I161" s="90" t="s">
        <v>33</v>
      </c>
      <c r="J161" s="89" t="s">
        <v>27</v>
      </c>
      <c r="L161"/>
    </row>
    <row r="162" spans="1:19" ht="12.9"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2.9"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2.9"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2.9"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2.9"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2.9"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2.9"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2.9"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2.9" thickBot="1">
      <c r="A170" s="85" t="s">
        <v>13</v>
      </c>
      <c r="B170" s="98" t="s">
        <v>25</v>
      </c>
      <c r="C170" s="251" t="s">
        <v>410</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2.9" thickBot="1">
      <c r="C172" s="85" t="s">
        <v>414</v>
      </c>
      <c r="D172" s="219">
        <f>D150+D160+D170</f>
        <v>10895201.751889</v>
      </c>
      <c r="E172" s="219">
        <f>E150+E160+E170</f>
        <v>1733660.4583000005</v>
      </c>
    </row>
    <row r="173" spans="1:19" ht="12.9" thickBot="1">
      <c r="A173" s="85" t="s">
        <v>14</v>
      </c>
      <c r="B173" s="99" t="s">
        <v>856</v>
      </c>
      <c r="C173" s="100"/>
      <c r="D173" s="101"/>
      <c r="E173" s="101"/>
      <c r="F173" s="103"/>
    </row>
    <row r="174" spans="1:19" ht="12.9" thickBot="1">
      <c r="A174" s="85" t="s">
        <v>14</v>
      </c>
      <c r="B174" s="250" t="s">
        <v>282</v>
      </c>
      <c r="C174" s="104"/>
      <c r="D174" s="89" t="s">
        <v>34</v>
      </c>
      <c r="E174" s="89" t="s">
        <v>33</v>
      </c>
      <c r="F174" s="89" t="s">
        <v>27</v>
      </c>
      <c r="P174" s="422">
        <f>P141</f>
        <v>2020</v>
      </c>
      <c r="Q174" s="422">
        <f t="shared" ref="Q174:S174" si="72">Q141</f>
        <v>2030</v>
      </c>
      <c r="R174" s="422">
        <f t="shared" si="72"/>
        <v>2040</v>
      </c>
      <c r="S174" s="422" t="e">
        <f t="shared" si="72"/>
        <v>#REF!</v>
      </c>
    </row>
    <row r="175" spans="1:19" ht="12.9"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2.9"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2.9"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2.9"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2.9"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2.9"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2.9"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2.9"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2.9" thickBot="1">
      <c r="A183" s="85" t="s">
        <v>14</v>
      </c>
      <c r="B183" s="211" t="s">
        <v>22</v>
      </c>
      <c r="C183" s="251" t="s">
        <v>410</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2.9" thickBot="1">
      <c r="A184" s="85" t="s">
        <v>14</v>
      </c>
      <c r="B184" s="250" t="s">
        <v>283</v>
      </c>
      <c r="C184" s="255"/>
      <c r="D184" s="89" t="s">
        <v>34</v>
      </c>
      <c r="E184" s="89" t="s">
        <v>33</v>
      </c>
      <c r="F184" s="89" t="s">
        <v>27</v>
      </c>
    </row>
    <row r="185" spans="1:19" ht="12.9"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2.9"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2.9"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2.9"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2.9"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2.9"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2.9"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2.9"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2.9" thickBot="1">
      <c r="A193" s="85" t="s">
        <v>14</v>
      </c>
      <c r="B193" s="95" t="s">
        <v>24</v>
      </c>
      <c r="C193" s="251" t="s">
        <v>410</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2.9" thickBot="1">
      <c r="A194" s="85" t="s">
        <v>14</v>
      </c>
      <c r="B194" s="252" t="s">
        <v>284</v>
      </c>
      <c r="C194" s="256"/>
      <c r="D194" s="89" t="s">
        <v>34</v>
      </c>
      <c r="E194" s="89" t="s">
        <v>33</v>
      </c>
      <c r="F194" s="89" t="s">
        <v>27</v>
      </c>
    </row>
    <row r="195" spans="1:19" ht="12.9"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2.9"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2.9"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2.9"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2.9"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2.9"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2.9"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2.9"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2.9" thickBot="1">
      <c r="A203" s="85" t="s">
        <v>14</v>
      </c>
      <c r="B203" s="98" t="s">
        <v>25</v>
      </c>
      <c r="C203" s="251" t="s">
        <v>410</v>
      </c>
      <c r="D203" s="93">
        <v>3139938.687143309</v>
      </c>
      <c r="E203" s="93">
        <v>73377.941455631459</v>
      </c>
      <c r="F203" s="105">
        <v>3213316.6285989401</v>
      </c>
    </row>
    <row r="204" spans="1:19">
      <c r="D204" s="219"/>
      <c r="E204" s="219"/>
    </row>
    <row r="205" spans="1:19" customFormat="1">
      <c r="A205" s="85" t="s">
        <v>310</v>
      </c>
      <c r="B205" s="217" t="s">
        <v>18</v>
      </c>
      <c r="C205" t="s">
        <v>55</v>
      </c>
      <c r="D205" s="85">
        <v>656307.33508305065</v>
      </c>
      <c r="E205" s="85">
        <v>277541.14498945</v>
      </c>
    </row>
    <row r="206" spans="1:19" customFormat="1">
      <c r="A206" s="85" t="s">
        <v>310</v>
      </c>
      <c r="B206" s="217" t="s">
        <v>24</v>
      </c>
      <c r="C206" t="s">
        <v>55</v>
      </c>
      <c r="D206" s="85">
        <v>472372.80664586509</v>
      </c>
      <c r="E206" s="85">
        <v>128664.41323867033</v>
      </c>
    </row>
    <row r="207" spans="1:19" customFormat="1">
      <c r="A207" s="85" t="s">
        <v>310</v>
      </c>
      <c r="B207" s="217" t="s">
        <v>59</v>
      </c>
      <c r="C207" t="s">
        <v>55</v>
      </c>
      <c r="D207" s="85">
        <v>218514.65195108452</v>
      </c>
      <c r="E207" s="85">
        <v>19971.579971879022</v>
      </c>
    </row>
    <row r="208" spans="1:19" customFormat="1">
      <c r="D208" s="85"/>
      <c r="E208" s="85"/>
    </row>
    <row r="209" spans="1:19" customFormat="1">
      <c r="C209" t="s">
        <v>412</v>
      </c>
      <c r="D209" s="86">
        <f>D119+D129+D139</f>
        <v>12228642.677698497</v>
      </c>
      <c r="E209" s="86">
        <f>E119+E129+E139</f>
        <v>2126485.2658100007</v>
      </c>
    </row>
    <row r="210" spans="1:19" customFormat="1">
      <c r="C210" t="s">
        <v>413</v>
      </c>
      <c r="D210" s="218">
        <f>D172+D205+D206+D207</f>
        <v>12242396.545568999</v>
      </c>
      <c r="E210" s="218">
        <f>E172+E205+E206+E207</f>
        <v>2159837.5965</v>
      </c>
    </row>
    <row r="211" spans="1:19" customFormat="1" ht="12.9" thickBot="1"/>
    <row r="212" spans="1:19" customFormat="1" ht="12.9"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5">Q174</f>
        <v>2030</v>
      </c>
      <c r="R212" s="422">
        <f t="shared" si="85"/>
        <v>2040</v>
      </c>
      <c r="S212" s="422" t="e">
        <f t="shared" si="85"/>
        <v>#REF!</v>
      </c>
    </row>
    <row r="213" spans="1:19" customFormat="1">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c r="A219" s="18" t="s">
        <v>11</v>
      </c>
      <c r="B219" s="221" t="s">
        <v>18</v>
      </c>
      <c r="C219" s="222" t="s">
        <v>279</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2.9"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2.9"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c r="A225" s="18" t="s">
        <v>11</v>
      </c>
      <c r="B225" s="221" t="s">
        <v>24</v>
      </c>
      <c r="C225" s="222" t="s">
        <v>280</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c r="A228" s="18" t="s">
        <v>11</v>
      </c>
      <c r="B228" s="221" t="s">
        <v>24</v>
      </c>
      <c r="C228" s="222" t="s">
        <v>279</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2.9"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2.9"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c r="A234" s="18" t="s">
        <v>11</v>
      </c>
      <c r="B234" s="221" t="s">
        <v>25</v>
      </c>
      <c r="C234" s="222" t="s">
        <v>280</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c r="A237" s="18" t="s">
        <v>11</v>
      </c>
      <c r="B237" s="221" t="s">
        <v>25</v>
      </c>
      <c r="C237" s="222" t="s">
        <v>279</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431</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510</v>
      </c>
    </row>
    <row r="255" spans="1:7" customFormat="1"/>
    <row r="256" spans="1:7" customFormat="1">
      <c r="A256" s="629" t="s">
        <v>788</v>
      </c>
      <c r="B256" s="630"/>
      <c r="C256" s="630"/>
      <c r="D256" s="630"/>
      <c r="E256" s="630"/>
      <c r="F256" s="630"/>
      <c r="G256" s="630"/>
    </row>
    <row r="257" spans="1:9" customFormat="1">
      <c r="A257" t="s">
        <v>12</v>
      </c>
      <c r="B257" t="s">
        <v>784</v>
      </c>
      <c r="D257" t="s">
        <v>151</v>
      </c>
      <c r="E257" t="s">
        <v>785</v>
      </c>
      <c r="G257">
        <v>2016</v>
      </c>
    </row>
    <row r="258" spans="1:9" customFormat="1">
      <c r="A258" s="85" t="s">
        <v>778</v>
      </c>
      <c r="B258" t="s">
        <v>786</v>
      </c>
      <c r="C258" t="s">
        <v>42</v>
      </c>
      <c r="D258">
        <v>791956</v>
      </c>
      <c r="E258">
        <v>13987704</v>
      </c>
      <c r="G258">
        <v>82.7</v>
      </c>
      <c r="I258">
        <f>SUM(E258:E268)</f>
        <v>16923309.099999998</v>
      </c>
    </row>
    <row r="259" spans="1:9" customFormat="1">
      <c r="A259" s="85" t="s">
        <v>778</v>
      </c>
      <c r="B259" t="s">
        <v>787</v>
      </c>
      <c r="C259" t="s">
        <v>42</v>
      </c>
      <c r="D259">
        <v>1360</v>
      </c>
      <c r="E259">
        <v>24332.5</v>
      </c>
      <c r="F259">
        <f>SUM(E258:E259)</f>
        <v>14012036.5</v>
      </c>
      <c r="G259">
        <v>0.1</v>
      </c>
    </row>
    <row r="260" spans="1:9" customFormat="1">
      <c r="A260" s="85" t="s">
        <v>778</v>
      </c>
      <c r="B260" t="s">
        <v>43</v>
      </c>
      <c r="C260" t="s">
        <v>43</v>
      </c>
      <c r="D260">
        <v>26059</v>
      </c>
      <c r="E260">
        <v>502216.2</v>
      </c>
      <c r="G260">
        <v>3</v>
      </c>
    </row>
    <row r="261" spans="1:9" customFormat="1">
      <c r="A261" s="85" t="s">
        <v>778</v>
      </c>
      <c r="B261" t="s">
        <v>17</v>
      </c>
      <c r="C261" t="s">
        <v>17</v>
      </c>
      <c r="D261">
        <v>49739</v>
      </c>
      <c r="E261">
        <v>908943</v>
      </c>
      <c r="G261">
        <v>5.4</v>
      </c>
    </row>
    <row r="262" spans="1:9" customFormat="1">
      <c r="A262" s="85" t="s">
        <v>778</v>
      </c>
      <c r="B262" t="s">
        <v>7</v>
      </c>
      <c r="C262" t="s">
        <v>7</v>
      </c>
      <c r="D262">
        <v>106531</v>
      </c>
      <c r="E262">
        <v>1353990.6</v>
      </c>
      <c r="G262">
        <v>8</v>
      </c>
    </row>
    <row r="263" spans="1:9" customFormat="1">
      <c r="A263" s="85" t="s">
        <v>778</v>
      </c>
      <c r="B263" t="s">
        <v>9</v>
      </c>
      <c r="C263" t="s">
        <v>9</v>
      </c>
      <c r="D263">
        <v>3241</v>
      </c>
      <c r="E263">
        <v>48580.5</v>
      </c>
      <c r="G263">
        <v>0.3</v>
      </c>
    </row>
    <row r="264" spans="1:9" customFormat="1">
      <c r="A264" s="85" t="s">
        <v>778</v>
      </c>
      <c r="B264" t="s">
        <v>46</v>
      </c>
      <c r="C264" t="s">
        <v>46</v>
      </c>
      <c r="D264">
        <v>776</v>
      </c>
      <c r="E264">
        <v>8490.6</v>
      </c>
      <c r="G264">
        <v>0.1</v>
      </c>
    </row>
    <row r="265" spans="1:9" customFormat="1">
      <c r="A265" s="85" t="s">
        <v>778</v>
      </c>
      <c r="B265" t="s">
        <v>44</v>
      </c>
      <c r="C265" t="s">
        <v>44</v>
      </c>
      <c r="D265">
        <v>700</v>
      </c>
      <c r="E265">
        <v>12039.7</v>
      </c>
      <c r="G265">
        <v>0.1</v>
      </c>
    </row>
    <row r="266" spans="1:9" customFormat="1">
      <c r="A266" s="85" t="s">
        <v>778</v>
      </c>
      <c r="B266" t="s">
        <v>41</v>
      </c>
      <c r="C266" t="s">
        <v>41</v>
      </c>
      <c r="D266">
        <v>1088</v>
      </c>
      <c r="E266">
        <v>19606.3</v>
      </c>
      <c r="G266">
        <v>0.1</v>
      </c>
    </row>
    <row r="267" spans="1:9" customFormat="1">
      <c r="A267" s="85" t="s">
        <v>778</v>
      </c>
      <c r="B267" t="s">
        <v>47</v>
      </c>
      <c r="C267" t="s">
        <v>47</v>
      </c>
      <c r="D267">
        <v>2914</v>
      </c>
      <c r="E267">
        <v>52624.9</v>
      </c>
      <c r="G267">
        <v>0.3</v>
      </c>
    </row>
    <row r="268" spans="1:9" customFormat="1">
      <c r="A268" s="85" t="s">
        <v>778</v>
      </c>
      <c r="B268" t="s">
        <v>279</v>
      </c>
      <c r="D268">
        <v>263</v>
      </c>
      <c r="E268">
        <v>4780.8</v>
      </c>
      <c r="G268">
        <v>0</v>
      </c>
    </row>
    <row r="269" spans="1:9" customFormat="1">
      <c r="A269" t="s">
        <v>779</v>
      </c>
      <c r="B269" t="s">
        <v>786</v>
      </c>
      <c r="C269" t="s">
        <v>42</v>
      </c>
      <c r="D269">
        <v>879893</v>
      </c>
      <c r="E269" s="320">
        <v>15231038.199999999</v>
      </c>
      <c r="G269">
        <v>90</v>
      </c>
    </row>
    <row r="270" spans="1:9" customFormat="1">
      <c r="A270" t="s">
        <v>779</v>
      </c>
      <c r="B270" t="s">
        <v>787</v>
      </c>
      <c r="C270" t="s">
        <v>42</v>
      </c>
      <c r="D270">
        <v>1759</v>
      </c>
      <c r="E270" s="320">
        <v>31197.1</v>
      </c>
      <c r="G270">
        <v>0.2</v>
      </c>
    </row>
    <row r="271" spans="1:9" customFormat="1">
      <c r="A271" t="s">
        <v>779</v>
      </c>
      <c r="B271" t="s">
        <v>43</v>
      </c>
      <c r="C271" t="s">
        <v>43</v>
      </c>
      <c r="D271">
        <v>1413</v>
      </c>
      <c r="E271" s="320">
        <v>25699.9</v>
      </c>
      <c r="G271">
        <v>0.2</v>
      </c>
    </row>
    <row r="272" spans="1:9" customFormat="1">
      <c r="A272" t="s">
        <v>779</v>
      </c>
      <c r="B272" t="s">
        <v>17</v>
      </c>
      <c r="C272" t="s">
        <v>17</v>
      </c>
      <c r="D272">
        <v>25776</v>
      </c>
      <c r="E272" s="320">
        <v>451601.8</v>
      </c>
      <c r="G272">
        <v>2.7</v>
      </c>
    </row>
    <row r="273" spans="1:7" customFormat="1">
      <c r="A273" t="s">
        <v>779</v>
      </c>
      <c r="B273" t="s">
        <v>2</v>
      </c>
      <c r="C273" t="s">
        <v>280</v>
      </c>
      <c r="D273">
        <v>63892</v>
      </c>
      <c r="E273" s="320">
        <v>997571.1</v>
      </c>
      <c r="G273">
        <v>5.9</v>
      </c>
    </row>
    <row r="274" spans="1:7" customFormat="1">
      <c r="A274" t="s">
        <v>779</v>
      </c>
      <c r="B274" t="s">
        <v>44</v>
      </c>
      <c r="C274" t="s">
        <v>44</v>
      </c>
      <c r="D274">
        <v>6871</v>
      </c>
      <c r="E274" s="320">
        <v>96531.7</v>
      </c>
      <c r="G274">
        <v>0.6</v>
      </c>
    </row>
    <row r="275" spans="1:7" customFormat="1">
      <c r="A275" t="s">
        <v>779</v>
      </c>
      <c r="B275" t="s">
        <v>41</v>
      </c>
      <c r="C275" t="s">
        <v>41</v>
      </c>
      <c r="D275">
        <v>1362</v>
      </c>
      <c r="E275" s="320">
        <v>23783.7</v>
      </c>
      <c r="G275">
        <v>0.1</v>
      </c>
    </row>
    <row r="276" spans="1:7" customFormat="1">
      <c r="A276" t="s">
        <v>779</v>
      </c>
      <c r="B276" t="s">
        <v>47</v>
      </c>
      <c r="C276" t="s">
        <v>47</v>
      </c>
      <c r="D276">
        <v>2023</v>
      </c>
      <c r="E276" s="320">
        <v>35498.300000000003</v>
      </c>
      <c r="G276">
        <v>0.2</v>
      </c>
    </row>
    <row r="277" spans="1:7" customFormat="1">
      <c r="A277" t="s">
        <v>779</v>
      </c>
      <c r="B277" t="s">
        <v>279</v>
      </c>
      <c r="D277">
        <v>1638</v>
      </c>
      <c r="E277" s="320">
        <v>30387.200000000001</v>
      </c>
      <c r="G277">
        <v>0.2</v>
      </c>
    </row>
    <row r="278" spans="1:7" customFormat="1">
      <c r="A278" s="85" t="s">
        <v>781</v>
      </c>
      <c r="B278" t="s">
        <v>786</v>
      </c>
      <c r="C278" t="s">
        <v>42</v>
      </c>
      <c r="D278">
        <v>784230</v>
      </c>
      <c r="E278" s="320">
        <v>13914732.300000001</v>
      </c>
      <c r="G278">
        <v>82.2</v>
      </c>
    </row>
    <row r="279" spans="1:7" customFormat="1">
      <c r="A279" s="85" t="s">
        <v>781</v>
      </c>
      <c r="B279" t="s">
        <v>787</v>
      </c>
      <c r="C279" t="s">
        <v>42</v>
      </c>
      <c r="D279">
        <v>1436</v>
      </c>
      <c r="E279" s="320">
        <v>25396.2</v>
      </c>
      <c r="G279">
        <v>0.2</v>
      </c>
    </row>
    <row r="280" spans="1:7" customFormat="1">
      <c r="A280" s="85" t="s">
        <v>781</v>
      </c>
      <c r="B280" t="s">
        <v>43</v>
      </c>
      <c r="C280" t="s">
        <v>43</v>
      </c>
      <c r="D280">
        <v>10617</v>
      </c>
      <c r="E280" s="320">
        <v>189485.9</v>
      </c>
      <c r="G280">
        <v>1.1000000000000001</v>
      </c>
    </row>
    <row r="281" spans="1:7" customFormat="1">
      <c r="A281" s="85" t="s">
        <v>781</v>
      </c>
      <c r="B281" t="s">
        <v>17</v>
      </c>
      <c r="C281" t="s">
        <v>17</v>
      </c>
      <c r="D281">
        <v>48571</v>
      </c>
      <c r="E281" s="320">
        <v>869199.9</v>
      </c>
      <c r="G281">
        <v>5.0999999999999996</v>
      </c>
    </row>
    <row r="282" spans="1:7" customFormat="1">
      <c r="A282" s="85" t="s">
        <v>781</v>
      </c>
      <c r="B282" t="s">
        <v>7</v>
      </c>
      <c r="C282" t="s">
        <v>7</v>
      </c>
      <c r="D282">
        <v>111005</v>
      </c>
      <c r="E282" s="320">
        <v>1425605.2</v>
      </c>
      <c r="G282">
        <v>8.4</v>
      </c>
    </row>
    <row r="283" spans="1:7" customFormat="1">
      <c r="A283" s="85" t="s">
        <v>781</v>
      </c>
      <c r="B283" t="s">
        <v>9</v>
      </c>
      <c r="C283" t="s">
        <v>9</v>
      </c>
      <c r="D283">
        <v>3573</v>
      </c>
      <c r="E283" s="320">
        <v>55809.2</v>
      </c>
      <c r="G283">
        <v>0.3</v>
      </c>
    </row>
    <row r="284" spans="1:7" customFormat="1">
      <c r="A284" s="85" t="s">
        <v>781</v>
      </c>
      <c r="B284" t="s">
        <v>46</v>
      </c>
      <c r="C284" t="s">
        <v>46</v>
      </c>
      <c r="D284">
        <v>1081</v>
      </c>
      <c r="E284" s="320">
        <v>11802.1</v>
      </c>
      <c r="G284">
        <v>0.1</v>
      </c>
    </row>
    <row r="285" spans="1:7" customFormat="1">
      <c r="A285" s="85" t="s">
        <v>781</v>
      </c>
      <c r="B285" t="s">
        <v>44</v>
      </c>
      <c r="C285" t="s">
        <v>44</v>
      </c>
      <c r="D285">
        <v>5101</v>
      </c>
      <c r="E285" s="320">
        <v>107689</v>
      </c>
      <c r="G285">
        <v>0.6</v>
      </c>
    </row>
    <row r="286" spans="1:7" customFormat="1">
      <c r="A286" s="85" t="s">
        <v>781</v>
      </c>
      <c r="B286" t="s">
        <v>41</v>
      </c>
      <c r="C286" t="s">
        <v>41</v>
      </c>
      <c r="D286">
        <v>2826</v>
      </c>
      <c r="E286" s="320">
        <v>48638.8</v>
      </c>
      <c r="G286">
        <v>0.3</v>
      </c>
    </row>
    <row r="287" spans="1:7" customFormat="1">
      <c r="A287" s="85" t="s">
        <v>781</v>
      </c>
      <c r="B287" t="s">
        <v>47</v>
      </c>
      <c r="C287" t="s">
        <v>47</v>
      </c>
      <c r="D287">
        <v>14933</v>
      </c>
      <c r="E287" s="320">
        <v>251838.3</v>
      </c>
      <c r="G287">
        <v>1.5</v>
      </c>
    </row>
    <row r="288" spans="1:7" customFormat="1">
      <c r="A288" s="85" t="s">
        <v>781</v>
      </c>
      <c r="B288" t="s">
        <v>279</v>
      </c>
      <c r="D288">
        <v>1254</v>
      </c>
      <c r="E288" s="320">
        <v>23112</v>
      </c>
      <c r="G288">
        <v>0.1</v>
      </c>
    </row>
    <row r="289" spans="1:7" customFormat="1">
      <c r="A289" s="85" t="s">
        <v>780</v>
      </c>
      <c r="B289" t="s">
        <v>786</v>
      </c>
      <c r="C289" t="s">
        <v>42</v>
      </c>
      <c r="D289">
        <v>615597</v>
      </c>
      <c r="E289" s="320">
        <v>11127407.199999999</v>
      </c>
      <c r="G289">
        <v>65.8</v>
      </c>
    </row>
    <row r="290" spans="1:7" customFormat="1">
      <c r="A290" s="85" t="s">
        <v>780</v>
      </c>
      <c r="B290" t="s">
        <v>787</v>
      </c>
      <c r="C290" t="s">
        <v>42</v>
      </c>
      <c r="D290">
        <v>1424</v>
      </c>
      <c r="E290" s="320">
        <v>24976.9</v>
      </c>
      <c r="G290">
        <v>0.1</v>
      </c>
    </row>
    <row r="291" spans="1:7" customFormat="1">
      <c r="A291" s="85" t="s">
        <v>780</v>
      </c>
      <c r="B291" t="s">
        <v>43</v>
      </c>
      <c r="C291" t="s">
        <v>43</v>
      </c>
      <c r="D291">
        <v>10510</v>
      </c>
      <c r="E291" s="320">
        <v>227606.3</v>
      </c>
      <c r="G291">
        <v>1.3</v>
      </c>
    </row>
    <row r="292" spans="1:7" customFormat="1">
      <c r="A292" s="85" t="s">
        <v>780</v>
      </c>
      <c r="B292" t="s">
        <v>17</v>
      </c>
      <c r="C292" t="s">
        <v>17</v>
      </c>
      <c r="D292">
        <v>57282</v>
      </c>
      <c r="E292" s="320">
        <v>920344.2</v>
      </c>
      <c r="G292">
        <v>5.4</v>
      </c>
    </row>
    <row r="293" spans="1:7" customFormat="1">
      <c r="A293" s="85" t="s">
        <v>780</v>
      </c>
      <c r="B293" t="s">
        <v>7</v>
      </c>
      <c r="C293" t="s">
        <v>7</v>
      </c>
      <c r="D293">
        <v>118770</v>
      </c>
      <c r="E293" s="320">
        <v>1560959.7</v>
      </c>
      <c r="G293">
        <v>9.1999999999999993</v>
      </c>
    </row>
    <row r="294" spans="1:7" customFormat="1">
      <c r="A294" s="85" t="s">
        <v>780</v>
      </c>
      <c r="B294" t="s">
        <v>9</v>
      </c>
      <c r="C294" t="s">
        <v>9</v>
      </c>
      <c r="D294">
        <v>10288</v>
      </c>
      <c r="E294" s="320">
        <v>162993.60000000001</v>
      </c>
      <c r="G294">
        <v>1</v>
      </c>
    </row>
    <row r="295" spans="1:7" customFormat="1">
      <c r="A295" s="85" t="s">
        <v>780</v>
      </c>
      <c r="B295" t="s">
        <v>46</v>
      </c>
      <c r="C295" t="s">
        <v>46</v>
      </c>
      <c r="D295">
        <v>1272</v>
      </c>
      <c r="E295" s="320">
        <v>14210.5</v>
      </c>
      <c r="G295">
        <v>0.1</v>
      </c>
    </row>
    <row r="296" spans="1:7" customFormat="1">
      <c r="A296" s="85" t="s">
        <v>780</v>
      </c>
      <c r="B296" t="s">
        <v>44</v>
      </c>
      <c r="C296" t="s">
        <v>44</v>
      </c>
      <c r="D296">
        <v>1101</v>
      </c>
      <c r="E296" s="320">
        <v>19747</v>
      </c>
      <c r="G296">
        <v>0.1</v>
      </c>
    </row>
    <row r="297" spans="1:7" customFormat="1">
      <c r="A297" s="85" t="s">
        <v>780</v>
      </c>
      <c r="B297" t="s">
        <v>41</v>
      </c>
      <c r="C297" t="s">
        <v>41</v>
      </c>
      <c r="D297">
        <v>14827</v>
      </c>
      <c r="E297" s="320">
        <v>250052.7</v>
      </c>
      <c r="G297">
        <v>1.5</v>
      </c>
    </row>
    <row r="298" spans="1:7" customFormat="1">
      <c r="A298" s="85" t="s">
        <v>780</v>
      </c>
      <c r="B298" t="s">
        <v>47</v>
      </c>
      <c r="C298" t="s">
        <v>47</v>
      </c>
      <c r="D298">
        <v>152445</v>
      </c>
      <c r="E298" s="320">
        <v>2594103.2999999998</v>
      </c>
      <c r="G298">
        <v>15.3</v>
      </c>
    </row>
    <row r="299" spans="1:7" customFormat="1">
      <c r="A299" s="85" t="s">
        <v>780</v>
      </c>
      <c r="B299" t="s">
        <v>279</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4375" defaultRowHeight="12.45"/>
  <cols>
    <col min="1" max="1" width="19.3828125" customWidth="1"/>
    <col min="2" max="2" width="30" customWidth="1"/>
    <col min="3" max="3" width="14" customWidth="1"/>
    <col min="6" max="6" width="13.69140625" customWidth="1"/>
    <col min="7" max="8" width="11.3828125" customWidth="1"/>
    <col min="9" max="9" width="13.69140625" customWidth="1"/>
    <col min="14" max="15" width="12.3828125" customWidth="1"/>
    <col min="16" max="16" width="14.84375" customWidth="1"/>
    <col min="19" max="19" width="15.3046875" customWidth="1"/>
  </cols>
  <sheetData>
    <row r="1" spans="1:1" s="15" customFormat="1">
      <c r="A1" s="15" t="s">
        <v>410</v>
      </c>
    </row>
    <row r="18" spans="1:22">
      <c r="A18" s="391" t="s">
        <v>789</v>
      </c>
    </row>
    <row r="19" spans="1:22" s="15" customFormat="1" ht="24.9">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780</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780</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780</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780</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780</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780</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780</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780</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780</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2.9" thickBot="1">
      <c r="A30" s="391">
        <v>2017</v>
      </c>
      <c r="B30" s="85" t="s">
        <v>780</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2.9" thickBot="1">
      <c r="A31" s="391" t="s">
        <v>793</v>
      </c>
      <c r="B31" s="85" t="s">
        <v>778</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793</v>
      </c>
      <c r="B32" s="85" t="s">
        <v>778</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793</v>
      </c>
      <c r="B33" s="85" t="s">
        <v>778</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430</v>
      </c>
    </row>
    <row r="37" spans="1:21">
      <c r="A37" s="391">
        <v>2017</v>
      </c>
      <c r="B37" s="85" t="s">
        <v>779</v>
      </c>
      <c r="C37" s="394" t="s">
        <v>22</v>
      </c>
      <c r="D37" s="85" t="s">
        <v>430</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779</v>
      </c>
      <c r="C38" s="394" t="s">
        <v>24</v>
      </c>
      <c r="D38" s="85" t="s">
        <v>430</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779</v>
      </c>
      <c r="C39" s="394" t="s">
        <v>25</v>
      </c>
      <c r="D39" s="85" t="s">
        <v>430</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779</v>
      </c>
      <c r="C40" s="394"/>
      <c r="D40" s="85" t="s">
        <v>430</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779</v>
      </c>
      <c r="C41" s="394" t="s">
        <v>22</v>
      </c>
      <c r="D41" s="85" t="s">
        <v>430</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779</v>
      </c>
      <c r="C42" s="394" t="s">
        <v>24</v>
      </c>
      <c r="D42" s="85" t="s">
        <v>430</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779</v>
      </c>
      <c r="C43" s="394" t="s">
        <v>25</v>
      </c>
      <c r="D43" s="85" t="s">
        <v>430</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779</v>
      </c>
      <c r="C44" s="394" t="s">
        <v>22</v>
      </c>
      <c r="D44" s="85" t="s">
        <v>430</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779</v>
      </c>
      <c r="C45" s="394" t="s">
        <v>24</v>
      </c>
      <c r="D45" s="85" t="s">
        <v>430</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779</v>
      </c>
      <c r="C46" s="394" t="s">
        <v>25</v>
      </c>
      <c r="D46" s="85" t="s">
        <v>430</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779</v>
      </c>
      <c r="C47" s="394"/>
      <c r="D47" s="85" t="s">
        <v>430</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793</v>
      </c>
      <c r="B49" s="85" t="s">
        <v>779</v>
      </c>
      <c r="C49" s="394" t="s">
        <v>24</v>
      </c>
      <c r="D49" s="85" t="s">
        <v>430</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793</v>
      </c>
      <c r="B50" s="85" t="s">
        <v>779</v>
      </c>
      <c r="C50" s="394" t="s">
        <v>25</v>
      </c>
      <c r="D50" s="85" t="s">
        <v>430</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781</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781</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781</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781</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781</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781</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781</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781</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781</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781</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781</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793</v>
      </c>
      <c r="B63" s="85" t="s">
        <v>781</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780</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780</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780</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780</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780</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780</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780</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780</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780</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780</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793</v>
      </c>
      <c r="B78" s="85" t="s">
        <v>780</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793</v>
      </c>
      <c r="B79" s="85" t="s">
        <v>780</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6"/>
  <sheetViews>
    <sheetView topLeftCell="B12" zoomScale="90" zoomScaleNormal="90" workbookViewId="0">
      <selection activeCell="T30" sqref="T30"/>
    </sheetView>
  </sheetViews>
  <sheetFormatPr defaultColWidth="8.84375" defaultRowHeight="12.45" outlineLevelRow="3"/>
  <cols>
    <col min="1" max="1" width="4.3828125" customWidth="1"/>
    <col min="2" max="2" width="15.15234375" customWidth="1"/>
    <col min="3" max="3" width="13.3046875" customWidth="1"/>
    <col min="4" max="4" width="8.69140625" customWidth="1"/>
    <col min="5" max="5" width="16.3046875" customWidth="1"/>
    <col min="6" max="6" width="11.84375" customWidth="1"/>
    <col min="7" max="7" width="13.3828125" customWidth="1"/>
    <col min="8" max="8" width="15.3828125" customWidth="1"/>
    <col min="9" max="9" width="8.3828125" customWidth="1"/>
    <col min="10" max="10" width="10.3046875" customWidth="1"/>
    <col min="11" max="11" width="8.69140625" customWidth="1"/>
    <col min="12" max="12" width="8.15234375" customWidth="1"/>
    <col min="13" max="23" width="11.3828125" customWidth="1"/>
    <col min="24" max="24" width="18" customWidth="1"/>
    <col min="25" max="25" width="11.69140625" customWidth="1"/>
    <col min="26" max="26" width="8.84375" customWidth="1"/>
    <col min="27" max="34" width="13.3828125" customWidth="1"/>
    <col min="35" max="35" width="8.3046875" customWidth="1"/>
    <col min="36" max="36" width="26.3828125" customWidth="1"/>
    <col min="37" max="37" width="19.3828125" customWidth="1"/>
    <col min="38" max="38" width="16.84375" customWidth="1"/>
    <col min="39" max="39" width="13.3828125" customWidth="1"/>
    <col min="40" max="40" width="11.84375" customWidth="1"/>
    <col min="41" max="41" width="13.69140625" customWidth="1"/>
    <col min="42" max="42" width="14.15234375" customWidth="1"/>
    <col min="43" max="43" width="11.3046875" customWidth="1"/>
    <col min="44" max="44" width="16.3046875" customWidth="1"/>
    <col min="47" max="47" width="6.69140625" customWidth="1"/>
  </cols>
  <sheetData>
    <row r="1" spans="2:41">
      <c r="B1" s="631" t="s">
        <v>436</v>
      </c>
      <c r="C1" s="245"/>
      <c r="D1" s="245" t="s">
        <v>416</v>
      </c>
      <c r="E1" s="288" t="s">
        <v>17</v>
      </c>
      <c r="F1" s="289">
        <v>0.67856555411775232</v>
      </c>
      <c r="G1" s="1" t="s">
        <v>539</v>
      </c>
    </row>
    <row r="2" spans="2:41">
      <c r="B2" s="631"/>
      <c r="C2" s="245"/>
      <c r="D2" s="245"/>
      <c r="E2" s="288" t="s">
        <v>42</v>
      </c>
      <c r="F2" s="289">
        <v>0.8987980685965391</v>
      </c>
      <c r="G2" s="1" t="s">
        <v>11</v>
      </c>
      <c r="O2" s="1" t="s">
        <v>903</v>
      </c>
      <c r="R2">
        <v>2017</v>
      </c>
    </row>
    <row r="3" spans="2:41">
      <c r="B3" s="245"/>
      <c r="C3" s="245"/>
      <c r="D3" s="245"/>
      <c r="E3" s="288" t="s">
        <v>9</v>
      </c>
      <c r="F3" s="289">
        <v>1.2823586786458017</v>
      </c>
      <c r="O3" s="1" t="s">
        <v>896</v>
      </c>
      <c r="P3" s="1" t="s">
        <v>897</v>
      </c>
      <c r="Q3" s="1" t="s">
        <v>898</v>
      </c>
      <c r="R3" s="1" t="s">
        <v>1027</v>
      </c>
      <c r="S3" s="1" t="s">
        <v>1048</v>
      </c>
      <c r="T3" s="1" t="s">
        <v>1049</v>
      </c>
      <c r="U3" s="1" t="s">
        <v>1050</v>
      </c>
      <c r="V3" s="1" t="s">
        <v>1028</v>
      </c>
      <c r="W3" s="1" t="s">
        <v>1054</v>
      </c>
      <c r="X3" s="1" t="s">
        <v>1051</v>
      </c>
      <c r="Y3" s="1" t="s">
        <v>1052</v>
      </c>
      <c r="Z3" s="1" t="s">
        <v>1053</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1.9">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1057</v>
      </c>
      <c r="T14" s="512" t="s">
        <v>1047</v>
      </c>
      <c r="U14" s="605"/>
      <c r="V14" s="512" t="s">
        <v>904</v>
      </c>
    </row>
    <row r="15" spans="2:41">
      <c r="B15" s="1" t="s">
        <v>242</v>
      </c>
      <c r="C15" s="1" t="s">
        <v>11</v>
      </c>
      <c r="D15" t="str">
        <f>RIGHT(LEFT(B15,2),1)</f>
        <v>L</v>
      </c>
      <c r="E15" s="3" t="str">
        <f>RIGHT(B15,1)</f>
        <v>L</v>
      </c>
      <c r="F15" s="3">
        <f t="shared" ref="F15:K24" si="4">SUMIFS($I$55:$I$159,$D$55:$D$159,$B15,$C$55:$C$159,F$8)</f>
        <v>4.7592198597930109</v>
      </c>
      <c r="G15" s="3">
        <f t="shared" si="4"/>
        <v>0</v>
      </c>
      <c r="H15" s="3">
        <f t="shared" si="4"/>
        <v>0</v>
      </c>
      <c r="I15" s="3">
        <f t="shared" si="4"/>
        <v>0</v>
      </c>
      <c r="J15" s="3">
        <f t="shared" si="4"/>
        <v>0</v>
      </c>
      <c r="K15" s="3">
        <f t="shared" si="4"/>
        <v>0</v>
      </c>
      <c r="N15" s="513" t="str">
        <f>Energy_Balance!B55</f>
        <v>Electricity</v>
      </c>
      <c r="O15" s="514" t="str">
        <f>Energy_Balance!E55</f>
        <v>Low Income</v>
      </c>
      <c r="P15" s="514" t="str">
        <f>Energy_Balance!F55</f>
        <v>Lighting</v>
      </c>
      <c r="Q15" s="514"/>
      <c r="R15" s="515">
        <v>3.6888825388965123</v>
      </c>
      <c r="S15" s="607">
        <f>S4*$X$4</f>
        <v>4.822876820934491</v>
      </c>
      <c r="T15" s="516">
        <f t="shared" ref="T15:T32" si="5">S15*$F$10/$S$33</f>
        <v>4.7592198597930109</v>
      </c>
      <c r="U15" s="516"/>
      <c r="V15" s="514">
        <v>5.5647070597880148</v>
      </c>
    </row>
    <row r="16" spans="2:41">
      <c r="B16" s="1" t="s">
        <v>259</v>
      </c>
      <c r="C16" s="1" t="s">
        <v>11</v>
      </c>
      <c r="D16" t="s">
        <v>78</v>
      </c>
      <c r="E16" s="3" t="s">
        <v>78</v>
      </c>
      <c r="F16" s="3">
        <f t="shared" si="4"/>
        <v>0</v>
      </c>
      <c r="G16" s="3">
        <f t="shared" si="4"/>
        <v>0.36541482196776115</v>
      </c>
      <c r="H16" s="3">
        <f t="shared" si="4"/>
        <v>0</v>
      </c>
      <c r="I16" s="3">
        <f t="shared" si="4"/>
        <v>0</v>
      </c>
      <c r="J16" s="3">
        <f t="shared" si="4"/>
        <v>0</v>
      </c>
      <c r="K16" s="3">
        <f t="shared" si="4"/>
        <v>0</v>
      </c>
      <c r="N16" s="513" t="str">
        <f t="shared" ref="N16:O19" si="6">N15</f>
        <v>Electricity</v>
      </c>
      <c r="O16" s="514" t="str">
        <f t="shared" si="6"/>
        <v>Low Income</v>
      </c>
      <c r="P16" s="517" t="str">
        <f>Energy_Balance!F59</f>
        <v>Cooking</v>
      </c>
      <c r="Q16" s="514"/>
      <c r="R16" s="515">
        <v>10.581932621358369</v>
      </c>
      <c r="S16" s="607">
        <f t="shared" ref="S16:S20" si="7">S5*$X$4</f>
        <v>8.9913504390263022</v>
      </c>
      <c r="T16" s="516">
        <f t="shared" si="5"/>
        <v>8.8726739588346266</v>
      </c>
      <c r="U16" s="516"/>
      <c r="V16" s="517">
        <v>10.429552567500799</v>
      </c>
    </row>
    <row r="17" spans="2:24">
      <c r="B17" s="1" t="s">
        <v>243</v>
      </c>
      <c r="C17" s="1" t="s">
        <v>12</v>
      </c>
      <c r="D17" t="str">
        <f t="shared" ref="D17:D37" si="8">RIGHT(LEFT(B17,2),1)</f>
        <v>L</v>
      </c>
      <c r="E17" s="3" t="str">
        <f t="shared" ref="E17:E37" si="9">RIGHT(B17,1)</f>
        <v>K</v>
      </c>
      <c r="F17" s="3">
        <f t="shared" si="4"/>
        <v>8.8726739588346266</v>
      </c>
      <c r="G17" s="3">
        <f t="shared" si="4"/>
        <v>1.4969403216661288</v>
      </c>
      <c r="H17" s="3">
        <f t="shared" si="4"/>
        <v>1.0540082413086083</v>
      </c>
      <c r="I17" s="3">
        <f t="shared" si="4"/>
        <v>33.542202919333945</v>
      </c>
      <c r="J17" s="3">
        <f t="shared" si="4"/>
        <v>2.1940201359108897</v>
      </c>
      <c r="K17" s="3">
        <f t="shared" si="4"/>
        <v>0</v>
      </c>
      <c r="N17" s="513" t="str">
        <f t="shared" si="6"/>
        <v>Electricity</v>
      </c>
      <c r="O17" s="514" t="str">
        <f t="shared" si="6"/>
        <v>Low Income</v>
      </c>
      <c r="P17" s="518" t="str">
        <f>Energy_Balance!F138</f>
        <v>Space heating</v>
      </c>
      <c r="Q17" s="514"/>
      <c r="R17" s="515">
        <v>3.0599476608572518</v>
      </c>
      <c r="S17" s="607">
        <f t="shared" si="7"/>
        <v>0.93618741546929751</v>
      </c>
      <c r="T17" s="516">
        <f t="shared" si="5"/>
        <v>0.92383071465765942</v>
      </c>
      <c r="U17" s="516"/>
      <c r="V17" s="518">
        <v>1.0727313100437019</v>
      </c>
    </row>
    <row r="18" spans="2:24">
      <c r="B18" s="1" t="s">
        <v>244</v>
      </c>
      <c r="C18" s="1" t="s">
        <v>310</v>
      </c>
      <c r="D18" t="str">
        <f t="shared" si="8"/>
        <v>L</v>
      </c>
      <c r="E18" s="3" t="str">
        <f t="shared" si="9"/>
        <v>H</v>
      </c>
      <c r="F18" s="3">
        <f t="shared" si="4"/>
        <v>0.92383071465765942</v>
      </c>
      <c r="G18" s="3">
        <f t="shared" si="4"/>
        <v>0.32511472040198852</v>
      </c>
      <c r="H18" s="3">
        <f t="shared" si="4"/>
        <v>8.2195005713241232E-2</v>
      </c>
      <c r="I18" s="3">
        <f t="shared" si="4"/>
        <v>10.185203913611241</v>
      </c>
      <c r="J18" s="3">
        <f t="shared" si="4"/>
        <v>3.5807184128955476</v>
      </c>
      <c r="K18" s="3">
        <f t="shared" si="4"/>
        <v>0</v>
      </c>
      <c r="N18" s="513" t="str">
        <f t="shared" si="6"/>
        <v>Electricity</v>
      </c>
      <c r="O18" s="514" t="str">
        <f t="shared" si="6"/>
        <v>Low Income</v>
      </c>
      <c r="P18" s="518" t="str">
        <f>Energy_Balance!F146</f>
        <v>Water heating</v>
      </c>
      <c r="Q18" s="514"/>
      <c r="R18" s="515">
        <v>4.592932561831029</v>
      </c>
      <c r="S18" s="607">
        <f t="shared" si="7"/>
        <v>2.0000218125473226</v>
      </c>
      <c r="T18" s="516">
        <f t="shared" si="5"/>
        <v>1.9736236034429961</v>
      </c>
      <c r="U18" s="516"/>
      <c r="V18" s="518">
        <v>2.3470935945922231</v>
      </c>
    </row>
    <row r="19" spans="2:24">
      <c r="B19" s="1" t="s">
        <v>245</v>
      </c>
      <c r="C19" s="1" t="s">
        <v>14</v>
      </c>
      <c r="D19" t="str">
        <f t="shared" si="8"/>
        <v>L</v>
      </c>
      <c r="E19" s="3" t="str">
        <f t="shared" si="9"/>
        <v>W</v>
      </c>
      <c r="F19" s="3">
        <f t="shared" si="4"/>
        <v>1.9736236034429964</v>
      </c>
      <c r="G19" s="3">
        <f t="shared" si="4"/>
        <v>2.8371679818600861</v>
      </c>
      <c r="H19" s="3">
        <f t="shared" si="4"/>
        <v>0.58421574773989327</v>
      </c>
      <c r="I19" s="3">
        <f t="shared" si="4"/>
        <v>9.3904034820075051</v>
      </c>
      <c r="J19" s="3">
        <f t="shared" si="4"/>
        <v>0.55466590619951062</v>
      </c>
      <c r="K19" s="3">
        <f t="shared" si="4"/>
        <v>0</v>
      </c>
      <c r="N19" s="513" t="str">
        <f t="shared" si="6"/>
        <v>Electricity</v>
      </c>
      <c r="O19" s="514" t="str">
        <f t="shared" si="6"/>
        <v>Low Income</v>
      </c>
      <c r="P19" s="519" t="s">
        <v>15</v>
      </c>
      <c r="Q19" s="514"/>
      <c r="R19" s="515">
        <v>6.7346715439472549</v>
      </c>
      <c r="S19" s="607">
        <f t="shared" si="7"/>
        <v>10.775736128884782</v>
      </c>
      <c r="T19" s="516">
        <f t="shared" si="5"/>
        <v>10.633507612276235</v>
      </c>
      <c r="U19" s="516"/>
      <c r="V19" s="518">
        <v>11.627317653327299</v>
      </c>
    </row>
    <row r="20" spans="2:24">
      <c r="B20" s="1" t="s">
        <v>557</v>
      </c>
      <c r="C20" s="1" t="s">
        <v>14</v>
      </c>
      <c r="D20" t="str">
        <f t="shared" ref="D20" si="10">RIGHT(LEFT(B20,2),1)</f>
        <v>L</v>
      </c>
      <c r="E20" s="3" t="s">
        <v>560</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Energy_Balance!F157</f>
        <v>Other</v>
      </c>
      <c r="Q20" s="514"/>
      <c r="R20" s="515">
        <v>3.4662555015312217</v>
      </c>
      <c r="S20" s="607">
        <f t="shared" si="7"/>
        <v>7.2776180652991265</v>
      </c>
      <c r="T20" s="516">
        <f t="shared" si="5"/>
        <v>7.1815610711883968</v>
      </c>
      <c r="U20" s="516"/>
      <c r="V20" s="518">
        <v>7.9061600367087408</v>
      </c>
    </row>
    <row r="21" spans="2:24">
      <c r="B21" s="1" t="s">
        <v>246</v>
      </c>
      <c r="C21" s="1" t="s">
        <v>15</v>
      </c>
      <c r="D21" t="str">
        <f t="shared" si="8"/>
        <v>L</v>
      </c>
      <c r="E21" s="3" t="str">
        <f t="shared" si="9"/>
        <v>R</v>
      </c>
      <c r="F21" s="3">
        <f t="shared" si="4"/>
        <v>10.633507612276235</v>
      </c>
      <c r="G21" s="3">
        <f t="shared" si="4"/>
        <v>0</v>
      </c>
      <c r="H21" s="3">
        <f t="shared" si="4"/>
        <v>0</v>
      </c>
      <c r="I21" s="3">
        <f t="shared" si="4"/>
        <v>0</v>
      </c>
      <c r="J21" s="3">
        <f t="shared" si="4"/>
        <v>0</v>
      </c>
      <c r="K21" s="3">
        <f t="shared" si="4"/>
        <v>0</v>
      </c>
      <c r="N21" s="513" t="str">
        <f>N20</f>
        <v>Electricity</v>
      </c>
      <c r="O21" s="518" t="str">
        <f>Energy_Balance!E123</f>
        <v>Middle Income</v>
      </c>
      <c r="P21" s="518" t="str">
        <f>P15</f>
        <v>Lighting</v>
      </c>
      <c r="Q21" s="514"/>
      <c r="R21" s="515">
        <v>4.2095865989599845</v>
      </c>
      <c r="S21" s="516">
        <f>S4*$Y$4+T4*$Y$5</f>
        <v>4.4465985960773118</v>
      </c>
      <c r="T21" s="516">
        <f t="shared" si="5"/>
        <v>4.3879081164006175</v>
      </c>
      <c r="U21" s="516"/>
      <c r="V21" s="514">
        <v>5.2847603981841891</v>
      </c>
    </row>
    <row r="22" spans="2:24">
      <c r="B22" s="1" t="s">
        <v>247</v>
      </c>
      <c r="C22" s="1" t="s">
        <v>41</v>
      </c>
      <c r="D22" t="str">
        <f t="shared" si="8"/>
        <v>L</v>
      </c>
      <c r="E22" s="3" t="str">
        <f t="shared" si="9"/>
        <v>O</v>
      </c>
      <c r="F22" s="3">
        <f t="shared" si="4"/>
        <v>7.1815610711883968</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8.1703996707678215</v>
      </c>
      <c r="T22" s="516">
        <f t="shared" si="5"/>
        <v>8.062558887421492</v>
      </c>
      <c r="U22" s="516"/>
      <c r="V22" s="517">
        <v>8.6733927981600907</v>
      </c>
    </row>
    <row r="23" spans="2:24">
      <c r="B23" s="1" t="s">
        <v>248</v>
      </c>
      <c r="C23" s="1" t="s">
        <v>11</v>
      </c>
      <c r="D23" t="str">
        <f t="shared" si="8"/>
        <v>M</v>
      </c>
      <c r="E23" s="3" t="str">
        <f t="shared" si="9"/>
        <v>L</v>
      </c>
      <c r="F23" s="3">
        <f t="shared" si="4"/>
        <v>4.3879081164006175</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1.9586681779222912</v>
      </c>
      <c r="T23" s="516">
        <f t="shared" si="5"/>
        <v>1.9328157938120758</v>
      </c>
      <c r="U23" s="516"/>
      <c r="V23" s="518">
        <v>3.5472479537265706</v>
      </c>
    </row>
    <row r="24" spans="2:24">
      <c r="B24" s="1" t="s">
        <v>271</v>
      </c>
      <c r="C24" s="1" t="s">
        <v>11</v>
      </c>
      <c r="D24" t="str">
        <f t="shared" si="8"/>
        <v>M</v>
      </c>
      <c r="E24" s="3" t="str">
        <f t="shared" si="9"/>
        <v>L</v>
      </c>
      <c r="F24" s="3">
        <f t="shared" si="4"/>
        <v>0</v>
      </c>
      <c r="G24" s="3">
        <f t="shared" si="4"/>
        <v>0.71482186957706251</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9.6700586202180272</v>
      </c>
      <c r="T24" s="516">
        <f t="shared" si="5"/>
        <v>9.5424238974834363</v>
      </c>
      <c r="U24" s="516"/>
      <c r="V24" s="518">
        <v>7.4080340663885371</v>
      </c>
    </row>
    <row r="25" spans="2:24">
      <c r="B25" t="s">
        <v>249</v>
      </c>
      <c r="C25" s="1" t="s">
        <v>12</v>
      </c>
      <c r="D25" t="str">
        <f t="shared" si="8"/>
        <v>M</v>
      </c>
      <c r="E25" s="3" t="str">
        <f t="shared" si="9"/>
        <v>K</v>
      </c>
      <c r="F25" s="3">
        <f t="shared" ref="F25:K37" si="12">SUMIFS($I$55:$I$159,$D$55:$D$159,$B25,$C$55:$C$159,F$8)</f>
        <v>8.062558887421492</v>
      </c>
      <c r="G25" s="3">
        <f t="shared" si="12"/>
        <v>0.20615414115615299</v>
      </c>
      <c r="H25" s="3">
        <f t="shared" si="12"/>
        <v>0.57692644375234903</v>
      </c>
      <c r="I25" s="3">
        <f t="shared" si="12"/>
        <v>16.951093019503173</v>
      </c>
      <c r="J25" s="3">
        <f t="shared" si="12"/>
        <v>1.6572312557292754</v>
      </c>
      <c r="K25" s="3">
        <f t="shared" si="12"/>
        <v>0</v>
      </c>
      <c r="N25" s="513" t="str">
        <f>N24</f>
        <v>Electricity</v>
      </c>
      <c r="O25" s="518" t="str">
        <f>O24</f>
        <v>Middle Income</v>
      </c>
      <c r="P25" s="519" t="s">
        <v>15</v>
      </c>
      <c r="Q25" s="514"/>
      <c r="R25" s="515">
        <v>7.3192909763665144</v>
      </c>
      <c r="S25" s="516">
        <f t="shared" si="11"/>
        <v>10.239695699480739</v>
      </c>
      <c r="T25" s="516">
        <f t="shared" si="5"/>
        <v>10.104542359380272</v>
      </c>
      <c r="U25" s="516"/>
      <c r="V25" s="518">
        <v>11.078811330003377</v>
      </c>
    </row>
    <row r="26" spans="2:24">
      <c r="B26" t="s">
        <v>250</v>
      </c>
      <c r="C26" s="1" t="s">
        <v>310</v>
      </c>
      <c r="D26" t="str">
        <f t="shared" si="8"/>
        <v>M</v>
      </c>
      <c r="E26" s="3" t="str">
        <f t="shared" si="9"/>
        <v>H</v>
      </c>
      <c r="F26" s="3">
        <f t="shared" si="12"/>
        <v>1.9328157938120758</v>
      </c>
      <c r="G26" s="3">
        <f t="shared" si="12"/>
        <v>0.74689579765915792</v>
      </c>
      <c r="H26" s="3">
        <f t="shared" si="12"/>
        <v>0.72640689006309955</v>
      </c>
      <c r="I26" s="3">
        <f t="shared" si="12"/>
        <v>5.1512463307387257</v>
      </c>
      <c r="J26" s="3">
        <f t="shared" si="12"/>
        <v>5.1822659916246563</v>
      </c>
      <c r="K26" s="3">
        <f t="shared" si="12"/>
        <v>0</v>
      </c>
      <c r="N26" s="513" t="str">
        <f>N24</f>
        <v>Electricity</v>
      </c>
      <c r="O26" s="518" t="str">
        <f>O24</f>
        <v>Middle Income</v>
      </c>
      <c r="P26" s="518" t="str">
        <f>P20</f>
        <v>Other</v>
      </c>
      <c r="Q26" s="514"/>
      <c r="R26" s="515">
        <v>11.049842054668675</v>
      </c>
      <c r="S26" s="516">
        <f t="shared" si="11"/>
        <v>9.832127546568703</v>
      </c>
      <c r="T26" s="516">
        <f t="shared" si="5"/>
        <v>9.7023536824606165</v>
      </c>
      <c r="U26" s="516"/>
      <c r="V26" s="518">
        <v>13.197168630893984</v>
      </c>
    </row>
    <row r="27" spans="2:24">
      <c r="B27" t="s">
        <v>251</v>
      </c>
      <c r="C27" s="1" t="s">
        <v>14</v>
      </c>
      <c r="D27" t="str">
        <f t="shared" si="8"/>
        <v>M</v>
      </c>
      <c r="E27" s="3" t="str">
        <f t="shared" si="9"/>
        <v>W</v>
      </c>
      <c r="F27" s="3">
        <f t="shared" si="12"/>
        <v>0</v>
      </c>
      <c r="G27" s="3">
        <f t="shared" si="12"/>
        <v>2.0981351412120754</v>
      </c>
      <c r="H27" s="3">
        <f t="shared" si="12"/>
        <v>2.2949532423457586</v>
      </c>
      <c r="I27" s="3">
        <f t="shared" si="12"/>
        <v>6.1152168202815496</v>
      </c>
      <c r="J27" s="3">
        <f t="shared" si="12"/>
        <v>0.97280809955558833</v>
      </c>
      <c r="K27" s="3">
        <f t="shared" si="12"/>
        <v>0</v>
      </c>
      <c r="N27" s="513" t="str">
        <f>N26</f>
        <v>Electricity</v>
      </c>
      <c r="O27" s="518" t="str">
        <f>Energy_Balance!E149</f>
        <v>High Income</v>
      </c>
      <c r="P27" s="518" t="str">
        <f>P21</f>
        <v>Lighting</v>
      </c>
      <c r="Q27" s="514"/>
      <c r="R27" s="515">
        <v>5.3705442281752562</v>
      </c>
      <c r="S27" s="608">
        <f>T4*$Z$5+U4*$Z$6</f>
        <v>5.7198855307244418</v>
      </c>
      <c r="T27" s="516">
        <f t="shared" si="5"/>
        <v>5.6443889869639712</v>
      </c>
      <c r="U27" s="516"/>
      <c r="V27" s="514">
        <v>5.8942134825324617</v>
      </c>
    </row>
    <row r="28" spans="2:24">
      <c r="B28" s="1" t="s">
        <v>558</v>
      </c>
      <c r="C28" s="1" t="s">
        <v>14</v>
      </c>
      <c r="D28" t="str">
        <f t="shared" si="8"/>
        <v>M</v>
      </c>
      <c r="E28" s="3" t="s">
        <v>560</v>
      </c>
      <c r="F28" s="3">
        <f t="shared" si="12"/>
        <v>9.5424238974834363</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8">
        <f t="shared" ref="S28:S30" si="13">T5*$Z$5+U5*$Z$6</f>
        <v>9.1292943861436751</v>
      </c>
      <c r="T28" s="516">
        <f t="shared" si="5"/>
        <v>9.0087971892288934</v>
      </c>
      <c r="U28" s="516"/>
      <c r="V28" s="517">
        <v>8.229006728119062</v>
      </c>
    </row>
    <row r="29" spans="2:24">
      <c r="B29" s="1" t="s">
        <v>252</v>
      </c>
      <c r="C29" s="1" t="s">
        <v>15</v>
      </c>
      <c r="D29" t="str">
        <f t="shared" si="8"/>
        <v>M</v>
      </c>
      <c r="E29" s="3" t="str">
        <f t="shared" si="9"/>
        <v>R</v>
      </c>
      <c r="F29" s="3">
        <f t="shared" si="12"/>
        <v>10.104542359380272</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8">
        <f t="shared" si="13"/>
        <v>2.6427916377396441</v>
      </c>
      <c r="T29" s="516">
        <f t="shared" si="5"/>
        <v>2.6079095350372938</v>
      </c>
      <c r="U29" s="516"/>
      <c r="V29" s="518">
        <v>2.2621322245231945</v>
      </c>
    </row>
    <row r="30" spans="2:24">
      <c r="B30" t="s">
        <v>253</v>
      </c>
      <c r="C30" s="1" t="s">
        <v>41</v>
      </c>
      <c r="D30" t="str">
        <f t="shared" si="8"/>
        <v>M</v>
      </c>
      <c r="E30" s="3" t="str">
        <f t="shared" si="9"/>
        <v>O</v>
      </c>
      <c r="F30" s="3">
        <f t="shared" si="12"/>
        <v>9.7023536824606165</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8">
        <f t="shared" si="13"/>
        <v>44.885874967959197</v>
      </c>
      <c r="T30" s="516">
        <f t="shared" si="5"/>
        <v>44.293428072729746</v>
      </c>
      <c r="U30" s="606"/>
      <c r="V30" s="518">
        <v>40.014768265495256</v>
      </c>
      <c r="W30" s="516">
        <f>S30/SUM(S27:S32)</f>
        <v>0.48185369816493673</v>
      </c>
      <c r="X30" s="516" t="s">
        <v>1055</v>
      </c>
    </row>
    <row r="31" spans="2:24">
      <c r="B31" t="s">
        <v>254</v>
      </c>
      <c r="C31" s="1" t="s">
        <v>11</v>
      </c>
      <c r="D31" t="str">
        <f t="shared" si="8"/>
        <v>H</v>
      </c>
      <c r="E31" s="3" t="str">
        <f t="shared" si="9"/>
        <v>L</v>
      </c>
      <c r="F31" s="3">
        <f t="shared" si="12"/>
        <v>5.6443889869639712</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8">
        <f>T8*$Z$5+U8*$Z$6</f>
        <v>12.692196247140947</v>
      </c>
      <c r="T31" s="516">
        <f t="shared" si="5"/>
        <v>12.524672448938746</v>
      </c>
      <c r="U31" s="516"/>
      <c r="V31" s="518">
        <v>12.088351425410425</v>
      </c>
    </row>
    <row r="32" spans="2:24">
      <c r="B32" t="s">
        <v>255</v>
      </c>
      <c r="C32" s="1" t="s">
        <v>12</v>
      </c>
      <c r="D32" t="str">
        <f t="shared" si="8"/>
        <v>H</v>
      </c>
      <c r="E32" s="3" t="str">
        <f t="shared" si="9"/>
        <v>K</v>
      </c>
      <c r="F32" s="3">
        <f t="shared" si="12"/>
        <v>9.0087971892288934</v>
      </c>
      <c r="G32" s="3">
        <f t="shared" si="12"/>
        <v>9.2563833924448141E-2</v>
      </c>
      <c r="H32" s="3">
        <f t="shared" si="12"/>
        <v>2.3995866483591111</v>
      </c>
      <c r="I32" s="3">
        <f t="shared" si="12"/>
        <v>0.99354566271501477</v>
      </c>
      <c r="J32" s="3">
        <f t="shared" si="12"/>
        <v>0</v>
      </c>
      <c r="K32" s="3">
        <f t="shared" si="12"/>
        <v>0</v>
      </c>
      <c r="N32" s="513" t="str">
        <f>N30</f>
        <v>Electricity</v>
      </c>
      <c r="O32" s="518" t="str">
        <f>O30</f>
        <v>High Income</v>
      </c>
      <c r="P32" s="518" t="str">
        <f>P26</f>
        <v>Other</v>
      </c>
      <c r="Q32" s="514"/>
      <c r="R32" s="515">
        <v>16.642647032482181</v>
      </c>
      <c r="S32" s="608">
        <f>T9*$Z$5+U9*$Z$6</f>
        <v>18.082453805289699</v>
      </c>
      <c r="T32" s="516">
        <f t="shared" si="5"/>
        <v>17.843784209949941</v>
      </c>
      <c r="U32" s="516"/>
      <c r="V32" s="518">
        <v>15.706550474602096</v>
      </c>
    </row>
    <row r="33" spans="2:23">
      <c r="B33" t="s">
        <v>239</v>
      </c>
      <c r="C33" s="1" t="s">
        <v>310</v>
      </c>
      <c r="D33" t="str">
        <f t="shared" si="8"/>
        <v>H</v>
      </c>
      <c r="E33" s="3" t="str">
        <f t="shared" si="9"/>
        <v>H</v>
      </c>
      <c r="F33" s="3">
        <f t="shared" si="12"/>
        <v>2.6079095350372934</v>
      </c>
      <c r="G33" s="3">
        <f t="shared" si="12"/>
        <v>2.5486082730346662E-2</v>
      </c>
      <c r="H33" s="3">
        <f t="shared" si="12"/>
        <v>2.206870457913674</v>
      </c>
      <c r="I33" s="3">
        <f t="shared" si="12"/>
        <v>0.24522190197486701</v>
      </c>
      <c r="J33" s="3">
        <f t="shared" si="12"/>
        <v>1.2379218124175966</v>
      </c>
      <c r="K33" s="3">
        <f t="shared" si="12"/>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256</v>
      </c>
      <c r="C34" s="1" t="s">
        <v>14</v>
      </c>
      <c r="D34" t="str">
        <f t="shared" si="8"/>
        <v>H</v>
      </c>
      <c r="E34" s="3" t="str">
        <f t="shared" si="9"/>
        <v>W</v>
      </c>
      <c r="F34" s="3">
        <f t="shared" si="12"/>
        <v>0</v>
      </c>
      <c r="G34" s="3">
        <f t="shared" si="12"/>
        <v>0.73130528784479287</v>
      </c>
      <c r="H34" s="3">
        <f t="shared" si="12"/>
        <v>8.0448373228042644</v>
      </c>
      <c r="I34" s="3">
        <f t="shared" si="12"/>
        <v>1.1928659498339771</v>
      </c>
      <c r="J34" s="3">
        <f t="shared" si="12"/>
        <v>0.23736838566694082</v>
      </c>
      <c r="K34" s="3">
        <f t="shared" si="12"/>
        <v>0</v>
      </c>
      <c r="L34" s="3"/>
      <c r="M34" s="3">
        <f>H34/SUM(F34:K35)</f>
        <v>0.14761222209909536</v>
      </c>
      <c r="N34" s="3"/>
      <c r="O34" s="3"/>
      <c r="P34" s="3"/>
      <c r="Q34" s="3"/>
      <c r="R34" s="3"/>
      <c r="S34" s="520"/>
      <c r="T34" s="3"/>
      <c r="U34" s="3">
        <v>0.8566143176859965</v>
      </c>
      <c r="V34" s="3"/>
      <c r="W34" s="3"/>
    </row>
    <row r="35" spans="2:23">
      <c r="B35" s="1" t="s">
        <v>561</v>
      </c>
      <c r="C35" s="1" t="s">
        <v>14</v>
      </c>
      <c r="D35" t="str">
        <f t="shared" si="8"/>
        <v>H</v>
      </c>
      <c r="E35" s="3" t="s">
        <v>560</v>
      </c>
      <c r="F35" s="3">
        <f t="shared" si="12"/>
        <v>44.293428072729746</v>
      </c>
      <c r="G35" s="3">
        <f t="shared" si="12"/>
        <v>0</v>
      </c>
      <c r="H35" s="3">
        <f t="shared" si="12"/>
        <v>0</v>
      </c>
      <c r="I35" s="3">
        <f t="shared" si="12"/>
        <v>0</v>
      </c>
      <c r="J35" s="3">
        <f t="shared" si="12"/>
        <v>0</v>
      </c>
      <c r="K35" s="3">
        <f t="shared" si="12"/>
        <v>0</v>
      </c>
    </row>
    <row r="36" spans="2:23">
      <c r="B36" s="1" t="s">
        <v>257</v>
      </c>
      <c r="C36" s="1" t="s">
        <v>15</v>
      </c>
      <c r="D36" t="str">
        <f t="shared" si="8"/>
        <v>H</v>
      </c>
      <c r="E36" s="3" t="str">
        <f t="shared" si="9"/>
        <v>R</v>
      </c>
      <c r="F36" s="3">
        <f t="shared" si="12"/>
        <v>12.524672448938746</v>
      </c>
      <c r="G36" s="3">
        <f t="shared" si="12"/>
        <v>0</v>
      </c>
      <c r="H36" s="3">
        <f t="shared" si="12"/>
        <v>0</v>
      </c>
      <c r="I36" s="3">
        <f t="shared" si="12"/>
        <v>0</v>
      </c>
      <c r="J36" s="3">
        <f t="shared" si="12"/>
        <v>0</v>
      </c>
      <c r="K36" s="3">
        <f t="shared" si="12"/>
        <v>0</v>
      </c>
    </row>
    <row r="37" spans="2:23">
      <c r="B37" t="s">
        <v>258</v>
      </c>
      <c r="C37" s="1" t="s">
        <v>41</v>
      </c>
      <c r="D37" t="str">
        <f t="shared" si="8"/>
        <v>H</v>
      </c>
      <c r="E37" s="3" t="str">
        <f t="shared" si="9"/>
        <v>O</v>
      </c>
      <c r="F37" s="3">
        <f t="shared" si="12"/>
        <v>17.843784209949941</v>
      </c>
      <c r="G37" s="3">
        <f t="shared" si="12"/>
        <v>0</v>
      </c>
      <c r="H37" s="3">
        <f t="shared" si="12"/>
        <v>0</v>
      </c>
      <c r="I37" s="3">
        <f t="shared" si="12"/>
        <v>0</v>
      </c>
      <c r="J37" s="3">
        <f t="shared" si="12"/>
        <v>0</v>
      </c>
      <c r="K37" s="3">
        <f t="shared" si="12"/>
        <v>0</v>
      </c>
    </row>
    <row r="38" spans="2:23">
      <c r="E38" s="3"/>
      <c r="F38" s="270">
        <f t="shared" ref="F38:K38" si="14">SUM(F15:F37)</f>
        <v>170.00000000000003</v>
      </c>
      <c r="G38" s="270">
        <f t="shared" si="14"/>
        <v>9.64</v>
      </c>
      <c r="H38" s="270">
        <f t="shared" si="14"/>
        <v>17.97</v>
      </c>
      <c r="I38" s="270">
        <f t="shared" si="14"/>
        <v>83.76700000000001</v>
      </c>
      <c r="J38" s="270">
        <f t="shared" si="14"/>
        <v>15.617000000000004</v>
      </c>
      <c r="K38" s="270">
        <f t="shared" si="14"/>
        <v>0</v>
      </c>
    </row>
    <row r="39" spans="2:23">
      <c r="E39" s="3"/>
      <c r="F39" s="270"/>
      <c r="G39" s="270"/>
      <c r="H39" s="270"/>
      <c r="I39" s="270"/>
      <c r="J39" s="270"/>
      <c r="K39" s="270"/>
    </row>
    <row r="41" spans="2:23">
      <c r="B41" s="1" t="s">
        <v>804</v>
      </c>
      <c r="F41" s="5" t="s">
        <v>42</v>
      </c>
      <c r="G41" s="5" t="s">
        <v>17</v>
      </c>
      <c r="H41" s="5" t="s">
        <v>43</v>
      </c>
      <c r="I41" s="5" t="s">
        <v>7</v>
      </c>
      <c r="J41" s="5" t="s">
        <v>9</v>
      </c>
      <c r="K41" s="5" t="s">
        <v>159</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840</v>
      </c>
      <c r="N42" s="432"/>
      <c r="O42" s="432"/>
      <c r="P42" s="432"/>
      <c r="Q42" s="432"/>
      <c r="R42" s="432"/>
      <c r="S42" s="432"/>
      <c r="T42" s="432"/>
      <c r="U42" s="432"/>
      <c r="V42" s="432"/>
      <c r="W42" s="432"/>
    </row>
    <row r="43" spans="2:23">
      <c r="B43" s="1" t="s">
        <v>18</v>
      </c>
      <c r="D43" t="s">
        <v>78</v>
      </c>
      <c r="F43" s="3">
        <f t="shared" ref="F43:K45" si="15">SUMIF($D$15:$D$37,$D43,F$15:F$37)</f>
        <v>34.344416820192926</v>
      </c>
      <c r="G43" s="3">
        <f t="shared" si="15"/>
        <v>5.0246378458959651</v>
      </c>
      <c r="H43" s="3">
        <f t="shared" si="15"/>
        <v>1.7204189947617428</v>
      </c>
      <c r="I43" s="3">
        <f t="shared" si="15"/>
        <v>53.117810314952692</v>
      </c>
      <c r="J43" s="3">
        <f t="shared" si="15"/>
        <v>6.3294044550059487</v>
      </c>
      <c r="K43">
        <f t="shared" si="15"/>
        <v>0</v>
      </c>
    </row>
    <row r="44" spans="2:23">
      <c r="B44" s="1" t="s">
        <v>418</v>
      </c>
      <c r="D44" t="s">
        <v>435</v>
      </c>
      <c r="F44" s="3">
        <f t="shared" si="15"/>
        <v>43.732602736958505</v>
      </c>
      <c r="G44" s="3">
        <f t="shared" si="15"/>
        <v>3.7660069496044488</v>
      </c>
      <c r="H44" s="3">
        <f t="shared" si="15"/>
        <v>3.5982865761612071</v>
      </c>
      <c r="I44" s="3">
        <f t="shared" si="15"/>
        <v>28.217556170523448</v>
      </c>
      <c r="J44" s="3">
        <f t="shared" si="15"/>
        <v>7.8123053469095201</v>
      </c>
      <c r="K44">
        <f t="shared" si="15"/>
        <v>0</v>
      </c>
    </row>
    <row r="45" spans="2:23">
      <c r="B45" s="1" t="s">
        <v>59</v>
      </c>
      <c r="D45" t="s">
        <v>79</v>
      </c>
      <c r="F45" s="3">
        <f t="shared" si="15"/>
        <v>91.922980442848598</v>
      </c>
      <c r="G45" s="3">
        <f t="shared" si="15"/>
        <v>0.84935520449958768</v>
      </c>
      <c r="H45" s="3">
        <f t="shared" si="15"/>
        <v>12.651294429077049</v>
      </c>
      <c r="I45" s="3">
        <f t="shared" si="15"/>
        <v>2.4316335145238588</v>
      </c>
      <c r="J45" s="3">
        <f t="shared" si="15"/>
        <v>1.4752901980845374</v>
      </c>
      <c r="K45">
        <f t="shared" si="15"/>
        <v>0</v>
      </c>
    </row>
    <row r="46" spans="2:23">
      <c r="F46" s="3"/>
      <c r="G46" s="3"/>
      <c r="H46" s="3"/>
      <c r="I46" s="3"/>
      <c r="J46" s="3"/>
    </row>
    <row r="47" spans="2:23">
      <c r="F47" s="270" t="s">
        <v>42</v>
      </c>
      <c r="G47" s="270" t="s">
        <v>17</v>
      </c>
      <c r="H47" s="270" t="s">
        <v>43</v>
      </c>
      <c r="I47" s="270" t="s">
        <v>7</v>
      </c>
      <c r="J47" s="270" t="s">
        <v>9</v>
      </c>
      <c r="K47" s="5" t="s">
        <v>159</v>
      </c>
    </row>
    <row r="48" spans="2:23">
      <c r="B48" s="1" t="s">
        <v>812</v>
      </c>
      <c r="C48">
        <v>2017</v>
      </c>
      <c r="F48" s="3">
        <v>1</v>
      </c>
      <c r="G48" s="3">
        <f>G10/G42</f>
        <v>0.45220054200803866</v>
      </c>
      <c r="H48" s="3">
        <f>H10/H42</f>
        <v>1.8962992554208546</v>
      </c>
      <c r="I48" s="3">
        <f>I10/I42</f>
        <v>0.61523811190754352</v>
      </c>
      <c r="J48" s="3">
        <f>J10/J42</f>
        <v>2.3399069655517248</v>
      </c>
    </row>
    <row r="49" spans="1:48">
      <c r="B49" s="1" t="s">
        <v>814</v>
      </c>
      <c r="C49" t="s">
        <v>815</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890</v>
      </c>
    </row>
    <row r="52" spans="1:48" ht="24.9">
      <c r="G52" s="13" t="s">
        <v>214</v>
      </c>
      <c r="H52" s="5" t="s">
        <v>432</v>
      </c>
      <c r="I52" s="312" t="s">
        <v>813</v>
      </c>
      <c r="J52" s="5"/>
      <c r="Q52" s="417"/>
      <c r="R52" s="417"/>
      <c r="S52" s="417"/>
      <c r="T52" s="417"/>
      <c r="U52" s="417"/>
      <c r="V52" s="417"/>
      <c r="W52" s="417"/>
      <c r="X52" s="5"/>
    </row>
    <row r="53" spans="1:48" s="15" customFormat="1" ht="74.599999999999994">
      <c r="B53" s="400" t="s">
        <v>0</v>
      </c>
      <c r="C53" s="476" t="s">
        <v>163</v>
      </c>
      <c r="D53" s="476"/>
      <c r="E53" s="476"/>
      <c r="F53" s="476"/>
      <c r="G53" s="13" t="s">
        <v>891</v>
      </c>
      <c r="H53" s="13" t="s">
        <v>892</v>
      </c>
      <c r="I53" s="477" t="s">
        <v>872</v>
      </c>
      <c r="J53" s="477"/>
      <c r="K53" s="477" t="s">
        <v>839</v>
      </c>
      <c r="L53" s="13" t="s">
        <v>871</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6">IF(LEFT(B54,1)="\","*","")</f>
        <v>*</v>
      </c>
      <c r="B54" s="261" t="s">
        <v>1031</v>
      </c>
      <c r="C54" s="68"/>
      <c r="D54" s="68"/>
      <c r="E54" s="68"/>
      <c r="F54" s="68"/>
      <c r="G54" s="3"/>
      <c r="I54" s="191"/>
      <c r="J54" s="191"/>
      <c r="K54" s="191"/>
    </row>
    <row r="55" spans="1:48" outlineLevel="2">
      <c r="A55" s="70" t="str">
        <f t="shared" si="16"/>
        <v/>
      </c>
      <c r="B55" s="262" t="s">
        <v>42</v>
      </c>
      <c r="C55" s="1" t="s">
        <v>229</v>
      </c>
      <c r="D55" s="1" t="s">
        <v>242</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hidden="1" outlineLevel="2">
      <c r="A56" s="70"/>
      <c r="B56" s="262" t="s">
        <v>17</v>
      </c>
      <c r="C56" s="1" t="s">
        <v>231</v>
      </c>
      <c r="D56" s="1" t="s">
        <v>259</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hidden="1" outlineLevel="2">
      <c r="A57" s="70" t="str">
        <f t="shared" si="16"/>
        <v/>
      </c>
      <c r="B57" s="248"/>
      <c r="E57" s="5"/>
      <c r="F57" s="5"/>
      <c r="G57" s="479" t="s">
        <v>57</v>
      </c>
      <c r="H57" s="271">
        <f>SUM(H55:H56)</f>
        <v>6217118.9685389679</v>
      </c>
      <c r="I57" s="430"/>
      <c r="J57" s="430"/>
      <c r="K57" s="430"/>
      <c r="L57" s="271"/>
    </row>
    <row r="58" spans="1:48" hidden="1">
      <c r="A58" s="70" t="str">
        <f t="shared" si="16"/>
        <v>*</v>
      </c>
      <c r="B58" s="261" t="s">
        <v>1029</v>
      </c>
      <c r="C58" s="68"/>
      <c r="D58" s="68"/>
      <c r="E58" s="1"/>
      <c r="F58" s="68"/>
      <c r="G58" s="478" t="s">
        <v>57</v>
      </c>
      <c r="H58" s="115"/>
      <c r="I58" s="431"/>
      <c r="J58" s="431"/>
      <c r="K58" s="431"/>
      <c r="L58" s="115"/>
    </row>
    <row r="59" spans="1:48" outlineLevel="1">
      <c r="A59" s="70"/>
      <c r="B59" s="262" t="s">
        <v>42</v>
      </c>
      <c r="C59" s="1" t="s">
        <v>229</v>
      </c>
      <c r="D59" s="1" t="s">
        <v>243</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hidden="1" outlineLevel="1">
      <c r="A60" s="70" t="str">
        <f t="shared" si="16"/>
        <v/>
      </c>
      <c r="B60" s="262" t="s">
        <v>17</v>
      </c>
      <c r="C60" t="s">
        <v>231</v>
      </c>
      <c r="D60" s="1" t="s">
        <v>243</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hidden="1" outlineLevel="1">
      <c r="A61" s="70" t="str">
        <f t="shared" si="16"/>
        <v/>
      </c>
      <c r="B61" s="248" t="s">
        <v>43</v>
      </c>
      <c r="C61" t="s">
        <v>230</v>
      </c>
      <c r="D61" s="1" t="s">
        <v>243</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hidden="1" outlineLevel="1">
      <c r="A62" s="70" t="str">
        <f t="shared" si="16"/>
        <v/>
      </c>
      <c r="B62" s="262" t="s">
        <v>7</v>
      </c>
      <c r="C62" t="s">
        <v>232</v>
      </c>
      <c r="D62" s="1" t="s">
        <v>243</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hidden="1" outlineLevel="1">
      <c r="A63" s="70" t="str">
        <f t="shared" si="16"/>
        <v/>
      </c>
      <c r="B63" s="248" t="s">
        <v>9</v>
      </c>
      <c r="C63" t="s">
        <v>233</v>
      </c>
      <c r="D63" s="1" t="s">
        <v>243</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hidden="1" outlineLevel="1">
      <c r="A64" s="70" t="str">
        <f t="shared" si="16"/>
        <v/>
      </c>
      <c r="B64" s="262" t="s">
        <v>159</v>
      </c>
      <c r="C64" t="s">
        <v>161</v>
      </c>
      <c r="D64" s="1" t="s">
        <v>243</v>
      </c>
      <c r="E64" s="1" t="str">
        <f>'Census 2011_17'!B$111</f>
        <v>Low Income</v>
      </c>
      <c r="F64" s="1" t="str">
        <f>'Census 2011_17'!A$111</f>
        <v>Cooking</v>
      </c>
      <c r="G64" s="478"/>
      <c r="H64" s="115">
        <v>0</v>
      </c>
      <c r="I64" s="431"/>
      <c r="J64" s="431"/>
      <c r="K64" s="431"/>
      <c r="L64" s="115"/>
    </row>
    <row r="65" spans="1:30" hidden="1" outlineLevel="1">
      <c r="A65" s="70" t="str">
        <f t="shared" si="16"/>
        <v/>
      </c>
      <c r="B65" s="248"/>
      <c r="E65" s="5"/>
      <c r="F65" s="5"/>
      <c r="G65" s="479">
        <v>9.3661080950465532E-6</v>
      </c>
      <c r="H65" s="480">
        <f>SUM(H59:H64)</f>
        <v>8506163.0751527678</v>
      </c>
      <c r="I65" s="430"/>
      <c r="J65" s="430"/>
      <c r="K65" s="430"/>
      <c r="L65" s="480"/>
    </row>
    <row r="66" spans="1:30" hidden="1">
      <c r="A66" s="70" t="str">
        <f t="shared" si="16"/>
        <v>*</v>
      </c>
      <c r="B66" s="261" t="s">
        <v>1030</v>
      </c>
      <c r="C66" s="68"/>
      <c r="D66" s="68"/>
      <c r="E66" s="1"/>
      <c r="F66" s="68"/>
      <c r="G66" s="478" t="s">
        <v>57</v>
      </c>
      <c r="H66" s="115"/>
      <c r="I66" s="431"/>
      <c r="J66" s="431"/>
      <c r="K66" s="431"/>
      <c r="L66" s="115"/>
    </row>
    <row r="67" spans="1:30" outlineLevel="1">
      <c r="A67" s="70" t="str">
        <f t="shared" si="16"/>
        <v/>
      </c>
      <c r="B67" s="262" t="s">
        <v>42</v>
      </c>
      <c r="C67" s="1" t="s">
        <v>229</v>
      </c>
      <c r="D67" s="1" t="s">
        <v>244</v>
      </c>
      <c r="E67" s="1" t="str">
        <f>'Census 2011_17'!B$111</f>
        <v>Low Income</v>
      </c>
      <c r="F67" s="1" t="str">
        <f>'Census 2011_17'!A$142</f>
        <v>Space heating</v>
      </c>
      <c r="G67" s="478"/>
      <c r="H67" s="115">
        <f>H59</f>
        <v>5886209.3270581374</v>
      </c>
      <c r="I67" s="431">
        <f t="shared" ref="I67:I72" si="17">IFERROR(IF(B67="paraffin",L67*G$48,IF(B67="electricity",L67*F$48,IF(B67="coal",L67*J$48,IF(B67="Gas",L67*H$48,IF(B67="wood",L67*I$48,L67))))),"")</f>
        <v>0.92383071465765942</v>
      </c>
      <c r="J67" s="431"/>
      <c r="K67" s="431">
        <f>T$17/$V$4*10^6</f>
        <v>0.1569483284277591</v>
      </c>
      <c r="L67" s="115">
        <f>IFERROR(K67*H67/10^6,0)</f>
        <v>0.92383071465765942</v>
      </c>
    </row>
    <row r="68" spans="1:30" hidden="1" outlineLevel="1">
      <c r="A68" s="70" t="str">
        <f t="shared" si="16"/>
        <v/>
      </c>
      <c r="B68" s="262" t="s">
        <v>17</v>
      </c>
      <c r="C68" s="1" t="s">
        <v>231</v>
      </c>
      <c r="D68" s="1" t="s">
        <v>244</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7"/>
        <v>0.32511472040198852</v>
      </c>
      <c r="J68" s="431"/>
      <c r="K68" s="431"/>
      <c r="L68" s="115">
        <f>IFERROR(G68*H68/10^6,0)</f>
        <v>0.71896136824225443</v>
      </c>
    </row>
    <row r="69" spans="1:30" hidden="1" outlineLevel="1">
      <c r="A69" s="70" t="str">
        <f t="shared" si="16"/>
        <v/>
      </c>
      <c r="B69" s="248" t="s">
        <v>43</v>
      </c>
      <c r="C69" s="1" t="s">
        <v>230</v>
      </c>
      <c r="D69" s="1" t="s">
        <v>244</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7"/>
        <v>8.2195005713241232E-2</v>
      </c>
      <c r="J69" s="431"/>
      <c r="K69" s="431"/>
      <c r="L69" s="115">
        <f>IFERROR(G69*H69/10^6,0)</f>
        <v>4.3344954905337081E-2</v>
      </c>
    </row>
    <row r="70" spans="1:30" hidden="1" outlineLevel="1">
      <c r="A70" s="70" t="str">
        <f t="shared" si="16"/>
        <v/>
      </c>
      <c r="B70" s="262" t="s">
        <v>7</v>
      </c>
      <c r="C70" s="1" t="s">
        <v>232</v>
      </c>
      <c r="D70" s="1" t="s">
        <v>244</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7"/>
        <v>10.185203913611241</v>
      </c>
      <c r="J70" s="431"/>
      <c r="K70" s="431"/>
      <c r="L70" s="115">
        <f>IFERROR(G70*H70/10^6,0)</f>
        <v>16.554897553456261</v>
      </c>
    </row>
    <row r="71" spans="1:30" hidden="1" outlineLevel="1">
      <c r="A71" s="70" t="str">
        <f t="shared" si="16"/>
        <v/>
      </c>
      <c r="B71" s="248" t="s">
        <v>9</v>
      </c>
      <c r="C71" s="1" t="s">
        <v>233</v>
      </c>
      <c r="D71" s="1" t="s">
        <v>244</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7"/>
        <v>3.5807184128955476</v>
      </c>
      <c r="J71" s="431"/>
      <c r="K71" s="431"/>
      <c r="L71" s="115">
        <f>IFERROR(G71*H71/10^6,0)</f>
        <v>1.5302823854158034</v>
      </c>
    </row>
    <row r="72" spans="1:30" hidden="1" outlineLevel="1">
      <c r="A72" s="70" t="str">
        <f t="shared" si="16"/>
        <v/>
      </c>
      <c r="B72" s="262" t="s">
        <v>159</v>
      </c>
      <c r="C72" s="1" t="s">
        <v>161</v>
      </c>
      <c r="D72" s="1" t="s">
        <v>244</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7"/>
        <v>0</v>
      </c>
      <c r="J72" s="431"/>
      <c r="K72" s="431"/>
      <c r="L72" s="115">
        <f>IFERROR(G72*H72/10^6,0)</f>
        <v>0</v>
      </c>
      <c r="AD72" s="2"/>
    </row>
    <row r="73" spans="1:30" hidden="1" outlineLevel="1">
      <c r="A73" s="70" t="str">
        <f t="shared" si="16"/>
        <v/>
      </c>
      <c r="B73" s="248"/>
      <c r="E73" s="5"/>
      <c r="F73" s="5"/>
      <c r="G73" s="479" t="s">
        <v>57</v>
      </c>
      <c r="H73" s="271"/>
      <c r="I73" s="430"/>
      <c r="J73" s="430"/>
      <c r="K73" s="430"/>
      <c r="L73" s="271"/>
    </row>
    <row r="74" spans="1:30" hidden="1">
      <c r="A74" s="70" t="str">
        <f t="shared" si="16"/>
        <v>*</v>
      </c>
      <c r="B74" s="263" t="s">
        <v>1046</v>
      </c>
      <c r="C74" s="69"/>
      <c r="D74" s="69"/>
      <c r="E74" s="1"/>
      <c r="F74" s="69"/>
      <c r="G74" s="478" t="s">
        <v>57</v>
      </c>
      <c r="H74" s="115"/>
      <c r="I74" s="431"/>
      <c r="J74" s="431"/>
      <c r="K74" s="431"/>
      <c r="L74" s="115"/>
    </row>
    <row r="75" spans="1:30" outlineLevel="1">
      <c r="A75" s="70"/>
      <c r="B75" s="262" t="s">
        <v>42</v>
      </c>
      <c r="C75" s="1" t="s">
        <v>229</v>
      </c>
      <c r="D75" t="s">
        <v>245</v>
      </c>
      <c r="E75" s="1" t="str">
        <f>'Census 2011_17'!B$111</f>
        <v>Low Income</v>
      </c>
      <c r="F75" t="s">
        <v>14</v>
      </c>
      <c r="G75" s="478">
        <v>0.88502825012617625</v>
      </c>
      <c r="H75" s="115">
        <f>H59</f>
        <v>5886209.3270581374</v>
      </c>
      <c r="I75" s="431">
        <f t="shared" ref="I75:I79" si="18">IFERROR(IF(B75="paraffin",L75*G$48,IF(B75="electricity",L75*F$48,IF(B75="coal",L75*J$48,IF(B75="Gas",L75*H$48,IF(B75="wood",L75*I$48,L75))))),"")</f>
        <v>1.9736236034429964</v>
      </c>
      <c r="J75" s="431"/>
      <c r="K75" s="431">
        <f>T$18/$V$4*10^6</f>
        <v>0.33529619722671189</v>
      </c>
      <c r="L75" s="115">
        <f>IFERROR(K75*H75/10^6,0)</f>
        <v>1.9736236034429964</v>
      </c>
    </row>
    <row r="76" spans="1:30" hidden="1" outlineLevel="1">
      <c r="A76" s="70" t="str">
        <f t="shared" si="16"/>
        <v/>
      </c>
      <c r="B76" s="262" t="s">
        <v>17</v>
      </c>
      <c r="C76" s="1" t="s">
        <v>231</v>
      </c>
      <c r="D76" s="1" t="s">
        <v>245</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8"/>
        <v>2.8371679818600861</v>
      </c>
      <c r="J76" s="431"/>
      <c r="K76" s="431"/>
      <c r="L76" s="115">
        <f>IFERROR(G76*H76/10^6,0)</f>
        <v>6.2741366236789045</v>
      </c>
    </row>
    <row r="77" spans="1:30" hidden="1" outlineLevel="1">
      <c r="A77" s="70" t="str">
        <f t="shared" si="16"/>
        <v/>
      </c>
      <c r="B77" s="248" t="s">
        <v>43</v>
      </c>
      <c r="C77" s="1" t="s">
        <v>230</v>
      </c>
      <c r="D77" s="1" t="s">
        <v>245</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8"/>
        <v>0.58421574773989327</v>
      </c>
      <c r="J77" s="431"/>
      <c r="K77" s="431"/>
      <c r="L77" s="115">
        <f>IFERROR(G77*H77/10^6,0)</f>
        <v>0.30808204246762494</v>
      </c>
    </row>
    <row r="78" spans="1:30" hidden="1" outlineLevel="1">
      <c r="A78" s="70" t="str">
        <f t="shared" si="16"/>
        <v/>
      </c>
      <c r="B78" s="262" t="s">
        <v>7</v>
      </c>
      <c r="C78" s="1" t="s">
        <v>232</v>
      </c>
      <c r="D78" s="1" t="s">
        <v>245</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8"/>
        <v>9.3904034820075051</v>
      </c>
      <c r="J78" s="431"/>
      <c r="K78" s="431"/>
      <c r="L78" s="115">
        <f>IFERROR(G78*H78/10^6,0)</f>
        <v>15.263039301795843</v>
      </c>
    </row>
    <row r="79" spans="1:30" hidden="1" outlineLevel="1">
      <c r="A79" s="70" t="str">
        <f t="shared" si="16"/>
        <v/>
      </c>
      <c r="B79" s="248" t="s">
        <v>9</v>
      </c>
      <c r="C79" s="1" t="s">
        <v>233</v>
      </c>
      <c r="D79" s="1" t="s">
        <v>245</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8"/>
        <v>0.55466590619951062</v>
      </c>
      <c r="J79" s="431"/>
      <c r="K79" s="431"/>
      <c r="L79" s="115">
        <f>IFERROR(G79*H79/10^6,0)</f>
        <v>0.23704613660514764</v>
      </c>
    </row>
    <row r="80" spans="1:30" hidden="1" outlineLevel="1">
      <c r="A80" s="70" t="str">
        <f t="shared" si="16"/>
        <v/>
      </c>
      <c r="B80" s="262" t="s">
        <v>159</v>
      </c>
      <c r="C80" s="1" t="s">
        <v>161</v>
      </c>
      <c r="D80" s="1" t="s">
        <v>245</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hidden="1" outlineLevel="1">
      <c r="A81" s="70" t="str">
        <f t="shared" si="16"/>
        <v/>
      </c>
      <c r="B81" s="248"/>
      <c r="E81" s="5"/>
      <c r="F81" s="5"/>
      <c r="G81" s="479" t="s">
        <v>57</v>
      </c>
      <c r="H81" s="271">
        <f>SUM(H75:H80)</f>
        <v>8313121.6612186767</v>
      </c>
      <c r="I81" s="430"/>
      <c r="J81" s="430"/>
      <c r="K81" s="430"/>
      <c r="L81" s="271"/>
    </row>
    <row r="82" spans="1:33" hidden="1">
      <c r="A82" s="70" t="str">
        <f t="shared" si="16"/>
        <v>*</v>
      </c>
      <c r="B82" s="263" t="s">
        <v>1045</v>
      </c>
      <c r="C82" s="69"/>
      <c r="G82" s="478" t="s">
        <v>57</v>
      </c>
      <c r="H82" s="115"/>
      <c r="I82" s="431"/>
      <c r="J82" s="431"/>
      <c r="K82" s="431"/>
      <c r="L82" s="115"/>
    </row>
    <row r="83" spans="1:33" outlineLevel="1">
      <c r="A83" s="70" t="str">
        <f t="shared" si="16"/>
        <v/>
      </c>
      <c r="B83" s="262" t="s">
        <v>42</v>
      </c>
      <c r="C83" s="1" t="s">
        <v>229</v>
      </c>
      <c r="D83" s="1" t="s">
        <v>246</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hidden="1" outlineLevel="1">
      <c r="A84" s="70"/>
      <c r="B84" s="262"/>
      <c r="C84" s="1"/>
      <c r="D84" s="1"/>
      <c r="E84" s="1"/>
      <c r="G84" s="478"/>
      <c r="H84" s="115"/>
      <c r="I84" s="431"/>
      <c r="J84" s="431"/>
      <c r="K84" s="431"/>
      <c r="L84" s="115"/>
    </row>
    <row r="85" spans="1:33" hidden="1" outlineLevel="1">
      <c r="A85" s="70" t="str">
        <f t="shared" si="16"/>
        <v/>
      </c>
      <c r="B85" s="248"/>
      <c r="E85" s="1"/>
      <c r="G85" s="478" t="s">
        <v>57</v>
      </c>
      <c r="H85" s="115"/>
      <c r="I85" s="431"/>
      <c r="J85" s="431"/>
      <c r="K85" s="431"/>
      <c r="L85" s="115"/>
    </row>
    <row r="86" spans="1:33" hidden="1">
      <c r="A86" s="70" t="str">
        <f t="shared" si="16"/>
        <v>*</v>
      </c>
      <c r="B86" s="263" t="s">
        <v>1044</v>
      </c>
      <c r="C86" s="69"/>
      <c r="D86" s="69"/>
      <c r="E86" s="1"/>
      <c r="F86" s="69"/>
      <c r="G86" s="478" t="s">
        <v>57</v>
      </c>
      <c r="H86" s="115"/>
      <c r="I86" s="431"/>
      <c r="J86" s="431"/>
      <c r="K86" s="431"/>
      <c r="L86" s="115"/>
    </row>
    <row r="87" spans="1:33" outlineLevel="1">
      <c r="A87" s="70" t="str">
        <f t="shared" si="16"/>
        <v/>
      </c>
      <c r="B87" s="262" t="s">
        <v>42</v>
      </c>
      <c r="C87" s="1" t="s">
        <v>229</v>
      </c>
      <c r="D87" s="1" t="s">
        <v>247</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hidden="1" outlineLevel="1">
      <c r="A88" s="70" t="str">
        <f t="shared" ref="A88:A121" si="19">IF(LEFT(B88,1)="\","*","")</f>
        <v/>
      </c>
      <c r="B88" s="262" t="s">
        <v>17</v>
      </c>
      <c r="C88" s="1" t="s">
        <v>231</v>
      </c>
      <c r="D88" s="1" t="s">
        <v>287</v>
      </c>
      <c r="E88" s="1" t="str">
        <f>'Census 2011_17'!B$111</f>
        <v>Low Income</v>
      </c>
      <c r="F88" t="s">
        <v>41</v>
      </c>
      <c r="G88" s="478"/>
      <c r="H88" s="115">
        <v>0</v>
      </c>
      <c r="I88" s="431"/>
      <c r="J88" s="431"/>
      <c r="K88" s="431"/>
      <c r="L88" s="115"/>
    </row>
    <row r="89" spans="1:33" hidden="1" outlineLevel="1">
      <c r="A89" s="70" t="str">
        <f t="shared" si="19"/>
        <v/>
      </c>
      <c r="E89" s="5"/>
      <c r="F89" s="5"/>
      <c r="G89" s="479" t="s">
        <v>57</v>
      </c>
      <c r="H89" s="271"/>
      <c r="I89" s="430"/>
      <c r="J89" s="430"/>
      <c r="K89" s="430"/>
      <c r="L89" s="271"/>
    </row>
    <row r="90" spans="1:33" hidden="1">
      <c r="A90" s="70" t="str">
        <f t="shared" si="19"/>
        <v>*</v>
      </c>
      <c r="B90" s="69" t="s">
        <v>1043</v>
      </c>
      <c r="C90" s="69"/>
      <c r="D90" s="69"/>
      <c r="E90" s="69"/>
      <c r="F90" s="69"/>
      <c r="G90" s="479" t="s">
        <v>57</v>
      </c>
      <c r="H90" s="271"/>
      <c r="I90" s="430"/>
      <c r="J90" s="430"/>
      <c r="K90" s="430"/>
      <c r="L90" s="271"/>
    </row>
    <row r="91" spans="1:33" outlineLevel="1">
      <c r="A91" s="70" t="str">
        <f t="shared" si="19"/>
        <v/>
      </c>
      <c r="B91" s="1" t="s">
        <v>42</v>
      </c>
      <c r="C91" s="1" t="s">
        <v>229</v>
      </c>
      <c r="D91" s="1" t="s">
        <v>248</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hidden="1" outlineLevel="1">
      <c r="A92" s="70"/>
      <c r="B92" s="1" t="s">
        <v>17</v>
      </c>
      <c r="C92" s="1" t="s">
        <v>231</v>
      </c>
      <c r="D92" s="1" t="s">
        <v>271</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hidden="1" outlineLevel="1">
      <c r="A93" s="70" t="str">
        <f t="shared" si="19"/>
        <v/>
      </c>
      <c r="E93" s="5"/>
      <c r="F93" s="5"/>
      <c r="G93" s="479" t="s">
        <v>57</v>
      </c>
      <c r="H93" s="271">
        <f>H91</f>
        <v>4869498.7466859436</v>
      </c>
      <c r="I93" s="430"/>
      <c r="J93" s="430"/>
      <c r="K93" s="430"/>
      <c r="L93" s="271"/>
    </row>
    <row r="94" spans="1:33" hidden="1">
      <c r="A94" s="70" t="str">
        <f t="shared" si="19"/>
        <v>*</v>
      </c>
      <c r="B94" s="69" t="s">
        <v>1042</v>
      </c>
      <c r="C94" s="69"/>
      <c r="D94" s="69"/>
      <c r="E94" s="1"/>
      <c r="F94" s="69"/>
      <c r="G94" s="478" t="s">
        <v>57</v>
      </c>
      <c r="H94" s="115"/>
      <c r="I94" s="431"/>
      <c r="J94" s="431"/>
      <c r="K94" s="431"/>
      <c r="L94" s="115"/>
    </row>
    <row r="95" spans="1:33" outlineLevel="1">
      <c r="A95" s="70" t="str">
        <f t="shared" si="19"/>
        <v/>
      </c>
      <c r="B95" t="s">
        <v>42</v>
      </c>
      <c r="C95" s="1" t="s">
        <v>229</v>
      </c>
      <c r="D95" s="1" t="s">
        <v>249</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hidden="1" outlineLevel="1">
      <c r="A96" s="70" t="str">
        <f t="shared" si="19"/>
        <v/>
      </c>
      <c r="B96" t="s">
        <v>17</v>
      </c>
      <c r="C96" s="1" t="s">
        <v>231</v>
      </c>
      <c r="D96" s="1" t="s">
        <v>249</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hidden="1" outlineLevel="1">
      <c r="A97" s="70" t="str">
        <f t="shared" si="19"/>
        <v/>
      </c>
      <c r="B97" t="s">
        <v>43</v>
      </c>
      <c r="C97" s="1" t="s">
        <v>230</v>
      </c>
      <c r="D97" s="1" t="s">
        <v>249</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hidden="1" outlineLevel="1">
      <c r="A98" s="70" t="str">
        <f t="shared" si="19"/>
        <v/>
      </c>
      <c r="B98" s="1" t="s">
        <v>7</v>
      </c>
      <c r="C98" s="1" t="s">
        <v>232</v>
      </c>
      <c r="D98" s="1" t="s">
        <v>249</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hidden="1" outlineLevel="1">
      <c r="A99" s="70" t="str">
        <f t="shared" si="19"/>
        <v/>
      </c>
      <c r="B99" s="1" t="s">
        <v>9</v>
      </c>
      <c r="C99" s="1" t="s">
        <v>233</v>
      </c>
      <c r="D99" s="1" t="s">
        <v>249</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hidden="1" outlineLevel="1">
      <c r="A100" s="70" t="str">
        <f t="shared" si="19"/>
        <v/>
      </c>
      <c r="B100" t="s">
        <v>159</v>
      </c>
      <c r="C100" s="1" t="s">
        <v>161</v>
      </c>
      <c r="D100" s="1" t="s">
        <v>249</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hidden="1" outlineLevel="1">
      <c r="A101" s="70" t="str">
        <f t="shared" si="19"/>
        <v/>
      </c>
      <c r="E101" s="5"/>
      <c r="F101" s="5"/>
      <c r="G101" s="479" t="s">
        <v>57</v>
      </c>
      <c r="H101" s="271">
        <f>SUM(H95:H100)</f>
        <v>6228171.297827689</v>
      </c>
      <c r="I101" s="430"/>
      <c r="J101" s="430"/>
      <c r="K101" s="430"/>
      <c r="L101" s="480"/>
    </row>
    <row r="102" spans="1:23" hidden="1">
      <c r="A102" s="70" t="str">
        <f t="shared" si="19"/>
        <v>*</v>
      </c>
      <c r="B102" s="69" t="s">
        <v>1041</v>
      </c>
      <c r="C102" s="69"/>
      <c r="D102" s="69"/>
      <c r="G102" s="478" t="s">
        <v>57</v>
      </c>
      <c r="H102" s="115"/>
      <c r="I102" s="431"/>
      <c r="J102" s="431"/>
      <c r="K102" s="431"/>
      <c r="L102" s="115"/>
    </row>
    <row r="103" spans="1:23" outlineLevel="1">
      <c r="A103" s="70" t="str">
        <f t="shared" si="19"/>
        <v/>
      </c>
      <c r="B103" s="1" t="s">
        <v>42</v>
      </c>
      <c r="C103" s="1" t="s">
        <v>229</v>
      </c>
      <c r="D103" s="1" t="s">
        <v>250</v>
      </c>
      <c r="E103" s="1" t="str">
        <f>'Census 2011_17'!B$121</f>
        <v>Middle Income</v>
      </c>
      <c r="F103" s="1" t="str">
        <f>'Census 2011_17'!A$142</f>
        <v>Space heating</v>
      </c>
      <c r="G103" s="478">
        <v>2.0735999999999999</v>
      </c>
      <c r="H103" s="115">
        <f>H91</f>
        <v>4869498.7466859436</v>
      </c>
      <c r="I103" s="431">
        <f t="shared" ref="I103:I108" si="20">IFERROR(IF(B103="paraffin",L103*G$48,IF(B103="electricity",L103*F$48,IF(B103="coal",L103*J$48,IF(B103="Gas",L103*H$48,IF(B103="wood",L103*I$48,L103))))),"")</f>
        <v>1.9328157938120758</v>
      </c>
      <c r="J103" s="431"/>
      <c r="K103" s="431">
        <f>T$23/$V$5*10^6</f>
        <v>0.39692294717757159</v>
      </c>
      <c r="L103" s="115">
        <f>IFERROR(K103*H103/10^6,0)</f>
        <v>1.9328157938120758</v>
      </c>
    </row>
    <row r="104" spans="1:23" hidden="1" outlineLevel="1">
      <c r="A104" s="70" t="str">
        <f t="shared" si="19"/>
        <v/>
      </c>
      <c r="B104" s="1" t="s">
        <v>17</v>
      </c>
      <c r="C104" s="1" t="s">
        <v>231</v>
      </c>
      <c r="D104" s="1" t="s">
        <v>250</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20"/>
        <v>0.74689579765915792</v>
      </c>
      <c r="J104" s="431"/>
      <c r="K104" s="431"/>
      <c r="L104" s="115">
        <f>IFERROR(G104*H104/10^6,0)</f>
        <v>1.6516915135539145</v>
      </c>
    </row>
    <row r="105" spans="1:23" hidden="1" outlineLevel="1">
      <c r="A105" s="70" t="str">
        <f t="shared" si="19"/>
        <v/>
      </c>
      <c r="B105" s="1" t="s">
        <v>43</v>
      </c>
      <c r="C105" s="1" t="s">
        <v>230</v>
      </c>
      <c r="D105" s="1" t="s">
        <v>250</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20"/>
        <v>0.72640689006309955</v>
      </c>
      <c r="J105" s="431"/>
      <c r="K105" s="431">
        <f>G103*4</f>
        <v>8.2943999999999996</v>
      </c>
      <c r="L105" s="115">
        <f>IFERROR(K105*H105/10^6,0)</f>
        <v>0.38306553566719859</v>
      </c>
    </row>
    <row r="106" spans="1:23" hidden="1" outlineLevel="1">
      <c r="A106" s="70" t="str">
        <f t="shared" si="19"/>
        <v/>
      </c>
      <c r="B106" s="1" t="s">
        <v>7</v>
      </c>
      <c r="C106" s="1" t="s">
        <v>232</v>
      </c>
      <c r="D106" s="1" t="s">
        <v>250</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20"/>
        <v>5.1512463307387257</v>
      </c>
      <c r="J106" s="431"/>
      <c r="K106" s="431"/>
      <c r="L106" s="115">
        <f>IFERROR(G106*H106/10^6,0)</f>
        <v>8.3727685769779523</v>
      </c>
    </row>
    <row r="107" spans="1:23" hidden="1" outlineLevel="1">
      <c r="A107" s="70" t="str">
        <f t="shared" si="19"/>
        <v/>
      </c>
      <c r="B107" t="s">
        <v>9</v>
      </c>
      <c r="C107" s="1" t="s">
        <v>233</v>
      </c>
      <c r="D107" s="1" t="s">
        <v>250</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20"/>
        <v>5.1822659916246563</v>
      </c>
      <c r="J107" s="431"/>
      <c r="K107" s="431"/>
      <c r="L107" s="115">
        <f>IFERROR(G107*H107/10^6,0)</f>
        <v>2.2147316401542203</v>
      </c>
    </row>
    <row r="108" spans="1:23" hidden="1" outlineLevel="1">
      <c r="A108" s="70" t="str">
        <f t="shared" si="19"/>
        <v/>
      </c>
      <c r="B108" s="1" t="s">
        <v>159</v>
      </c>
      <c r="C108" s="1" t="s">
        <v>161</v>
      </c>
      <c r="D108" s="1" t="s">
        <v>250</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20"/>
        <v>0</v>
      </c>
      <c r="J108" s="431"/>
      <c r="K108" s="431"/>
      <c r="L108" s="115">
        <f>IFERROR(G108*H108/10^6,0)</f>
        <v>0</v>
      </c>
    </row>
    <row r="109" spans="1:23" hidden="1" outlineLevel="1">
      <c r="A109" s="70" t="str">
        <f t="shared" si="19"/>
        <v/>
      </c>
      <c r="E109" s="5"/>
      <c r="F109" s="5"/>
      <c r="G109" s="478" t="s">
        <v>57</v>
      </c>
      <c r="H109" s="271">
        <f>SUM(H103:H108)</f>
        <v>5993341.1411271477</v>
      </c>
      <c r="I109" s="430"/>
      <c r="J109" s="430"/>
      <c r="K109" s="430"/>
      <c r="L109" s="271"/>
    </row>
    <row r="110" spans="1:23" hidden="1">
      <c r="A110" s="70" t="str">
        <f t="shared" si="19"/>
        <v>*</v>
      </c>
      <c r="B110" s="69" t="s">
        <v>1040</v>
      </c>
      <c r="C110" s="69"/>
      <c r="D110" s="69"/>
      <c r="G110" s="478" t="s">
        <v>57</v>
      </c>
      <c r="H110" s="115"/>
      <c r="I110" s="431"/>
      <c r="J110" s="431"/>
      <c r="K110" s="431"/>
      <c r="L110" s="115"/>
    </row>
    <row r="111" spans="1:23" outlineLevel="1">
      <c r="A111" s="70" t="str">
        <f t="shared" si="19"/>
        <v/>
      </c>
      <c r="B111" s="1" t="s">
        <v>42</v>
      </c>
      <c r="C111" s="1" t="s">
        <v>229</v>
      </c>
      <c r="D111" t="s">
        <v>558</v>
      </c>
      <c r="E111" s="1" t="str">
        <f>'Census 2011_17'!B$121</f>
        <v>Middle Income</v>
      </c>
      <c r="F111" t="s">
        <v>14</v>
      </c>
      <c r="G111" s="478">
        <v>7.4070218873126263</v>
      </c>
      <c r="H111" s="115">
        <f>H103</f>
        <v>4869498.7466859436</v>
      </c>
      <c r="I111" s="431">
        <f t="shared" ref="I111:I116" si="21">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outlineLevel="1">
      <c r="A112" s="70"/>
      <c r="B112" s="1" t="s">
        <v>42</v>
      </c>
      <c r="C112" s="1" t="s">
        <v>229</v>
      </c>
      <c r="D112" t="s">
        <v>251</v>
      </c>
      <c r="E112" s="1" t="str">
        <f>'Census 2011_17'!B$121</f>
        <v>Middle Income</v>
      </c>
      <c r="F112" t="s">
        <v>14</v>
      </c>
      <c r="G112" s="478">
        <v>1.1386119079905366</v>
      </c>
      <c r="H112" s="115">
        <v>0</v>
      </c>
      <c r="I112" s="431">
        <f t="shared" si="21"/>
        <v>0</v>
      </c>
      <c r="J112" s="431"/>
      <c r="K112" s="431">
        <v>0.34201731253380868</v>
      </c>
      <c r="L112" s="115">
        <f>IFERROR(K112*H112/10^6,0)</f>
        <v>0</v>
      </c>
      <c r="O112">
        <v>3548888.3587567653</v>
      </c>
      <c r="P112" t="s">
        <v>1056</v>
      </c>
    </row>
    <row r="113" spans="1:40" hidden="1" outlineLevel="1">
      <c r="A113" s="70" t="str">
        <f t="shared" si="19"/>
        <v/>
      </c>
      <c r="B113" s="1" t="s">
        <v>17</v>
      </c>
      <c r="C113" s="1" t="s">
        <v>231</v>
      </c>
      <c r="D113" s="1" t="s">
        <v>251</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21"/>
        <v>2.0981351412120754</v>
      </c>
      <c r="J113" s="431"/>
      <c r="K113" s="431"/>
      <c r="L113" s="115">
        <f>IFERROR(G113*H113/10^6,0)</f>
        <v>4.6398333179679767</v>
      </c>
    </row>
    <row r="114" spans="1:40" hidden="1" outlineLevel="1">
      <c r="A114" s="70" t="str">
        <f t="shared" si="19"/>
        <v/>
      </c>
      <c r="B114" s="1" t="s">
        <v>43</v>
      </c>
      <c r="C114" s="1" t="s">
        <v>230</v>
      </c>
      <c r="D114" s="1" t="s">
        <v>251</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21"/>
        <v>2.2949532423457586</v>
      </c>
      <c r="J114" s="431"/>
      <c r="K114" s="431">
        <f>G111</f>
        <v>7.4070218873126263</v>
      </c>
      <c r="L114" s="115">
        <f>IFERROR(K114*H114/10^6,0)</f>
        <v>1.2102273603627127</v>
      </c>
    </row>
    <row r="115" spans="1:40" hidden="1" outlineLevel="1">
      <c r="A115" s="70" t="str">
        <f t="shared" si="19"/>
        <v/>
      </c>
      <c r="B115" s="1" t="s">
        <v>7</v>
      </c>
      <c r="C115" s="1" t="s">
        <v>232</v>
      </c>
      <c r="D115" s="1" t="s">
        <v>251</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21"/>
        <v>6.1152168202815496</v>
      </c>
      <c r="J115" s="431"/>
      <c r="K115" s="431"/>
      <c r="L115" s="115">
        <f>IFERROR(G115*H115/10^6,0)</f>
        <v>9.9395936336280304</v>
      </c>
    </row>
    <row r="116" spans="1:40" hidden="1" outlineLevel="1">
      <c r="A116" s="70" t="str">
        <f t="shared" si="19"/>
        <v/>
      </c>
      <c r="B116" t="s">
        <v>9</v>
      </c>
      <c r="C116" s="1" t="s">
        <v>233</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21"/>
        <v>0.97280809955558833</v>
      </c>
      <c r="J116" s="431"/>
      <c r="K116" s="431"/>
      <c r="L116" s="115">
        <f>IFERROR(G116*H116/10^6,0)</f>
        <v>0.41574648645323842</v>
      </c>
      <c r="AH116" s="3"/>
      <c r="AI116" s="3"/>
      <c r="AJ116" s="3"/>
      <c r="AK116" s="3"/>
      <c r="AL116" s="3"/>
      <c r="AM116" s="3"/>
      <c r="AN116" s="3"/>
    </row>
    <row r="117" spans="1:40" hidden="1" outlineLevel="1">
      <c r="A117" s="70" t="str">
        <f t="shared" si="19"/>
        <v/>
      </c>
      <c r="B117" s="1" t="s">
        <v>159</v>
      </c>
      <c r="C117" s="1" t="s">
        <v>161</v>
      </c>
      <c r="D117" s="1" t="s">
        <v>251</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hidden="1" outlineLevel="1">
      <c r="A118" s="70" t="str">
        <f t="shared" si="19"/>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hidden="1">
      <c r="A119" s="70" t="str">
        <f t="shared" si="19"/>
        <v>*</v>
      </c>
      <c r="B119" s="69" t="s">
        <v>1039</v>
      </c>
      <c r="C119" s="69"/>
      <c r="D119" s="69"/>
      <c r="G119" s="478" t="s">
        <v>57</v>
      </c>
      <c r="H119" s="115"/>
      <c r="I119" s="431"/>
      <c r="J119" s="431"/>
      <c r="K119" s="431"/>
      <c r="L119" s="115"/>
      <c r="AH119" s="3"/>
      <c r="AI119" s="3"/>
      <c r="AJ119" s="3"/>
      <c r="AK119" s="3"/>
      <c r="AL119" s="3"/>
      <c r="AM119" s="3"/>
      <c r="AN119" s="3"/>
    </row>
    <row r="120" spans="1:40" outlineLevel="2">
      <c r="A120" s="70" t="str">
        <f t="shared" si="19"/>
        <v/>
      </c>
      <c r="B120" s="1" t="s">
        <v>42</v>
      </c>
      <c r="C120" s="1" t="s">
        <v>229</v>
      </c>
      <c r="D120" s="1" t="s">
        <v>252</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hidden="1" outlineLevel="2">
      <c r="A121" s="70" t="str">
        <f t="shared" si="19"/>
        <v/>
      </c>
      <c r="C121" s="1"/>
      <c r="D121" s="1"/>
      <c r="E121" s="1"/>
      <c r="F121" s="1"/>
      <c r="G121" s="478" t="s">
        <v>57</v>
      </c>
      <c r="H121" s="115"/>
      <c r="I121" s="431"/>
      <c r="J121" s="431"/>
      <c r="K121" s="431"/>
      <c r="L121" s="115"/>
      <c r="AH121" s="3"/>
      <c r="AI121" s="3"/>
      <c r="AJ121" s="3"/>
      <c r="AK121" s="3"/>
      <c r="AL121" s="3"/>
      <c r="AM121" s="3"/>
      <c r="AN121" s="3"/>
    </row>
    <row r="122" spans="1:40" hidden="1">
      <c r="A122" s="70" t="str">
        <f t="shared" ref="A122:A153" si="22">IF(LEFT(B122,1)="\","*","")</f>
        <v>*</v>
      </c>
      <c r="B122" s="69" t="s">
        <v>1038</v>
      </c>
      <c r="C122" s="69"/>
      <c r="D122" s="69"/>
      <c r="E122" s="1"/>
      <c r="F122" s="69"/>
      <c r="G122" s="478" t="s">
        <v>57</v>
      </c>
      <c r="H122" s="115"/>
      <c r="I122" s="431"/>
      <c r="J122" s="431"/>
      <c r="K122" s="431"/>
      <c r="L122" s="115"/>
      <c r="AH122" s="3"/>
      <c r="AI122" s="3"/>
      <c r="AJ122" s="3"/>
      <c r="AK122" s="3"/>
      <c r="AL122" s="3"/>
      <c r="AM122" s="3"/>
      <c r="AN122" s="3"/>
    </row>
    <row r="123" spans="1:40" outlineLevel="2">
      <c r="A123" s="70" t="str">
        <f t="shared" si="22"/>
        <v/>
      </c>
      <c r="B123" s="1" t="s">
        <v>42</v>
      </c>
      <c r="C123" s="1" t="s">
        <v>229</v>
      </c>
      <c r="D123" s="1" t="s">
        <v>253</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hidden="1" outlineLevel="2">
      <c r="A124" s="70" t="str">
        <f t="shared" si="22"/>
        <v/>
      </c>
      <c r="B124" s="1" t="s">
        <v>17</v>
      </c>
      <c r="C124" s="1" t="s">
        <v>231</v>
      </c>
      <c r="D124" s="1" t="s">
        <v>288</v>
      </c>
      <c r="E124" s="1" t="str">
        <f>'Census 2011_17'!B$121</f>
        <v>Middle Income</v>
      </c>
      <c r="F124" t="s">
        <v>41</v>
      </c>
      <c r="G124" s="478" t="s">
        <v>57</v>
      </c>
      <c r="H124" s="115">
        <v>0</v>
      </c>
      <c r="I124" s="431"/>
      <c r="J124" s="431"/>
      <c r="K124" s="431"/>
      <c r="L124" s="115"/>
      <c r="AH124" s="3"/>
      <c r="AI124" s="3"/>
      <c r="AJ124" s="3"/>
      <c r="AK124" s="3"/>
      <c r="AL124" s="3"/>
      <c r="AM124" s="3"/>
      <c r="AN124" s="3"/>
    </row>
    <row r="125" spans="1:40" hidden="1" outlineLevel="2">
      <c r="A125" s="70" t="str">
        <f t="shared" si="22"/>
        <v/>
      </c>
      <c r="C125" s="1"/>
      <c r="D125" s="1"/>
      <c r="E125" s="5"/>
      <c r="F125" s="5"/>
      <c r="G125" s="478" t="s">
        <v>57</v>
      </c>
      <c r="H125" s="271"/>
      <c r="I125" s="430"/>
      <c r="J125" s="430"/>
      <c r="K125" s="430"/>
      <c r="L125" s="271"/>
    </row>
    <row r="126" spans="1:40" hidden="1">
      <c r="A126" s="70" t="str">
        <f t="shared" si="22"/>
        <v>*</v>
      </c>
      <c r="B126" s="257" t="s">
        <v>1037</v>
      </c>
      <c r="C126" s="69"/>
      <c r="D126" s="69"/>
      <c r="G126" s="478" t="s">
        <v>57</v>
      </c>
      <c r="H126" s="115"/>
      <c r="I126" s="431"/>
      <c r="J126" s="431"/>
      <c r="K126" s="431"/>
      <c r="L126" s="115"/>
    </row>
    <row r="127" spans="1:40" outlineLevel="1">
      <c r="A127" s="70" t="str">
        <f t="shared" si="22"/>
        <v/>
      </c>
      <c r="B127" s="258" t="s">
        <v>42</v>
      </c>
      <c r="C127" s="1" t="s">
        <v>229</v>
      </c>
      <c r="D127" s="1" t="s">
        <v>254</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hidden="1" outlineLevel="1">
      <c r="A128" s="70" t="str">
        <f t="shared" si="22"/>
        <v/>
      </c>
      <c r="B128" s="259"/>
      <c r="E128" s="5"/>
      <c r="F128" s="5"/>
      <c r="G128" s="479" t="s">
        <v>57</v>
      </c>
      <c r="H128" s="271">
        <f>H127</f>
        <v>4176066.0172229088</v>
      </c>
      <c r="I128" s="430"/>
      <c r="J128" s="430"/>
      <c r="K128" s="430"/>
      <c r="L128" s="271"/>
    </row>
    <row r="129" spans="1:12" hidden="1">
      <c r="A129" s="70" t="str">
        <f t="shared" si="22"/>
        <v>*</v>
      </c>
      <c r="B129" s="257" t="s">
        <v>1036</v>
      </c>
      <c r="C129" s="69"/>
      <c r="D129" s="69"/>
      <c r="E129" s="1"/>
      <c r="F129" s="69"/>
      <c r="G129" s="478" t="s">
        <v>57</v>
      </c>
      <c r="H129" s="115"/>
      <c r="I129" s="431"/>
      <c r="J129" s="431"/>
      <c r="K129" s="431"/>
      <c r="L129" s="115"/>
    </row>
    <row r="130" spans="1:12" outlineLevel="1">
      <c r="A130" s="70" t="str">
        <f t="shared" si="22"/>
        <v/>
      </c>
      <c r="B130" s="259" t="s">
        <v>42</v>
      </c>
      <c r="C130" s="1" t="s">
        <v>229</v>
      </c>
      <c r="D130" s="1" t="s">
        <v>255</v>
      </c>
      <c r="E130" s="1" t="str">
        <f>'Census 2011_17'!B$131</f>
        <v>High Income</v>
      </c>
      <c r="F130" s="1" t="str">
        <f>'Census 2011_17'!A$111</f>
        <v>Cooking</v>
      </c>
      <c r="G130" s="478"/>
      <c r="H130" s="115">
        <f>H127</f>
        <v>4176066.0172229088</v>
      </c>
      <c r="I130" s="431">
        <f t="shared" ref="I130:I135" si="23">IFERROR(IF(B130="paraffin",L130*G$48,IF(B130="electricity",L130*F$48,IF(B130="coal",L130*J$48,IF(B130="Gas",L130*H$48,IF(B130="wood",L130*I$48,L130))))),"")</f>
        <v>9.0087971892288934</v>
      </c>
      <c r="J130" s="431"/>
      <c r="K130" s="431">
        <f>T$28/$V$6*10^6</f>
        <v>2.1572449171241215</v>
      </c>
      <c r="L130" s="115">
        <f>IFERROR(K130*H130/10^6,0)</f>
        <v>9.0087971892288934</v>
      </c>
    </row>
    <row r="131" spans="1:12" hidden="1" outlineLevel="1">
      <c r="A131" s="70" t="str">
        <f t="shared" si="22"/>
        <v/>
      </c>
      <c r="B131" s="259" t="s">
        <v>17</v>
      </c>
      <c r="C131" s="1" t="s">
        <v>231</v>
      </c>
      <c r="D131" s="1" t="s">
        <v>255</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23"/>
        <v>9.2563833924448141E-2</v>
      </c>
      <c r="J131" s="431"/>
      <c r="K131" s="431"/>
      <c r="L131" s="115">
        <f>IFERROR(G131*H131/10^6,0)</f>
        <v>0.204696424098498</v>
      </c>
    </row>
    <row r="132" spans="1:12" hidden="1" outlineLevel="1">
      <c r="A132" s="70" t="str">
        <f t="shared" si="22"/>
        <v/>
      </c>
      <c r="B132" s="258" t="s">
        <v>43</v>
      </c>
      <c r="C132" s="1" t="s">
        <v>230</v>
      </c>
      <c r="D132" s="1" t="s">
        <v>255</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23"/>
        <v>2.3995866483591111</v>
      </c>
      <c r="J132" s="431"/>
      <c r="K132" s="431">
        <f>G131</f>
        <v>3.8435040000000011</v>
      </c>
      <c r="L132" s="115">
        <f>IFERROR(K132*H132/10^6,0)</f>
        <v>1.2654050469616196</v>
      </c>
    </row>
    <row r="133" spans="1:12" hidden="1" outlineLevel="1">
      <c r="A133" s="70" t="str">
        <f t="shared" si="22"/>
        <v/>
      </c>
      <c r="B133" s="259" t="s">
        <v>7</v>
      </c>
      <c r="C133" s="1" t="s">
        <v>232</v>
      </c>
      <c r="D133" s="1" t="s">
        <v>255</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23"/>
        <v>0.99354566271501477</v>
      </c>
      <c r="J133" s="431"/>
      <c r="K133" s="431"/>
      <c r="L133" s="115">
        <f>IFERROR(G133*H133/10^6,0)</f>
        <v>1.6148961572528888</v>
      </c>
    </row>
    <row r="134" spans="1:12" hidden="1" outlineLevel="1">
      <c r="A134" s="70" t="str">
        <f t="shared" si="22"/>
        <v/>
      </c>
      <c r="B134" s="259" t="s">
        <v>9</v>
      </c>
      <c r="C134" s="1" t="s">
        <v>233</v>
      </c>
      <c r="D134" s="1" t="s">
        <v>255</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23"/>
        <v>0</v>
      </c>
      <c r="J134" s="431"/>
      <c r="K134" s="431"/>
      <c r="L134" s="115">
        <f>IFERROR(G134*H134/10^6,0)</f>
        <v>0</v>
      </c>
    </row>
    <row r="135" spans="1:12" hidden="1" outlineLevel="1">
      <c r="A135" s="70" t="str">
        <f t="shared" si="22"/>
        <v/>
      </c>
      <c r="B135" s="259" t="s">
        <v>159</v>
      </c>
      <c r="C135" s="1" t="s">
        <v>161</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23"/>
        <v>0</v>
      </c>
      <c r="J135" s="431"/>
      <c r="K135" s="431"/>
      <c r="L135" s="115">
        <f>IFERROR(G135*H135/10^6,0)</f>
        <v>0</v>
      </c>
    </row>
    <row r="136" spans="1:12" hidden="1" outlineLevel="1">
      <c r="A136" s="70" t="str">
        <f t="shared" si="22"/>
        <v/>
      </c>
      <c r="B136" s="259"/>
      <c r="E136" s="5"/>
      <c r="F136" s="5"/>
      <c r="G136" s="479" t="s">
        <v>57</v>
      </c>
      <c r="H136" s="271">
        <f>SUM(H130:H135)</f>
        <v>4640600.5182322962</v>
      </c>
      <c r="I136" s="430"/>
      <c r="J136" s="430"/>
      <c r="K136" s="430"/>
      <c r="L136" s="271"/>
    </row>
    <row r="137" spans="1:12" hidden="1">
      <c r="A137" s="70" t="str">
        <f t="shared" si="22"/>
        <v>*</v>
      </c>
      <c r="B137" s="257" t="s">
        <v>1035</v>
      </c>
      <c r="C137" s="69"/>
      <c r="D137" s="69"/>
      <c r="G137" s="478" t="s">
        <v>57</v>
      </c>
      <c r="H137" s="115"/>
      <c r="I137" s="431"/>
      <c r="J137" s="431"/>
      <c r="K137" s="431"/>
      <c r="L137" s="115"/>
    </row>
    <row r="138" spans="1:12" outlineLevel="1">
      <c r="A138" s="70" t="str">
        <f t="shared" si="22"/>
        <v/>
      </c>
      <c r="B138" s="258" t="s">
        <v>42</v>
      </c>
      <c r="C138" s="1" t="s">
        <v>229</v>
      </c>
      <c r="D138" s="1" t="s">
        <v>239</v>
      </c>
      <c r="E138" s="1" t="str">
        <f>'Census 2011_17'!B$131</f>
        <v>High Income</v>
      </c>
      <c r="F138" s="1" t="str">
        <f>'Census 2011_17'!A$142</f>
        <v>Space heating</v>
      </c>
      <c r="G138" s="478">
        <v>2.7648000000000001</v>
      </c>
      <c r="H138" s="115">
        <f>H130</f>
        <v>4176066.0172229088</v>
      </c>
      <c r="I138" s="431">
        <f t="shared" ref="I138:I143" si="24">IFERROR(IF(B138="paraffin",L138*G$48,IF(B138="electricity",L138*F$48,IF(B138="coal",L138*J$48,IF(B138="Gas",L138*H$48,IF(B138="wood",L138*I$48,L138))))),"")</f>
        <v>2.6079095350372934</v>
      </c>
      <c r="J138" s="431"/>
      <c r="K138" s="431">
        <f>T$29/$V$6*10^6</f>
        <v>0.62448953734968926</v>
      </c>
      <c r="L138" s="115">
        <f>IFERROR(K138*H138/10^6,0)</f>
        <v>2.6079095350372934</v>
      </c>
    </row>
    <row r="139" spans="1:12" hidden="1" outlineLevel="1">
      <c r="A139" s="70" t="str">
        <f t="shared" si="22"/>
        <v/>
      </c>
      <c r="B139" s="258" t="s">
        <v>17</v>
      </c>
      <c r="C139" s="1" t="s">
        <v>231</v>
      </c>
      <c r="D139" s="1" t="s">
        <v>239</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24"/>
        <v>2.5486082730346662E-2</v>
      </c>
      <c r="J139" s="431"/>
      <c r="K139" s="431"/>
      <c r="L139" s="115">
        <f>IFERROR(G139*H139/10^6,0)</f>
        <v>5.6360133088680819E-2</v>
      </c>
    </row>
    <row r="140" spans="1:12" hidden="1" outlineLevel="1">
      <c r="A140" s="70" t="str">
        <f t="shared" si="22"/>
        <v/>
      </c>
      <c r="B140" s="258" t="s">
        <v>43</v>
      </c>
      <c r="C140" s="1" t="s">
        <v>230</v>
      </c>
      <c r="D140" s="1" t="s">
        <v>239</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24"/>
        <v>2.206870457913674</v>
      </c>
      <c r="J140" s="431"/>
      <c r="K140" s="431">
        <f>G138*4</f>
        <v>11.059200000000001</v>
      </c>
      <c r="L140" s="115">
        <f>IFERROR(K140*H140/10^6,0)</f>
        <v>1.1637775269936985</v>
      </c>
    </row>
    <row r="141" spans="1:12" hidden="1" outlineLevel="1">
      <c r="A141" s="70" t="str">
        <f t="shared" si="22"/>
        <v/>
      </c>
      <c r="B141" s="258" t="s">
        <v>7</v>
      </c>
      <c r="C141" s="1" t="s">
        <v>232</v>
      </c>
      <c r="D141" s="1" t="s">
        <v>239</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24"/>
        <v>0.24522190197486701</v>
      </c>
      <c r="J141" s="431"/>
      <c r="K141" s="431"/>
      <c r="L141" s="115">
        <f>IFERROR(G141*H141/10^6,0)</f>
        <v>0.39858048002676133</v>
      </c>
    </row>
    <row r="142" spans="1:12" hidden="1" outlineLevel="1">
      <c r="A142" s="70" t="str">
        <f t="shared" si="22"/>
        <v/>
      </c>
      <c r="B142" s="259" t="s">
        <v>9</v>
      </c>
      <c r="C142" s="1" t="s">
        <v>233</v>
      </c>
      <c r="D142" s="1" t="s">
        <v>239</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24"/>
        <v>1.2379218124175966</v>
      </c>
      <c r="J142" s="431"/>
      <c r="K142" s="431"/>
      <c r="L142" s="115">
        <f>IFERROR(G142*H142/10^6,0)</f>
        <v>0.52904744959623129</v>
      </c>
    </row>
    <row r="143" spans="1:12" hidden="1" outlineLevel="1">
      <c r="A143" s="70" t="str">
        <f t="shared" si="22"/>
        <v/>
      </c>
      <c r="B143" s="258" t="s">
        <v>159</v>
      </c>
      <c r="C143" s="1" t="s">
        <v>161</v>
      </c>
      <c r="D143" s="1" t="s">
        <v>239</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24"/>
        <v>0</v>
      </c>
      <c r="J143" s="431"/>
      <c r="K143" s="431"/>
      <c r="L143" s="115">
        <f>IFERROR(G143*H143/10^6,0)</f>
        <v>0</v>
      </c>
    </row>
    <row r="144" spans="1:12" hidden="1" outlineLevel="1">
      <c r="A144" s="70" t="str">
        <f t="shared" si="22"/>
        <v/>
      </c>
      <c r="B144" s="259"/>
      <c r="E144" s="5"/>
      <c r="F144" s="5"/>
      <c r="G144" s="479" t="s">
        <v>57</v>
      </c>
      <c r="H144" s="271">
        <f>SUM(H138:H143)</f>
        <v>4496971.3577755773</v>
      </c>
      <c r="I144" s="430"/>
      <c r="J144" s="430"/>
      <c r="K144" s="430"/>
      <c r="L144" s="271"/>
    </row>
    <row r="145" spans="1:30" hidden="1">
      <c r="A145" s="70" t="str">
        <f t="shared" si="22"/>
        <v>*</v>
      </c>
      <c r="B145" s="257" t="s">
        <v>1034</v>
      </c>
      <c r="C145" s="69"/>
      <c r="D145" s="69"/>
      <c r="G145" s="478" t="s">
        <v>57</v>
      </c>
      <c r="H145" s="115"/>
      <c r="I145" s="431"/>
      <c r="J145" s="431"/>
      <c r="K145" s="431"/>
      <c r="L145" s="115"/>
    </row>
    <row r="146" spans="1:30" outlineLevel="2">
      <c r="A146" s="70" t="str">
        <f t="shared" si="22"/>
        <v/>
      </c>
      <c r="B146" s="258" t="s">
        <v>42</v>
      </c>
      <c r="C146" s="1" t="s">
        <v>229</v>
      </c>
      <c r="D146" t="s">
        <v>561</v>
      </c>
      <c r="E146" s="1" t="str">
        <f>'Census 2011_17'!B$131</f>
        <v>High Income</v>
      </c>
      <c r="F146" t="s">
        <v>14</v>
      </c>
      <c r="G146" s="478"/>
      <c r="H146" s="115">
        <f>H138</f>
        <v>4176066.0172229088</v>
      </c>
      <c r="I146" s="431">
        <f t="shared" ref="I146:I151" si="25">IFERROR(IF(B146="paraffin",L146*G$48,IF(B146="electricity",L146*F$48,IF(B146="coal",L146*J$48,IF(B146="Gas",L146*H$48,IF(B146="wood",L146*I$48,L146))))),"")</f>
        <v>44.293428072729746</v>
      </c>
      <c r="J146" s="431"/>
      <c r="K146" s="431">
        <f>T$30/$V$6*10^6</f>
        <v>10.606496135371192</v>
      </c>
      <c r="L146" s="115">
        <f>IFERROR(K146*H146/10^6,0)</f>
        <v>44.293428072729746</v>
      </c>
    </row>
    <row r="147" spans="1:30" hidden="1" outlineLevel="2">
      <c r="A147" s="70" t="str">
        <f t="shared" si="22"/>
        <v/>
      </c>
      <c r="B147" s="258" t="s">
        <v>17</v>
      </c>
      <c r="C147" s="1" t="s">
        <v>231</v>
      </c>
      <c r="D147" s="1" t="s">
        <v>256</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5"/>
        <v>0.73130528784479287</v>
      </c>
      <c r="J147" s="431"/>
      <c r="K147" s="431"/>
      <c r="L147" s="115">
        <f>IFERROR(G147*H147/10^6,0)</f>
        <v>1.6172145318476701</v>
      </c>
    </row>
    <row r="148" spans="1:30" hidden="1" outlineLevel="2">
      <c r="A148" s="70" t="str">
        <f t="shared" si="22"/>
        <v/>
      </c>
      <c r="B148" s="258" t="s">
        <v>43</v>
      </c>
      <c r="C148" s="1" t="s">
        <v>230</v>
      </c>
      <c r="D148" s="1" t="s">
        <v>256</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5"/>
        <v>8.0448373228042644</v>
      </c>
      <c r="J148" s="431"/>
      <c r="K148" s="431">
        <f>G148</f>
        <v>11.15595413150794</v>
      </c>
      <c r="L148" s="115">
        <f>IFERROR(K148*H148/10^6,0)</f>
        <v>4.2423880618034815</v>
      </c>
    </row>
    <row r="149" spans="1:30" hidden="1" outlineLevel="2">
      <c r="A149" s="70" t="str">
        <f t="shared" si="22"/>
        <v/>
      </c>
      <c r="B149" s="258" t="s">
        <v>7</v>
      </c>
      <c r="C149" s="1" t="s">
        <v>232</v>
      </c>
      <c r="D149" s="1" t="s">
        <v>256</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5"/>
        <v>1.1928659498339771</v>
      </c>
      <c r="J149" s="431"/>
      <c r="K149" s="431"/>
      <c r="L149" s="115">
        <f>IFERROR(G149*H149/10^6,0)</f>
        <v>1.9388687513774148</v>
      </c>
    </row>
    <row r="150" spans="1:30" hidden="1" outlineLevel="2">
      <c r="A150" s="70" t="str">
        <f t="shared" si="22"/>
        <v/>
      </c>
      <c r="B150" s="259" t="s">
        <v>9</v>
      </c>
      <c r="C150" s="1" t="s">
        <v>233</v>
      </c>
      <c r="D150" s="1" t="s">
        <v>256</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5"/>
        <v>0.23736838566694082</v>
      </c>
      <c r="J150" s="431"/>
      <c r="K150" s="431"/>
      <c r="L150" s="115">
        <f>IFERROR(G150*H150/10^6,0)</f>
        <v>0.10144351427706097</v>
      </c>
    </row>
    <row r="151" spans="1:30" hidden="1" outlineLevel="2">
      <c r="A151" s="70" t="str">
        <f t="shared" si="22"/>
        <v/>
      </c>
      <c r="B151" s="258" t="s">
        <v>159</v>
      </c>
      <c r="C151" s="1" t="s">
        <v>161</v>
      </c>
      <c r="D151" s="1" t="s">
        <v>256</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5"/>
        <v>0</v>
      </c>
      <c r="J151" s="431"/>
      <c r="K151" s="431"/>
      <c r="L151" s="115">
        <f>IFERROR(G151*H151/10^6,0)</f>
        <v>0</v>
      </c>
    </row>
    <row r="152" spans="1:30" hidden="1" outlineLevel="2">
      <c r="A152" s="70" t="str">
        <f t="shared" si="22"/>
        <v/>
      </c>
      <c r="B152" s="258"/>
      <c r="C152" s="1"/>
      <c r="D152" s="1"/>
      <c r="E152" s="5"/>
      <c r="F152" s="5"/>
      <c r="G152" s="479" t="s">
        <v>57</v>
      </c>
      <c r="H152" s="271">
        <f>SUM(H146:H151)</f>
        <v>4800967.8876212966</v>
      </c>
      <c r="I152" s="430"/>
      <c r="J152" s="430"/>
      <c r="K152" s="430"/>
      <c r="L152" s="271"/>
    </row>
    <row r="153" spans="1:30" hidden="1">
      <c r="A153" s="70" t="str">
        <f t="shared" si="22"/>
        <v>*</v>
      </c>
      <c r="B153" s="257" t="s">
        <v>1033</v>
      </c>
      <c r="C153" s="69"/>
      <c r="D153" s="69"/>
      <c r="G153" s="478" t="s">
        <v>57</v>
      </c>
      <c r="H153" s="115"/>
      <c r="I153" s="431"/>
      <c r="J153" s="431"/>
      <c r="K153" s="431"/>
      <c r="L153" s="115"/>
    </row>
    <row r="154" spans="1:30" outlineLevel="3">
      <c r="A154" s="70" t="str">
        <f t="shared" ref="A154:A159" si="26">IF(LEFT(B154,1)="\","*","")</f>
        <v/>
      </c>
      <c r="B154" s="258" t="s">
        <v>42</v>
      </c>
      <c r="C154" s="1" t="s">
        <v>229</v>
      </c>
      <c r="D154" s="1" t="s">
        <v>257</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hidden="1" outlineLevel="3">
      <c r="A155" s="70" t="str">
        <f t="shared" si="26"/>
        <v/>
      </c>
      <c r="B155" s="259"/>
      <c r="C155" s="1"/>
      <c r="D155" s="1"/>
      <c r="E155" s="1"/>
      <c r="F155" s="1"/>
      <c r="G155" s="478" t="s">
        <v>57</v>
      </c>
      <c r="H155" s="115"/>
      <c r="I155" s="431"/>
      <c r="J155" s="431"/>
      <c r="K155" s="431"/>
      <c r="L155" s="115"/>
    </row>
    <row r="156" spans="1:30" hidden="1">
      <c r="A156" s="70" t="str">
        <f t="shared" si="26"/>
        <v>*</v>
      </c>
      <c r="B156" s="257" t="s">
        <v>1032</v>
      </c>
      <c r="C156" s="69"/>
      <c r="D156" s="69"/>
      <c r="E156" s="1"/>
      <c r="F156" s="69"/>
      <c r="G156" s="478" t="s">
        <v>57</v>
      </c>
      <c r="H156" s="115"/>
      <c r="I156" s="431"/>
      <c r="J156" s="431"/>
      <c r="K156" s="431"/>
      <c r="L156" s="115"/>
    </row>
    <row r="157" spans="1:30" outlineLevel="3">
      <c r="A157" s="70" t="str">
        <f t="shared" si="26"/>
        <v/>
      </c>
      <c r="B157" s="258" t="s">
        <v>42</v>
      </c>
      <c r="C157" s="1" t="s">
        <v>229</v>
      </c>
      <c r="D157" s="1" t="s">
        <v>258</v>
      </c>
      <c r="E157" s="1" t="str">
        <f>'Census 2011_17'!B$131</f>
        <v>High Income</v>
      </c>
      <c r="F157" t="s">
        <v>41</v>
      </c>
      <c r="G157" s="478"/>
      <c r="H157" s="604">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hidden="1" outlineLevel="3">
      <c r="A158" s="70" t="str">
        <f t="shared" si="26"/>
        <v/>
      </c>
      <c r="B158" s="258" t="s">
        <v>17</v>
      </c>
      <c r="C158" s="1" t="s">
        <v>231</v>
      </c>
      <c r="D158" s="1" t="s">
        <v>289</v>
      </c>
      <c r="E158" s="1" t="str">
        <f>'Census 2011_17'!B$131</f>
        <v>High Income</v>
      </c>
      <c r="F158" t="s">
        <v>41</v>
      </c>
      <c r="G158" s="2"/>
      <c r="H158" s="115"/>
      <c r="I158" s="431"/>
      <c r="J158" s="431"/>
      <c r="K158" s="431"/>
      <c r="L158" s="115">
        <f>IFERROR(G158*H158/10^6,0)</f>
        <v>0</v>
      </c>
    </row>
    <row r="159" spans="1:30" hidden="1" outlineLevel="3">
      <c r="A159" s="70" t="str">
        <f t="shared" si="26"/>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70" spans="2:11">
      <c r="E170" t="s">
        <v>49</v>
      </c>
    </row>
    <row r="171" spans="2:11">
      <c r="F171" s="5" t="s">
        <v>42</v>
      </c>
      <c r="G171" s="5" t="s">
        <v>17</v>
      </c>
      <c r="H171" s="5" t="s">
        <v>43</v>
      </c>
      <c r="I171" s="5" t="s">
        <v>7</v>
      </c>
      <c r="J171" s="5" t="s">
        <v>9</v>
      </c>
      <c r="K171" s="5" t="s">
        <v>159</v>
      </c>
    </row>
    <row r="172" spans="2:11">
      <c r="B172" t="s">
        <v>78</v>
      </c>
      <c r="E172" t="s">
        <v>29</v>
      </c>
      <c r="F172" s="3">
        <f>SUMIF($D$15:$D$37,$B172,F$15:F$37)</f>
        <v>34.344416820192926</v>
      </c>
      <c r="G172" s="3">
        <f t="shared" ref="G172:K174" ca="1" si="27">SUMIF($D$15:$D$37,$B172,G$15:G$36)</f>
        <v>5.0246378458959651</v>
      </c>
      <c r="H172" s="3">
        <f t="shared" ca="1" si="27"/>
        <v>1.7204189947617428</v>
      </c>
      <c r="I172" s="3">
        <f t="shared" ca="1" si="27"/>
        <v>53.117810314952692</v>
      </c>
      <c r="J172" s="3">
        <f t="shared" ca="1" si="27"/>
        <v>6.3294044550059487</v>
      </c>
      <c r="K172">
        <f t="shared" ca="1" si="27"/>
        <v>0</v>
      </c>
    </row>
    <row r="173" spans="2:11">
      <c r="B173" t="s">
        <v>435</v>
      </c>
      <c r="E173" t="s">
        <v>30</v>
      </c>
      <c r="F173" s="3">
        <f>SUMIF($D$15:$D$37,$B173,F$15:F$37)</f>
        <v>43.732602736958505</v>
      </c>
      <c r="G173" s="3">
        <f t="shared" ca="1" si="27"/>
        <v>3.7660069496044488</v>
      </c>
      <c r="H173" s="3">
        <f t="shared" ca="1" si="27"/>
        <v>3.5982865761612071</v>
      </c>
      <c r="I173" s="3">
        <f t="shared" ca="1" si="27"/>
        <v>28.217556170523448</v>
      </c>
      <c r="J173" s="3">
        <f t="shared" ca="1" si="27"/>
        <v>7.8123053469095201</v>
      </c>
      <c r="K173">
        <f t="shared" ca="1" si="27"/>
        <v>0</v>
      </c>
    </row>
    <row r="174" spans="2:11">
      <c r="B174" t="s">
        <v>79</v>
      </c>
      <c r="E174" t="s">
        <v>31</v>
      </c>
      <c r="F174" s="3">
        <f>SUMIF($D$15:$D$37,$B174,F$15:F$37)</f>
        <v>91.922980442848598</v>
      </c>
      <c r="G174" s="3">
        <f t="shared" ca="1" si="27"/>
        <v>0.84935520449958768</v>
      </c>
      <c r="H174" s="3">
        <f t="shared" ca="1" si="27"/>
        <v>12.651294429077049</v>
      </c>
      <c r="I174" s="3">
        <f t="shared" ca="1" si="27"/>
        <v>2.4316335145238588</v>
      </c>
      <c r="J174" s="3">
        <f t="shared" ca="1" si="27"/>
        <v>1.4752901980845374</v>
      </c>
      <c r="K174">
        <f t="shared" ca="1" si="27"/>
        <v>0</v>
      </c>
    </row>
    <row r="175" spans="2:11">
      <c r="E175" s="1" t="s">
        <v>27</v>
      </c>
      <c r="F175" s="3">
        <f t="shared" ref="F175:K175" si="28">SUM(F172:F174)</f>
        <v>170.00000000000003</v>
      </c>
      <c r="G175" s="3">
        <f t="shared" ca="1" si="28"/>
        <v>9.6400000000000023</v>
      </c>
      <c r="H175" s="3">
        <f t="shared" ca="1" si="28"/>
        <v>17.97</v>
      </c>
      <c r="I175" s="3">
        <f t="shared" ca="1" si="28"/>
        <v>83.766999999999996</v>
      </c>
      <c r="J175" s="3">
        <f t="shared" ca="1" si="28"/>
        <v>15.617000000000004</v>
      </c>
      <c r="K175">
        <f t="shared" ca="1" si="28"/>
        <v>0</v>
      </c>
    </row>
    <row r="177" spans="2:2">
      <c r="B177" t="s">
        <v>837</v>
      </c>
    </row>
    <row r="196" spans="2:2">
      <c r="B196" s="1"/>
    </row>
  </sheetData>
  <autoFilter ref="B54:I159" xr:uid="{00000000-0001-0000-1300-000000000000}">
    <filterColumn colId="1">
      <filters>
        <filter val="RESELC"/>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zoomScale="80" zoomScaleNormal="80" workbookViewId="0">
      <pane xSplit="4" ySplit="38" topLeftCell="G122" activePane="bottomRight" state="frozen"/>
      <selection pane="topRight" activeCell="E1" sqref="E1"/>
      <selection pane="bottomLeft" activeCell="A39" sqref="A39"/>
      <selection pane="bottomRight" activeCell="W132" sqref="W132"/>
    </sheetView>
  </sheetViews>
  <sheetFormatPr defaultColWidth="8.84375" defaultRowHeight="12.45" outlineLevelRow="2" outlineLevelCol="1"/>
  <cols>
    <col min="1" max="1" width="54" customWidth="1"/>
    <col min="2" max="2" width="16.69140625" customWidth="1"/>
    <col min="3" max="3" width="11.3828125" customWidth="1"/>
    <col min="4" max="4" width="8.3828125" customWidth="1"/>
    <col min="5" max="5" width="7.3046875" customWidth="1"/>
    <col min="6" max="6" width="7" customWidth="1"/>
    <col min="7" max="7" width="9" customWidth="1"/>
    <col min="8" max="8" width="9.3828125" customWidth="1"/>
    <col min="9" max="9" width="8.3046875" customWidth="1"/>
    <col min="10" max="10" width="9" customWidth="1"/>
    <col min="11" max="11" width="12.3046875" customWidth="1"/>
    <col min="12" max="12" width="11.3046875" customWidth="1"/>
    <col min="13" max="13" width="10.69140625" customWidth="1"/>
    <col min="14" max="15" width="11.3046875" customWidth="1"/>
    <col min="16" max="19" width="9.84375" customWidth="1"/>
    <col min="20" max="20" width="5.3828125" customWidth="1"/>
    <col min="21" max="21" width="17.3828125" customWidth="1"/>
    <col min="22" max="22" width="13.3828125" customWidth="1"/>
    <col min="23" max="23" width="8.69140625" style="3" customWidth="1"/>
    <col min="24" max="24" width="8.69140625" customWidth="1"/>
    <col min="25" max="29" width="10.53515625" customWidth="1"/>
    <col min="30" max="30" width="8.3828125" customWidth="1"/>
    <col min="31" max="31" width="12.3046875" customWidth="1"/>
    <col min="32" max="38" width="9.69140625" customWidth="1"/>
    <col min="39" max="39" width="7.15234375" customWidth="1"/>
    <col min="40" max="40" width="7.84375" customWidth="1"/>
    <col min="41" max="41" width="4.69140625" customWidth="1" outlineLevel="1"/>
    <col min="42" max="42" width="10.69140625" hidden="1" customWidth="1" outlineLevel="1"/>
    <col min="43" max="44" width="7.69140625" customWidth="1" outlineLevel="1"/>
    <col min="45" max="45" width="7.3828125" customWidth="1" outlineLevel="1"/>
    <col min="46" max="46" width="13.15234375" customWidth="1" outlineLevel="1"/>
    <col min="47" max="47" width="7.69140625" customWidth="1" outlineLevel="1"/>
    <col min="48" max="48" width="7" customWidth="1"/>
    <col min="49" max="49" width="9.15234375" customWidth="1"/>
    <col min="50" max="50" width="10" customWidth="1"/>
    <col min="51" max="51" width="6" customWidth="1"/>
    <col min="52" max="52" width="10" customWidth="1"/>
    <col min="53" max="53" width="11.8437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905</v>
      </c>
      <c r="B2" s="238"/>
      <c r="C2" s="241"/>
      <c r="D2" s="241"/>
      <c r="E2" s="241"/>
      <c r="F2" s="241"/>
      <c r="G2" s="241"/>
      <c r="U2" s="3"/>
      <c r="W2"/>
    </row>
    <row r="3" spans="1:182">
      <c r="A3" s="510" t="s">
        <v>906</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hidden="1">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hidden="1">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hidden="1">
      <c r="A8" s="20"/>
      <c r="B8" s="33" t="s">
        <v>229</v>
      </c>
      <c r="C8" s="33">
        <f ca="1">OFFSET(Energy_Balance!$E$38,0,RES!$F8)</f>
        <v>170.00000000000003</v>
      </c>
      <c r="D8" s="33"/>
      <c r="E8" s="33"/>
      <c r="F8" s="33">
        <v>1</v>
      </c>
      <c r="G8" s="33"/>
      <c r="H8" s="121" t="s">
        <v>42</v>
      </c>
      <c r="I8" s="490" t="s">
        <v>229</v>
      </c>
      <c r="J8" s="489">
        <f t="shared" ref="J8:J13" si="0">SUMIF($C$39:$C$144,I8,$M$39:$M$144)</f>
        <v>173.7915174430257</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hidden="1">
      <c r="A9" s="20"/>
      <c r="B9" s="33" t="s">
        <v>231</v>
      </c>
      <c r="C9" s="33">
        <f ca="1">OFFSET(Energy_Balance!$E$38,0,RES!$F9)</f>
        <v>9.64</v>
      </c>
      <c r="D9" s="33"/>
      <c r="E9" s="33"/>
      <c r="F9" s="33">
        <v>2</v>
      </c>
      <c r="G9" s="33"/>
      <c r="H9" s="121" t="s">
        <v>20</v>
      </c>
      <c r="I9" s="489" t="s">
        <v>231</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hidden="1">
      <c r="A10" s="20"/>
      <c r="B10" s="33" t="s">
        <v>233</v>
      </c>
      <c r="C10" s="33">
        <f ca="1">OFFSET(Energy_Balance!$E$38,0,RES!$F10)</f>
        <v>17.97</v>
      </c>
      <c r="D10" s="33"/>
      <c r="E10" s="33"/>
      <c r="F10" s="33">
        <v>3</v>
      </c>
      <c r="G10" s="33"/>
      <c r="H10" s="121" t="s">
        <v>907</v>
      </c>
      <c r="I10" s="489" t="s">
        <v>233</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hidden="1">
      <c r="A11" s="20"/>
      <c r="B11" s="33" t="s">
        <v>232</v>
      </c>
      <c r="C11" s="33">
        <f ca="1">OFFSET(Energy_Balance!$E$38,0,RES!$F11)</f>
        <v>83.76700000000001</v>
      </c>
      <c r="D11" s="33"/>
      <c r="E11" s="33"/>
      <c r="F11" s="33">
        <v>4</v>
      </c>
      <c r="G11" s="33"/>
      <c r="H11" s="121" t="s">
        <v>39</v>
      </c>
      <c r="I11" s="489" t="s">
        <v>232</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hidden="1">
      <c r="A12" s="20"/>
      <c r="B12" s="33" t="s">
        <v>230</v>
      </c>
      <c r="C12" s="33">
        <f ca="1">OFFSET(Energy_Balance!$E$38,0,RES!$F12)</f>
        <v>15.617000000000004</v>
      </c>
      <c r="D12" s="33"/>
      <c r="E12" s="33"/>
      <c r="F12" s="33">
        <v>5</v>
      </c>
      <c r="G12" s="33"/>
      <c r="H12" s="121" t="s">
        <v>21</v>
      </c>
      <c r="I12" s="489" t="s">
        <v>230</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hidden="1">
      <c r="A13" s="20"/>
      <c r="B13" s="33" t="s">
        <v>161</v>
      </c>
      <c r="C13" s="33">
        <f ca="1">OFFSET(Energy_Balance!$E$38,0,RES!$F13)</f>
        <v>0</v>
      </c>
      <c r="D13" s="33"/>
      <c r="E13" s="33"/>
      <c r="F13" s="33">
        <v>6</v>
      </c>
      <c r="G13" s="33"/>
      <c r="H13" s="121" t="s">
        <v>908</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hidden="1">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hidden="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hidden="1">
      <c r="A16" t="s">
        <v>428</v>
      </c>
      <c r="B16" s="1"/>
      <c r="C16" s="1"/>
      <c r="G16" s="122">
        <v>0</v>
      </c>
      <c r="H16">
        <v>0</v>
      </c>
      <c r="J16" s="1"/>
      <c r="K16" s="1"/>
      <c r="L16" t="s">
        <v>693</v>
      </c>
      <c r="M16" s="1"/>
      <c r="R16" t="s">
        <v>668</v>
      </c>
      <c r="W16"/>
      <c r="Y16" s="1"/>
      <c r="Z16" s="1"/>
      <c r="AA16" s="1"/>
      <c r="AB16" s="1"/>
      <c r="AC16" s="1"/>
      <c r="AE16" s="1"/>
      <c r="AG16" s="1"/>
      <c r="AI16" s="1"/>
      <c r="AK16" s="1"/>
    </row>
    <row r="17" spans="1:75" hidden="1">
      <c r="A17" t="s">
        <v>429</v>
      </c>
      <c r="B17" s="1"/>
      <c r="C17" s="1"/>
      <c r="H17" s="1">
        <v>1</v>
      </c>
      <c r="I17" s="1" t="s">
        <v>827</v>
      </c>
      <c r="J17" s="1" t="s">
        <v>833</v>
      </c>
      <c r="K17" s="1"/>
      <c r="L17" t="s">
        <v>829</v>
      </c>
      <c r="M17" s="1"/>
      <c r="W17"/>
      <c r="Y17" s="1"/>
      <c r="Z17" s="1"/>
      <c r="AA17" s="1"/>
      <c r="AB17" s="1"/>
      <c r="AC17" s="1"/>
      <c r="AE17" s="1"/>
      <c r="AG17" s="1"/>
      <c r="AI17" s="1"/>
      <c r="AK17" s="1"/>
    </row>
    <row r="18" spans="1:75" hidden="1">
      <c r="H18" s="1">
        <v>2</v>
      </c>
      <c r="I18" s="1" t="s">
        <v>828</v>
      </c>
      <c r="L18" t="s">
        <v>830</v>
      </c>
      <c r="W18"/>
      <c r="Y18" s="1"/>
      <c r="Z18" s="1"/>
      <c r="AA18" s="1"/>
      <c r="AB18" s="1"/>
      <c r="AC18" s="1"/>
      <c r="AE18" s="1"/>
      <c r="AG18" s="1"/>
      <c r="AI18" s="1"/>
      <c r="AK18" s="1"/>
    </row>
    <row r="19" spans="1:75" s="179" customFormat="1" hidden="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hidden="1">
      <c r="Y20" s="1"/>
      <c r="Z20" s="1"/>
      <c r="AA20" s="1"/>
      <c r="AB20" s="1"/>
      <c r="AC20" s="1"/>
      <c r="AE20" s="1"/>
      <c r="AG20" s="1"/>
      <c r="AI20" s="1"/>
      <c r="AK20" s="1"/>
    </row>
    <row r="21" spans="1:75" hidden="1">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4.6" hidden="1">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hidden="1">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hidden="1">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hidden="1">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hidden="1">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hidden="1"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25"/>
      <c r="AH27" s="25"/>
      <c r="AI27" s="25"/>
      <c r="AJ27" s="25"/>
      <c r="AK27" s="25"/>
      <c r="AL27" s="25"/>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3" hidden="1" customHeight="1">
      <c r="A28" s="70" t="s">
        <v>882</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0.08</v>
      </c>
      <c r="AC28" s="598">
        <v>0.16</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hidden="1">
      <c r="A29" s="70" t="s">
        <v>883</v>
      </c>
      <c r="B29" s="116"/>
      <c r="C29" s="116"/>
      <c r="D29" s="116"/>
      <c r="E29" s="116"/>
      <c r="F29" s="116"/>
      <c r="G29" s="116"/>
      <c r="H29" s="116"/>
      <c r="I29" s="116"/>
      <c r="J29" s="63"/>
      <c r="P29" s="25"/>
      <c r="Q29" s="25"/>
      <c r="R29" s="25"/>
      <c r="S29" s="25"/>
      <c r="T29" s="25"/>
      <c r="U29" s="323" t="s">
        <v>1023</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1.2500000000000001E-2</v>
      </c>
      <c r="AL29" s="598">
        <v>1.4999999999999999E-2</v>
      </c>
      <c r="AM29" s="325"/>
      <c r="AN29" s="324"/>
      <c r="AO29" s="349"/>
    </row>
    <row r="30" spans="1:75" hidden="1">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SUMIF($C$39:$C$144,"RESELC",$M$39:$M$144)</f>
        <v>173.7915174430257</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7.299999999999997">
      <c r="A33" s="27"/>
      <c r="B33" s="27" t="s">
        <v>82</v>
      </c>
      <c r="C33" s="27" t="s">
        <v>83</v>
      </c>
      <c r="D33" s="27" t="s">
        <v>1014</v>
      </c>
      <c r="E33" s="209" t="s">
        <v>1013</v>
      </c>
      <c r="F33" s="27" t="s">
        <v>1021</v>
      </c>
      <c r="G33" s="27" t="s">
        <v>1021</v>
      </c>
      <c r="H33" s="27" t="s">
        <v>88</v>
      </c>
      <c r="I33" s="27" t="s">
        <v>1022</v>
      </c>
      <c r="J33" s="27" t="s">
        <v>1026</v>
      </c>
      <c r="K33" s="27" t="s">
        <v>1021</v>
      </c>
      <c r="L33" s="27" t="s">
        <v>1021</v>
      </c>
      <c r="M33" s="27" t="s">
        <v>1021</v>
      </c>
      <c r="N33" s="27" t="s">
        <v>1021</v>
      </c>
      <c r="O33" s="27" t="s">
        <v>1021</v>
      </c>
      <c r="P33" s="27" t="str">
        <f>"EFF~"&amp;P36</f>
        <v>EFF~2020</v>
      </c>
      <c r="Q33" s="27" t="str">
        <f t="shared" ref="Q33:S33" si="1">"EFF~"&amp;Q36</f>
        <v>EFF~2030</v>
      </c>
      <c r="R33" s="27" t="str">
        <f t="shared" si="1"/>
        <v>EFF~2040</v>
      </c>
      <c r="S33" s="27" t="str">
        <f t="shared" si="1"/>
        <v>EFF~2050</v>
      </c>
      <c r="T33" s="27" t="s">
        <v>1021</v>
      </c>
      <c r="U33" s="27" t="s">
        <v>1021</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1021</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62.6" thickBot="1">
      <c r="A34" s="522" t="s">
        <v>925</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7.299999999999997">
      <c r="A36" s="523" t="s">
        <v>926</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1012</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929</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outlineLevel="1">
      <c r="A39" s="108" t="s">
        <v>930</v>
      </c>
      <c r="B39" s="30" t="s">
        <v>320</v>
      </c>
      <c r="C39" s="43" t="s">
        <v>229</v>
      </c>
      <c r="D39" s="43" t="s">
        <v>242</v>
      </c>
      <c r="E39" s="486">
        <f>INDEX(Lighting!$V$25:$V$35,MATCH(RES!D39,Lighting!$E$25:$E$35,0))</f>
        <v>3.5618185364705877</v>
      </c>
      <c r="F39" s="557">
        <v>1</v>
      </c>
      <c r="G39" s="557">
        <v>1</v>
      </c>
      <c r="H39" s="557">
        <f>N39/F39*(1+$D$31)</f>
        <v>16.951477515749698</v>
      </c>
      <c r="I39" s="576">
        <v>1E-3</v>
      </c>
      <c r="J39" s="558">
        <v>0</v>
      </c>
      <c r="K39" s="1" t="s">
        <v>430</v>
      </c>
      <c r="L39" s="485">
        <v>1</v>
      </c>
      <c r="M39" s="485">
        <f>IF($B39="","",SUMIF(Lighting!$A$25:$A$35,RES!$B39,Lighting!$N$25:$N$35))</f>
        <v>4.7592198597930109</v>
      </c>
      <c r="N39" s="40">
        <f>E39*M39</f>
        <v>16.951477515749698</v>
      </c>
      <c r="O39" s="25"/>
      <c r="P39" s="603">
        <f>INDEX(Lighting!$V$25:$V$35,MATCH(RES!D39,Lighting!$E$25:$E$35,0))</f>
        <v>3.5618185364705877</v>
      </c>
      <c r="Q39" s="360">
        <f>Lighting!F27</f>
        <v>5.3019294117647053</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 outlineLevel="1">
      <c r="A40" s="108" t="s">
        <v>1017</v>
      </c>
      <c r="B40" s="30" t="s">
        <v>1016</v>
      </c>
      <c r="C40" s="43" t="s">
        <v>231</v>
      </c>
      <c r="D40" s="43" t="s">
        <v>259</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 r="A41" s="524" t="s">
        <v>927</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931</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932</v>
      </c>
      <c r="B43" s="30" t="s">
        <v>322</v>
      </c>
      <c r="C43" s="43" t="s">
        <v>229</v>
      </c>
      <c r="D43" s="43" t="s">
        <v>243</v>
      </c>
      <c r="E43" s="494">
        <f>INDEX('Electrical efficiency'!$L$8:$L$23,MATCH(RES!D43,'Electrical efficiency'!$K$8:$K$23,0))</f>
        <v>0.8</v>
      </c>
      <c r="F43" s="557">
        <v>1</v>
      </c>
      <c r="G43" s="557">
        <v>1</v>
      </c>
      <c r="H43" s="557">
        <f>N43/F43*(1+$D$31)</f>
        <v>7.0981391670677016</v>
      </c>
      <c r="I43" s="576">
        <v>1E-3</v>
      </c>
      <c r="J43" s="486">
        <v>0</v>
      </c>
      <c r="K43" s="48" t="s">
        <v>889</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0.86956521739130432</v>
      </c>
      <c r="R43" s="166">
        <f>INDEX('Electrical efficiency'!$O$8:$O$23,MATCH(RES!D43,'Electrical efficiency'!$K$8:$K$23,0))</f>
        <v>0.90909090909090917</v>
      </c>
      <c r="S43" s="166">
        <f>INDEX('Electrical efficiency'!$P$8:$P$23,MATCH(RES!D43,'Electrical efficiency'!$K$8:$K$23,0))</f>
        <v>0.90909090909090917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0.81068108229674207</v>
      </c>
      <c r="AC43" s="63">
        <f>IF($V43*(1+'Census 2011_17'!H$20)+AC$28&lt;1,$V43*(1+'Census 2011_17'!H$20)+AC$28,1)</f>
        <v>0.89068108229674214</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110</v>
      </c>
      <c r="AP43" s="496">
        <f>E43</f>
        <v>0.8</v>
      </c>
    </row>
    <row r="44" spans="1:56" s="165" customFormat="1" ht="15" outlineLevel="1">
      <c r="A44" s="108" t="s">
        <v>933</v>
      </c>
      <c r="B44" s="30" t="s">
        <v>323</v>
      </c>
      <c r="C44" s="43" t="s">
        <v>230</v>
      </c>
      <c r="D44" s="43" t="s">
        <v>243</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2011_17'!B$20*RES!$V44/(1-RES!$V$43)+RES!W$29</f>
        <v>5.8106705757330145E-2</v>
      </c>
      <c r="X44" s="63">
        <f>$V44-$V$43*'Census 2011_17'!C$20*RES!$V44/(1-RES!$V$43)+RES!X$29</f>
        <v>5.3031461369329611E-2</v>
      </c>
      <c r="Y44" s="63">
        <f>$V44-$V$43*'Census 2011_17'!D$20*RES!$V44/(1-RES!$V$43)+RES!Y$29</f>
        <v>4.9956216981329057E-2</v>
      </c>
      <c r="Z44" s="63">
        <f>$V44-$V$43*'Census 2011_17'!E$20*RES!$V44/(1-RES!$V$43)+RES!Z$29</f>
        <v>4.6380972593328511E-2</v>
      </c>
      <c r="AA44" s="63">
        <f>$V44-$V$43*'Census 2011_17'!F$20*RES!$V44/(1-RES!$V$43)+RES!AA$29</f>
        <v>4.0805728205327949E-2</v>
      </c>
      <c r="AB44" s="63">
        <f>$V44-$V$43*'Census 2011_17'!G$20*RES!$V44/(1-RES!$V$43)+RES!AB$29</f>
        <v>4.0805728205327949E-2</v>
      </c>
      <c r="AC44" s="63">
        <f>$V44-$V$43*'Census 2011_17'!H$20*RES!$V44/(1-RES!$V$43)+RES!AC$29</f>
        <v>4.0805728205327949E-2</v>
      </c>
      <c r="AD44" s="50"/>
      <c r="AE44" s="63">
        <f>(IFERROR(IF($N44/(SUMIF(RES!$D$39:$D$145,$D44,$N$39:$N$145))=1,1,($N44/(SUMIF(RES!$D$39:$D$145,$D44,$N$39:$N$145)))),0))-AE$29</f>
        <v>5.6158285681130897E-2</v>
      </c>
      <c r="AF44" s="63">
        <f>IF(W44-AF$29&lt;0,0,W44-AF$29)</f>
        <v>5.3106705757330147E-2</v>
      </c>
      <c r="AG44" s="63">
        <f t="shared" ref="AG44:AG47" si="17">IF(X44-AG$29&lt;0,0,X44-AG$29)</f>
        <v>4.9531461369329607E-2</v>
      </c>
      <c r="AH44" s="63">
        <f t="shared" ref="AH44:AH47" si="18">IF(Y44-AH$29&lt;0,0,Y44-AH$29)</f>
        <v>3.9956216981329055E-2</v>
      </c>
      <c r="AI44" s="63">
        <f t="shared" ref="AI44:AI47" si="19">IF(Z44-AI$29&lt;0,0,Z44-AI$29)</f>
        <v>3.6380972593328509E-2</v>
      </c>
      <c r="AJ44" s="63">
        <f t="shared" ref="AJ44:AJ47" si="20">IF(AA44-AJ$29&lt;0,0,AA44-AJ$29)</f>
        <v>2.9805728205327949E-2</v>
      </c>
      <c r="AK44" s="63">
        <f t="shared" ref="AK44:AK47" si="21">IF(AB44-AK$29&lt;0,0,AB44-AK$29)</f>
        <v>2.8305728205327948E-2</v>
      </c>
      <c r="AL44" s="63">
        <f t="shared" ref="AL44:AL47" si="22">IF(AC44-AL$29&lt;0,0,AC44-AL$29)</f>
        <v>2.5805728205327949E-2</v>
      </c>
      <c r="AM44"/>
      <c r="AN44"/>
      <c r="AO44" s="179" t="s">
        <v>484</v>
      </c>
      <c r="AP44" s="496">
        <f>E44</f>
        <v>0.61</v>
      </c>
      <c r="AQ44"/>
      <c r="AR44"/>
      <c r="AS44"/>
      <c r="AT44"/>
      <c r="AU44"/>
      <c r="AV44"/>
      <c r="AW44"/>
      <c r="AX44"/>
      <c r="AY44"/>
      <c r="AZ44"/>
      <c r="BA44"/>
      <c r="BB44"/>
      <c r="BC44"/>
      <c r="BD44"/>
    </row>
    <row r="45" spans="1:56" s="165" customFormat="1" ht="15" outlineLevel="1">
      <c r="A45" s="108" t="s">
        <v>934</v>
      </c>
      <c r="B45" s="30" t="s">
        <v>324</v>
      </c>
      <c r="C45" s="43" t="s">
        <v>232</v>
      </c>
      <c r="D45" s="43" t="s">
        <v>243</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23">IF(W45-AF$29&lt;0,0,W45-AF$29)</f>
        <v>0.22414544025356681</v>
      </c>
      <c r="AG45" s="63">
        <f t="shared" si="17"/>
        <v>0.21066587397458422</v>
      </c>
      <c r="AH45" s="63">
        <f t="shared" si="18"/>
        <v>0.19118630769560163</v>
      </c>
      <c r="AI45" s="63">
        <f t="shared" si="19"/>
        <v>0.17770674141661902</v>
      </c>
      <c r="AJ45" s="63">
        <f t="shared" si="20"/>
        <v>0.1612271751376364</v>
      </c>
      <c r="AK45" s="63">
        <f t="shared" si="21"/>
        <v>0.1597271751376364</v>
      </c>
      <c r="AL45" s="63">
        <f t="shared" si="22"/>
        <v>0.1572271751376364</v>
      </c>
      <c r="AM45"/>
      <c r="AN45"/>
      <c r="AO45" s="249" t="s">
        <v>110</v>
      </c>
      <c r="AP45" s="496">
        <f>E45</f>
        <v>8.2000000000000003E-2</v>
      </c>
      <c r="AQ45"/>
      <c r="AR45"/>
      <c r="AS45"/>
      <c r="AT45"/>
      <c r="AU45"/>
      <c r="AV45"/>
      <c r="AW45"/>
      <c r="AX45"/>
      <c r="AY45"/>
      <c r="AZ45"/>
      <c r="BA45"/>
      <c r="BB45"/>
      <c r="BC45"/>
      <c r="BD45"/>
    </row>
    <row r="46" spans="1:56" ht="15" outlineLevel="1">
      <c r="A46" s="108" t="s">
        <v>935</v>
      </c>
      <c r="B46" s="30" t="s">
        <v>325</v>
      </c>
      <c r="C46" s="43" t="s">
        <v>233</v>
      </c>
      <c r="D46" s="43" t="s">
        <v>243</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23"/>
        <v>2.2294591186756724E-2</v>
      </c>
      <c r="AG46" s="63">
        <f t="shared" si="17"/>
        <v>2.0503580655184133E-2</v>
      </c>
      <c r="AH46" s="63">
        <f t="shared" si="18"/>
        <v>1.2712570123611539E-2</v>
      </c>
      <c r="AI46" s="63">
        <f t="shared" si="19"/>
        <v>1.0921559592038945E-2</v>
      </c>
      <c r="AJ46" s="63">
        <f t="shared" si="20"/>
        <v>6.1305490604663497E-3</v>
      </c>
      <c r="AK46" s="63">
        <f t="shared" si="21"/>
        <v>4.6305490604663484E-3</v>
      </c>
      <c r="AL46" s="63">
        <f t="shared" si="22"/>
        <v>2.1305490604663496E-3</v>
      </c>
      <c r="AO46" s="249" t="s">
        <v>110</v>
      </c>
      <c r="AP46" s="496">
        <f>E46</f>
        <v>0.12</v>
      </c>
    </row>
    <row r="47" spans="1:56" s="165" customFormat="1" ht="15" outlineLevel="1">
      <c r="A47" s="108" t="s">
        <v>936</v>
      </c>
      <c r="B47" s="30" t="s">
        <v>326</v>
      </c>
      <c r="C47" s="43" t="s">
        <v>231</v>
      </c>
      <c r="D47" s="43" t="s">
        <v>243</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23"/>
        <v>5.5596436496402196E-2</v>
      </c>
      <c r="AG47" s="63">
        <f t="shared" si="17"/>
        <v>5.1877019534076474E-2</v>
      </c>
      <c r="AH47" s="63">
        <f t="shared" si="18"/>
        <v>4.2157602571750753E-2</v>
      </c>
      <c r="AI47" s="63">
        <f t="shared" si="19"/>
        <v>3.8438185609425031E-2</v>
      </c>
      <c r="AJ47" s="63">
        <f t="shared" si="20"/>
        <v>3.1718768647099313E-2</v>
      </c>
      <c r="AK47" s="63">
        <f t="shared" si="21"/>
        <v>3.0218768647099308E-2</v>
      </c>
      <c r="AL47" s="63">
        <f t="shared" si="22"/>
        <v>2.7718768647099309E-2</v>
      </c>
      <c r="AM47"/>
      <c r="AN47"/>
      <c r="AO47" s="179" t="s">
        <v>484</v>
      </c>
      <c r="AP47" s="496">
        <f>E47</f>
        <v>0.45</v>
      </c>
      <c r="AQ47"/>
      <c r="AR47"/>
      <c r="AS47"/>
      <c r="AT47"/>
      <c r="AU47"/>
      <c r="AV47"/>
      <c r="AW47"/>
      <c r="AX47"/>
      <c r="AY47"/>
      <c r="AZ47"/>
      <c r="BA47"/>
      <c r="BB47"/>
      <c r="BC47"/>
      <c r="BD47"/>
    </row>
    <row r="48" spans="1:56" s="191" customFormat="1" ht="15" outlineLevel="1">
      <c r="A48" s="524" t="s">
        <v>927</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4">SUM(W43:W47)</f>
        <v>1.0256374690689378</v>
      </c>
      <c r="X48" s="532">
        <f t="shared" si="24"/>
        <v>1.0188689276385214</v>
      </c>
      <c r="Y48" s="532">
        <f t="shared" si="24"/>
        <v>1.0191003862081049</v>
      </c>
      <c r="Z48" s="532">
        <f t="shared" si="24"/>
        <v>1.0338318447776886</v>
      </c>
      <c r="AA48" s="532">
        <f t="shared" si="24"/>
        <v>1.0435633033472722</v>
      </c>
      <c r="AB48" s="532">
        <f t="shared" si="24"/>
        <v>1.083563303347272</v>
      </c>
      <c r="AC48" s="532">
        <f t="shared" si="24"/>
        <v>1.1635633033472721</v>
      </c>
      <c r="AD48" s="532"/>
      <c r="AE48" s="602">
        <f>SUM(AE43:AE47)</f>
        <v>0.99950000000000006</v>
      </c>
      <c r="AF48" s="602">
        <f t="shared" ref="AF48" si="25">SUM(AF43:AF47)</f>
        <v>0.99848901882423957</v>
      </c>
      <c r="AG48" s="602">
        <f t="shared" ref="AG48" si="26">SUM(AG43:AG47)</f>
        <v>0.99768458832367646</v>
      </c>
      <c r="AH48" s="602">
        <f t="shared" ref="AH48" si="27">SUM(AH43:AH47)</f>
        <v>0.97138015782311304</v>
      </c>
      <c r="AI48" s="602">
        <f t="shared" ref="AI48" si="28">SUM(AI43:AI47)</f>
        <v>0.9700757273225501</v>
      </c>
      <c r="AJ48" s="602">
        <f t="shared" ref="AJ48" si="29">SUM(AJ43:AJ47)</f>
        <v>0.95577129682198669</v>
      </c>
      <c r="AK48" s="602">
        <f t="shared" ref="AK48" si="30">SUM(AK43:AK47)</f>
        <v>0.94977129682198658</v>
      </c>
      <c r="AL48" s="602">
        <f t="shared" ref="AL48" si="31">SUM(AL43:AL47)</f>
        <v>0.93977129682198679</v>
      </c>
      <c r="AO48" s="534"/>
    </row>
    <row r="49" spans="1:3695" s="232" customFormat="1" ht="15">
      <c r="A49" s="537" t="s">
        <v>937</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938</v>
      </c>
      <c r="B50" s="30" t="s">
        <v>327</v>
      </c>
      <c r="C50" s="43" t="s">
        <v>229</v>
      </c>
      <c r="D50" s="43" t="s">
        <v>244</v>
      </c>
      <c r="E50" s="494">
        <f>INDEX('Electrical efficiency'!$L$8:$L$23,MATCH(RES!D50,'Electrical efficiency'!$K$8:$K$23,0))</f>
        <v>0.94750000000000001</v>
      </c>
      <c r="F50" s="557">
        <v>1</v>
      </c>
      <c r="G50" s="557">
        <v>1</v>
      </c>
      <c r="H50" s="557">
        <f>N50/F50*(1+$D$31)</f>
        <v>0.87532960213813227</v>
      </c>
      <c r="I50" s="576">
        <v>1E-3</v>
      </c>
      <c r="J50" s="486">
        <v>0</v>
      </c>
      <c r="K50" s="48" t="s">
        <v>889</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2011_17'!D$20)+Y$28,1)</f>
        <v>0.10852380707263011</v>
      </c>
      <c r="Z50" s="63">
        <f>IF($V50*(1+'Census 2011_17'!E$20)+Z$28&lt;1,$V50*(1+'Census 2011_17'!E$20)+Z$28,1)</f>
        <v>0.12862744845711924</v>
      </c>
      <c r="AA50" s="63">
        <f>IF($V50*(1+'Census 2011_17'!F$20)+AA$28&lt;1,$V50*(1+'Census 2011_17'!F$20)+AA$28,1)</f>
        <v>0.15173108984160835</v>
      </c>
      <c r="AB50" s="63">
        <f>IF($V50*(1+'Census 2011_17'!G$20)+AB$28&lt;1,$V50*(1+'Census 2011_17'!G$20)+AB$28,1)</f>
        <v>0.19173108984160836</v>
      </c>
      <c r="AC50" s="63">
        <f>IF($V50*(1+'Census 2011_17'!H$20)+AC$28&lt;1,$V50*(1+'Census 2011_17'!H$20)+AC$28,1)</f>
        <v>0.27173108984160838</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484</v>
      </c>
      <c r="AP50" s="496">
        <f>E50</f>
        <v>0.94750000000000001</v>
      </c>
      <c r="AQ50"/>
      <c r="AR50"/>
      <c r="AS50"/>
      <c r="AT50"/>
      <c r="AU50"/>
      <c r="AV50"/>
      <c r="AW50"/>
      <c r="AX50"/>
      <c r="AY50"/>
      <c r="AZ50"/>
      <c r="BA50"/>
      <c r="BB50"/>
      <c r="BC50"/>
      <c r="BD50"/>
    </row>
    <row r="51" spans="1:3695" s="35" customFormat="1" ht="15" outlineLevel="1">
      <c r="A51" s="108" t="s">
        <v>939</v>
      </c>
      <c r="B51" s="30" t="s">
        <v>328</v>
      </c>
      <c r="C51" s="43" t="s">
        <v>231</v>
      </c>
      <c r="D51" s="43" t="s">
        <v>244</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2">IF(X51-AG$29&lt;0,0,X51-AG$29)</f>
        <v>2.5807384215767264E-2</v>
      </c>
      <c r="AH51" s="63">
        <f t="shared" si="32"/>
        <v>1.9216418840601157E-2</v>
      </c>
      <c r="AI51" s="63">
        <f t="shared" si="32"/>
        <v>1.8625453465435052E-2</v>
      </c>
      <c r="AJ51" s="63">
        <f t="shared" si="32"/>
        <v>1.5034488090268944E-2</v>
      </c>
      <c r="AK51" s="63">
        <f t="shared" si="32"/>
        <v>1.3534488090268942E-2</v>
      </c>
      <c r="AL51" s="63">
        <f t="shared" si="32"/>
        <v>1.1034488090268944E-2</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940</v>
      </c>
      <c r="B52" s="30" t="s">
        <v>329</v>
      </c>
      <c r="C52" s="43" t="s">
        <v>232</v>
      </c>
      <c r="D52" s="43" t="s">
        <v>244</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 t="shared" ref="AF52:AF54" si="33">IF(W52-AF$29&lt;0,0,W52-AF$29)</f>
        <v>0.64419666734509495</v>
      </c>
      <c r="AG52" s="63">
        <f t="shared" si="32"/>
        <v>0.64147684707474262</v>
      </c>
      <c r="AH52" s="63">
        <f t="shared" si="32"/>
        <v>0.63275702680439017</v>
      </c>
      <c r="AI52" s="63">
        <f t="shared" si="32"/>
        <v>0.63003720653403772</v>
      </c>
      <c r="AJ52" s="63">
        <f t="shared" si="32"/>
        <v>0.62431738626368538</v>
      </c>
      <c r="AK52" s="63">
        <f t="shared" si="32"/>
        <v>0.62281738626368544</v>
      </c>
      <c r="AL52" s="63">
        <f t="shared" si="32"/>
        <v>0.62031738626368538</v>
      </c>
      <c r="AM52"/>
      <c r="AN52"/>
      <c r="AO52" s="179" t="s">
        <v>484</v>
      </c>
      <c r="AP52" s="496">
        <f>E52</f>
        <v>0.59</v>
      </c>
      <c r="AQ52"/>
      <c r="AR52"/>
      <c r="AS52"/>
      <c r="AT52"/>
      <c r="AU52"/>
      <c r="AV52"/>
      <c r="AW52"/>
      <c r="AX52"/>
      <c r="AY52"/>
      <c r="AZ52"/>
      <c r="BA52"/>
      <c r="BB52"/>
      <c r="BC52"/>
      <c r="BD52"/>
    </row>
    <row r="53" spans="1:3695" ht="15" outlineLevel="1">
      <c r="A53" s="108" t="s">
        <v>941</v>
      </c>
      <c r="B53" s="30" t="s">
        <v>330</v>
      </c>
      <c r="C53" s="43" t="s">
        <v>233</v>
      </c>
      <c r="D53" s="43" t="s">
        <v>244</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si="33"/>
        <v>0.22711973094228746</v>
      </c>
      <c r="AG53" s="63">
        <f t="shared" si="32"/>
        <v>0.2258371050640437</v>
      </c>
      <c r="AH53" s="63">
        <f t="shared" si="32"/>
        <v>0.2185544791857999</v>
      </c>
      <c r="AI53" s="63">
        <f t="shared" si="32"/>
        <v>0.21727185330755611</v>
      </c>
      <c r="AJ53" s="63">
        <f t="shared" si="32"/>
        <v>0.21298922742931234</v>
      </c>
      <c r="AK53" s="63">
        <f t="shared" si="32"/>
        <v>0.21148922742931234</v>
      </c>
      <c r="AL53" s="63">
        <f t="shared" si="32"/>
        <v>0.20898922742931236</v>
      </c>
      <c r="AO53" s="179" t="s">
        <v>484</v>
      </c>
      <c r="AP53" s="496">
        <f>E53</f>
        <v>0.59</v>
      </c>
    </row>
    <row r="54" spans="1:3695" ht="15" outlineLevel="1">
      <c r="A54" s="108" t="s">
        <v>942</v>
      </c>
      <c r="B54" s="30" t="s">
        <v>331</v>
      </c>
      <c r="C54" s="43" t="s">
        <v>230</v>
      </c>
      <c r="D54" s="43" t="s">
        <v>244</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2011_17'!B$20*RES!$V54/(1-RES!$V$50)+RES!W$29</f>
        <v>1.2945575872643333E-2</v>
      </c>
      <c r="X54" s="63">
        <f>$V54-$V$50*'Census 2011_17'!C$20*RES!$V54/(1-RES!$V$50)+RES!X$29</f>
        <v>1.0918196422739616E-2</v>
      </c>
      <c r="Y54" s="63">
        <f>$V54-$V$50*'Census 2011_17'!D$20*RES!$V54/(1-RES!$V$50)+RES!Y$29</f>
        <v>1.08908169728359E-2</v>
      </c>
      <c r="Z54" s="63">
        <f>$V54-$V$50*'Census 2011_17'!E$20*RES!$V54/(1-RES!$V$50)+RES!Z$29</f>
        <v>1.0363437522932182E-2</v>
      </c>
      <c r="AA54" s="63">
        <f>$V54-$V$50*'Census 2011_17'!F$20*RES!$V54/(1-RES!$V$50)+RES!AA$29</f>
        <v>7.8360580730284634E-3</v>
      </c>
      <c r="AB54" s="63">
        <f>$V54-$V$50*'Census 2011_17'!G$20*RES!$V54/(1-RES!$V$50)+RES!AB$29</f>
        <v>7.8360580730284634E-3</v>
      </c>
      <c r="AC54" s="63">
        <f>$V54-$V$50*'Census 2011_17'!H$20*RES!$V54/(1-RES!$V$50)+RES!AC$29</f>
        <v>7.8360580730284634E-3</v>
      </c>
      <c r="AD54" s="50"/>
      <c r="AE54" s="63">
        <f>(IFERROR(IF($N54/(SUMIF(RES!$D$39:$D$145,$D54,$N$39:$N$145))=1,1,($N54/(SUMIF(RES!$D$39:$D$145,$D54,$N$39:$N$145)))),0))-AE$29</f>
        <v>6.8825381300133522E-3</v>
      </c>
      <c r="AF54" s="63">
        <f t="shared" si="33"/>
        <v>7.9455758726433325E-3</v>
      </c>
      <c r="AG54" s="63">
        <f t="shared" si="32"/>
        <v>7.418196422739616E-3</v>
      </c>
      <c r="AH54" s="63">
        <f t="shared" si="32"/>
        <v>8.9081697283589951E-4</v>
      </c>
      <c r="AI54" s="63">
        <f t="shared" si="32"/>
        <v>3.6343752293218137E-4</v>
      </c>
      <c r="AJ54" s="63">
        <f t="shared" si="32"/>
        <v>0</v>
      </c>
      <c r="AK54" s="63">
        <f t="shared" si="32"/>
        <v>0</v>
      </c>
      <c r="AL54" s="63">
        <f t="shared" si="32"/>
        <v>0</v>
      </c>
      <c r="AO54" s="179" t="s">
        <v>484</v>
      </c>
      <c r="AP54" s="496">
        <f>E54</f>
        <v>0.79</v>
      </c>
    </row>
    <row r="55" spans="1:3695" s="191" customFormat="1" ht="15" outlineLevel="1">
      <c r="A55" s="524" t="s">
        <v>927</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34">SUM(W50:W54)</f>
        <v>1.025976848054611</v>
      </c>
      <c r="X55" s="532">
        <f t="shared" si="34"/>
        <v>1.0194596984654343</v>
      </c>
      <c r="Y55" s="532">
        <f t="shared" si="34"/>
        <v>1.0199425488762572</v>
      </c>
      <c r="Z55" s="532">
        <f t="shared" si="34"/>
        <v>1.0349253992870804</v>
      </c>
      <c r="AA55" s="532">
        <f t="shared" si="34"/>
        <v>1.0449082496979036</v>
      </c>
      <c r="AB55" s="532">
        <f t="shared" si="34"/>
        <v>1.0849082496979037</v>
      </c>
      <c r="AC55" s="532">
        <f t="shared" si="34"/>
        <v>1.1649082496979035</v>
      </c>
      <c r="AD55" s="532"/>
      <c r="AE55" s="602">
        <f>SUM(AE50:AE54)</f>
        <v>0.99949999999999983</v>
      </c>
      <c r="AF55" s="602">
        <f t="shared" ref="AF55" si="35">SUM(AF50:AF54)</f>
        <v>0.99882839780991273</v>
      </c>
      <c r="AG55" s="602">
        <f t="shared" ref="AG55" si="36">SUM(AG50:AG54)</f>
        <v>0.99827535915058918</v>
      </c>
      <c r="AH55" s="602">
        <f t="shared" ref="AH55" si="37">SUM(AH50:AH54)</f>
        <v>0.97222232049126545</v>
      </c>
      <c r="AI55" s="602">
        <f t="shared" ref="AI55" si="38">SUM(AI50:AI54)</f>
        <v>0.97116928183194173</v>
      </c>
      <c r="AJ55" s="602">
        <f t="shared" ref="AJ55" si="39">SUM(AJ50:AJ54)</f>
        <v>0.96028018509958957</v>
      </c>
      <c r="AK55" s="602">
        <f t="shared" ref="AK55" si="40">SUM(AK50:AK54)</f>
        <v>0.95578018509958951</v>
      </c>
      <c r="AL55" s="602">
        <f t="shared" ref="AL55" si="41">SUM(AL50:AL54)</f>
        <v>0.94828018509958956</v>
      </c>
      <c r="AO55" s="534"/>
    </row>
    <row r="56" spans="1:3695" s="569" customFormat="1" ht="15" outlineLevel="1" collapsed="1">
      <c r="A56" s="559" t="s">
        <v>943</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944</v>
      </c>
      <c r="B57" s="560" t="s">
        <v>333</v>
      </c>
      <c r="C57" s="561"/>
      <c r="D57" s="561" t="s">
        <v>557</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110</v>
      </c>
      <c r="AP57" s="572">
        <f>E57</f>
        <v>0</v>
      </c>
    </row>
    <row r="58" spans="1:3695" s="569" customFormat="1" ht="15" outlineLevel="1">
      <c r="A58" s="571" t="s">
        <v>945</v>
      </c>
      <c r="B58" s="560" t="s">
        <v>334</v>
      </c>
      <c r="C58" s="561"/>
      <c r="D58" s="561" t="s">
        <v>557</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832</v>
      </c>
      <c r="AP58" s="572">
        <f>E58</f>
        <v>0</v>
      </c>
    </row>
    <row r="59" spans="1:3695" s="569" customFormat="1" ht="15" outlineLevel="1">
      <c r="A59" s="571" t="s">
        <v>927</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946</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947</v>
      </c>
      <c r="B61" s="30" t="s">
        <v>335</v>
      </c>
      <c r="C61" s="43" t="s">
        <v>231</v>
      </c>
      <c r="D61" s="43" t="s">
        <v>245</v>
      </c>
      <c r="E61" s="486">
        <v>0.44</v>
      </c>
      <c r="F61" s="557">
        <v>1</v>
      </c>
      <c r="G61" s="557">
        <v>1</v>
      </c>
      <c r="H61" s="557">
        <f>N61/F61*(1+$D$31)</f>
        <v>1.2483539120184379</v>
      </c>
      <c r="I61" s="576">
        <v>1E-3</v>
      </c>
      <c r="J61" s="486">
        <v>0</v>
      </c>
      <c r="K61" s="48" t="s">
        <v>889</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2011_17'!B$20)+W$28&lt;1,$V61*(1+'Census 2011_17'!B$20)+W$28,1)</f>
        <v>0.28701238951863606</v>
      </c>
      <c r="X61" s="63">
        <f>IF($V61*(1+'Census 2011_17'!C$20)+X$28&lt;1,$V61*(1+'Census 2011_17'!C$20)+X$28,1)</f>
        <v>0.29745027669109342</v>
      </c>
      <c r="Y61" s="63">
        <f>IF($V61*(1+'Census 2011_17'!D$20)+Y$28&lt;1,$V61*(1+'Census 2011_17'!D$20)+Y$28,1)</f>
        <v>0.30688816386355078</v>
      </c>
      <c r="Z61" s="63">
        <f>IF($V61*(1+'Census 2011_17'!E$20)+Z$28&lt;1,$V61*(1+'Census 2011_17'!E$20)+Z$28,1)</f>
        <v>0.33282605103600815</v>
      </c>
      <c r="AA61" s="63">
        <f>IF($V61*(1+'Census 2011_17'!F$20)+AA$28&lt;1,$V61*(1+'Census 2011_17'!F$20)+AA$28,1)</f>
        <v>0.36176393820846547</v>
      </c>
      <c r="AB61" s="63">
        <f>IF($V61*(1+'Census 2011_17'!G$20)+AB$28&lt;1,$V61*(1+'Census 2011_17'!G$20)+AB$28,1)</f>
        <v>0.40176393820846551</v>
      </c>
      <c r="AC61" s="63">
        <f>IF($V61*(1+'Census 2011_17'!H$20)+AC$28&lt;1,$V61*(1+'Census 2011_17'!H$20)+AC$28,1)</f>
        <v>0.48176393820846553</v>
      </c>
      <c r="AD61" s="272"/>
      <c r="AE61" s="63">
        <f>(IFERROR(IF($N61/(SUMIF(RES!$D$39:$D$145,$D61,$N$39:$N$145))=1,1,($N61/(SUMIF(RES!$D$39:$D$145,$D61,$N$39:$N$145))-AE$28)),0))</f>
        <v>0.27284624183581857</v>
      </c>
      <c r="AF61" s="63">
        <f>$AE61*(1+'Census 2011_17'!B$20)-AF$28</f>
        <v>0.27986393927393788</v>
      </c>
      <c r="AG61" s="63">
        <f>$AE61*(1+'Census 2011_17'!C$20)-AG$28</f>
        <v>0.2902659373762484</v>
      </c>
      <c r="AH61" s="63">
        <f>$AE61*(1+'Census 2011_17'!D$20)-AH$28</f>
        <v>0.29916793547855891</v>
      </c>
      <c r="AI61" s="63">
        <f>$AE61*(1+'Census 2011_17'!E$20)-AI$28</f>
        <v>0.30906993358086948</v>
      </c>
      <c r="AJ61" s="63">
        <f>$AE61*(1+'Census 2011_17'!F$20)-AJ$28</f>
        <v>0.31797193168318005</v>
      </c>
      <c r="AK61" s="63">
        <f>$AE61*(1+'Census 2011_17'!G$20)-AK$28</f>
        <v>0.31797193168318005</v>
      </c>
      <c r="AL61" s="63">
        <f>$AE61*(1+'Census 2011_17'!H$20)-AL$28</f>
        <v>0.31797193168318005</v>
      </c>
      <c r="AM61"/>
      <c r="AN61"/>
      <c r="AO61" s="179" t="s">
        <v>484</v>
      </c>
      <c r="AP61" s="496">
        <f>E61</f>
        <v>0.44</v>
      </c>
      <c r="AQ61"/>
      <c r="AR61"/>
      <c r="AS61"/>
      <c r="AT61"/>
      <c r="AU61"/>
      <c r="AV61"/>
      <c r="AW61"/>
      <c r="AX61"/>
      <c r="AY61"/>
      <c r="AZ61"/>
      <c r="BA61"/>
      <c r="BB61"/>
      <c r="BC61"/>
      <c r="BD61"/>
    </row>
    <row r="62" spans="1:3695" ht="15" outlineLevel="1">
      <c r="A62" s="108" t="s">
        <v>948</v>
      </c>
      <c r="B62" s="30" t="s">
        <v>332</v>
      </c>
      <c r="C62" s="43" t="s">
        <v>229</v>
      </c>
      <c r="D62" s="43" t="s">
        <v>245</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2">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$V62-$V$61*'Census 2011_17'!B$20*RES!$V62/(1-RES!$V$61)+RES!W$29</f>
        <v>0.40911719398074997</v>
      </c>
      <c r="X62" s="63">
        <f>$V62-$V$61*'Census 2011_17'!C$20*RES!$V62/(1-RES!$V$61)+RES!X$29</f>
        <v>0.40205834725676431</v>
      </c>
      <c r="Y62" s="63">
        <f>$V62-$V$61*'Census 2011_17'!D$20*RES!$V62/(1-RES!$V$61)+RES!Y$29</f>
        <v>0.39699950053277866</v>
      </c>
      <c r="Z62" s="63">
        <f>$V62-$V$61*'Census 2011_17'!E$20*RES!$V62/(1-RES!$V$61)+RES!Z$29</f>
        <v>0.39144065380879295</v>
      </c>
      <c r="AA62" s="63">
        <f>$V62-$V$61*'Census 2011_17'!F$20*RES!$V62/(1-RES!$V$61)+RES!AA$29</f>
        <v>0.38388180708480724</v>
      </c>
      <c r="AB62" s="63">
        <f>$V62-$V$61*'Census 2011_17'!G$20*RES!$V62/(1-RES!$V$61)+RES!AB$29</f>
        <v>0.38388180708480724</v>
      </c>
      <c r="AC62" s="63">
        <f>$V62-$V$61*'Census 2011_17'!H$20*RES!$V62/(1-RES!$V$61)+RES!AC$29</f>
        <v>0.38388180708480724</v>
      </c>
      <c r="AD62" s="272"/>
      <c r="AE62" s="63">
        <f>(IFERROR(IF($N62/(SUMIF(RES!$D$39:$D$145,$D62,$N$39:$N$145))=1,1,($N62/(SUMIF(RES!$D$39:$D$145,$D62,$N$39:$N$145)))),0))-AE$29</f>
        <v>0.40984663705813068</v>
      </c>
      <c r="AF62" s="63">
        <f>IF(W62-AF$29&lt;0,0,W62-AF$29)</f>
        <v>0.40411719398074997</v>
      </c>
      <c r="AG62" s="63">
        <f t="shared" ref="AG62:AG65" si="43">IF(X62-AG$29&lt;0,0,X62-AG$29)</f>
        <v>0.39855834725676431</v>
      </c>
      <c r="AH62" s="63">
        <f t="shared" ref="AH62:AH65" si="44">IF(Y62-AH$29&lt;0,0,Y62-AH$29)</f>
        <v>0.38699950053277865</v>
      </c>
      <c r="AI62" s="63">
        <f t="shared" ref="AI62:AI65" si="45">IF(Z62-AI$29&lt;0,0,Z62-AI$29)</f>
        <v>0.38144065380879294</v>
      </c>
      <c r="AJ62" s="63">
        <f t="shared" ref="AJ62:AJ65" si="46">IF(AA62-AJ$29&lt;0,0,AA62-AJ$29)</f>
        <v>0.37288180708480723</v>
      </c>
      <c r="AK62" s="63">
        <f t="shared" ref="AK62:AK65" si="47">IF(AB62-AK$29&lt;0,0,AB62-AK$29)</f>
        <v>0.37138180708480723</v>
      </c>
      <c r="AL62" s="63">
        <f t="shared" ref="AL62:AL65" si="48">IF(AC62-AL$29&lt;0,0,AC62-AL$29)</f>
        <v>0.36888180708480722</v>
      </c>
      <c r="AO62" s="179" t="s">
        <v>484</v>
      </c>
      <c r="AP62" s="496">
        <f>E62</f>
        <v>0.95</v>
      </c>
    </row>
    <row r="63" spans="1:3695" ht="15" outlineLevel="1">
      <c r="A63" s="108" t="s">
        <v>949</v>
      </c>
      <c r="B63" s="30" t="s">
        <v>336</v>
      </c>
      <c r="C63" s="43" t="s">
        <v>232</v>
      </c>
      <c r="D63" s="43" t="s">
        <v>245</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$V63-$V$61*'Census 2011_17'!B$20*RES!$V63/(1-RES!$V$61)+RES!W$29</f>
        <v>0.22807809853262309</v>
      </c>
      <c r="X63" s="63">
        <f>$V63-$V$61*'Census 2011_17'!C$20*RES!$V63/(1-RES!$V$61)+RES!X$29</f>
        <v>0.22328554744901719</v>
      </c>
      <c r="Y63" s="63">
        <f>$V63-$V$61*'Census 2011_17'!D$20*RES!$V63/(1-RES!$V$61)+RES!Y$29</f>
        <v>0.22049299636541131</v>
      </c>
      <c r="Z63" s="63">
        <f>$V63-$V$61*'Census 2011_17'!E$20*RES!$V63/(1-RES!$V$61)+RES!Z$29</f>
        <v>0.2172004452818054</v>
      </c>
      <c r="AA63" s="63">
        <f>$V63-$V$61*'Census 2011_17'!F$20*RES!$V63/(1-RES!$V$61)+RES!AA$29</f>
        <v>0.21190789419819953</v>
      </c>
      <c r="AB63" s="63">
        <f>$V63-$V$61*'Census 2011_17'!G$20*RES!$V63/(1-RES!$V$61)+RES!AB$29</f>
        <v>0.21190789419819953</v>
      </c>
      <c r="AC63" s="63">
        <f>$V63-$V$61*'Census 2011_17'!H$20*RES!$V63/(1-RES!$V$61)+RES!AC$29</f>
        <v>0.21190789419819953</v>
      </c>
      <c r="AD63" s="272"/>
      <c r="AE63" s="63">
        <f>(IFERROR(IF($N63/(SUMIF(RES!$D$39:$D$145,$D63,$N$39:$N$145))=1,1,($N63/(SUMIF(RES!$D$39:$D$145,$D63,$N$39:$N$145)))),0))-AE$29</f>
        <v>0.22574804249549105</v>
      </c>
      <c r="AF63" s="63">
        <f t="shared" ref="AF63:AF65" si="49">IF(W63-AF$29&lt;0,0,W63-AF$29)</f>
        <v>0.22307809853262309</v>
      </c>
      <c r="AG63" s="63">
        <f t="shared" si="43"/>
        <v>0.21978554744901718</v>
      </c>
      <c r="AH63" s="63">
        <f t="shared" si="44"/>
        <v>0.2104929963654113</v>
      </c>
      <c r="AI63" s="63">
        <f t="shared" si="45"/>
        <v>0.2072004452818054</v>
      </c>
      <c r="AJ63" s="63">
        <f t="shared" si="46"/>
        <v>0.20090789419819952</v>
      </c>
      <c r="AK63" s="63">
        <f t="shared" si="47"/>
        <v>0.19940789419819951</v>
      </c>
      <c r="AL63" s="63">
        <f t="shared" si="48"/>
        <v>0.19690789419819954</v>
      </c>
      <c r="AO63" s="179" t="s">
        <v>484</v>
      </c>
      <c r="AP63" s="496">
        <f>E63</f>
        <v>0.11</v>
      </c>
    </row>
    <row r="64" spans="1:3695" s="14" customFormat="1" ht="15" outlineLevel="1">
      <c r="A64" s="246" t="s">
        <v>950</v>
      </c>
      <c r="B64" s="246" t="s">
        <v>382</v>
      </c>
      <c r="C64" s="247" t="s">
        <v>233</v>
      </c>
      <c r="D64" s="247" t="s">
        <v>245</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49"/>
        <v>1.4101919484397353E-2</v>
      </c>
      <c r="AG64" s="63">
        <f t="shared" si="43"/>
        <v>1.3425387898391757E-2</v>
      </c>
      <c r="AH64" s="63">
        <f t="shared" si="44"/>
        <v>6.7488563123861579E-3</v>
      </c>
      <c r="AI64" s="63">
        <f t="shared" si="45"/>
        <v>6.0723247263805621E-3</v>
      </c>
      <c r="AJ64" s="63">
        <f t="shared" si="46"/>
        <v>2.3957931403749654E-3</v>
      </c>
      <c r="AK64" s="63">
        <f t="shared" si="47"/>
        <v>8.9579314037496402E-4</v>
      </c>
      <c r="AL64" s="63">
        <f t="shared" si="48"/>
        <v>0</v>
      </c>
      <c r="AM64"/>
      <c r="AN64"/>
      <c r="AO64" s="179" t="s">
        <v>484</v>
      </c>
      <c r="AP64" s="496">
        <f>E64</f>
        <v>0.11</v>
      </c>
      <c r="AQ64"/>
      <c r="AR64"/>
      <c r="AS64"/>
      <c r="AT64"/>
      <c r="AU64"/>
      <c r="AV64"/>
      <c r="AW64"/>
      <c r="AX64"/>
      <c r="AY64"/>
      <c r="AZ64"/>
      <c r="BA64"/>
      <c r="BB64"/>
      <c r="BC64"/>
      <c r="BD64"/>
    </row>
    <row r="65" spans="1:3695" ht="15" outlineLevel="1">
      <c r="A65" s="108" t="s">
        <v>951</v>
      </c>
      <c r="B65" s="30" t="s">
        <v>337</v>
      </c>
      <c r="C65" s="43" t="s">
        <v>230</v>
      </c>
      <c r="D65" s="43" t="s">
        <v>245</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49"/>
        <v>7.7607304445809738E-2</v>
      </c>
      <c r="AG65" s="63">
        <f t="shared" si="43"/>
        <v>7.6135795527850297E-2</v>
      </c>
      <c r="AH65" s="63">
        <f t="shared" si="44"/>
        <v>6.8664286609890865E-2</v>
      </c>
      <c r="AI65" s="63">
        <f t="shared" si="45"/>
        <v>6.7192777691931424E-2</v>
      </c>
      <c r="AJ65" s="63">
        <f t="shared" si="46"/>
        <v>6.272126877397198E-2</v>
      </c>
      <c r="AK65" s="63">
        <f t="shared" si="47"/>
        <v>6.1221268773971979E-2</v>
      </c>
      <c r="AL65" s="63">
        <f t="shared" si="48"/>
        <v>5.8721268773971977E-2</v>
      </c>
      <c r="AO65" s="179" t="s">
        <v>484</v>
      </c>
      <c r="AP65" s="496">
        <f>E65</f>
        <v>0.61</v>
      </c>
    </row>
    <row r="66" spans="1:3695" s="191" customFormat="1" ht="15" outlineLevel="1">
      <c r="A66" s="524" t="s">
        <v>927</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0">SUM(W61:W65)</f>
        <v>1.0259169059622162</v>
      </c>
      <c r="X66" s="532">
        <f t="shared" si="50"/>
        <v>1.0193553548231169</v>
      </c>
      <c r="Y66" s="532">
        <f t="shared" si="50"/>
        <v>1.0197938036840177</v>
      </c>
      <c r="Z66" s="532">
        <f t="shared" si="50"/>
        <v>1.0347322525449183</v>
      </c>
      <c r="AA66" s="532">
        <f t="shared" si="50"/>
        <v>1.0446707014058192</v>
      </c>
      <c r="AB66" s="532">
        <f t="shared" si="50"/>
        <v>1.0846707014058192</v>
      </c>
      <c r="AC66" s="532">
        <f t="shared" si="50"/>
        <v>1.1646707014058191</v>
      </c>
      <c r="AD66" s="532"/>
      <c r="AE66" s="533">
        <f t="shared" ref="AE66:AL66" si="51">SUM(AE61:AE65)</f>
        <v>0.99950000000000028</v>
      </c>
      <c r="AF66" s="533">
        <f t="shared" si="51"/>
        <v>0.99876845571751804</v>
      </c>
      <c r="AG66" s="533">
        <f t="shared" si="51"/>
        <v>0.99817101550827203</v>
      </c>
      <c r="AH66" s="533">
        <f t="shared" si="51"/>
        <v>0.97207357529902594</v>
      </c>
      <c r="AI66" s="533">
        <f t="shared" si="51"/>
        <v>0.97097613508977976</v>
      </c>
      <c r="AJ66" s="533">
        <f t="shared" si="51"/>
        <v>0.95687869488053379</v>
      </c>
      <c r="AK66" s="533">
        <f t="shared" si="51"/>
        <v>0.95087869488053367</v>
      </c>
      <c r="AL66" s="533">
        <f t="shared" si="51"/>
        <v>0.94248290174015881</v>
      </c>
    </row>
    <row r="67" spans="1:3695" s="232" customFormat="1" ht="15">
      <c r="A67" s="537" t="s">
        <v>952</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953</v>
      </c>
      <c r="B68" s="30" t="s">
        <v>338</v>
      </c>
      <c r="C68" s="43" t="s">
        <v>229</v>
      </c>
      <c r="D68" s="43" t="s">
        <v>246</v>
      </c>
      <c r="E68" s="494">
        <f>INDEX('Electrical efficiency'!$L$8:$L$23,MATCH(RES!D68,'Electrical efficiency'!$K$8:$K$23,0))</f>
        <v>0.4</v>
      </c>
      <c r="F68" s="557">
        <v>1</v>
      </c>
      <c r="G68" s="557">
        <v>1</v>
      </c>
      <c r="H68" s="557">
        <f>N68/F68*(1+$D$31)</f>
        <v>4.2534030449104945</v>
      </c>
      <c r="I68" s="576">
        <v>1E-3</v>
      </c>
      <c r="J68" s="486">
        <v>0</v>
      </c>
      <c r="K68" s="48" t="s">
        <v>889</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0.85106382978723405</v>
      </c>
      <c r="R68" s="360">
        <f>INDEX('Electrical efficiency'!$O$8:$O$23,MATCH(RES!D68,'Electrical efficiency'!$K$8:$K$23,0))</f>
        <v>1.0256410256410255</v>
      </c>
      <c r="S68" s="360">
        <f>INDEX('Electrical efficiency'!$P$8:$P$23,MATCH(RES!D68,'Electrical efficiency'!$K$8:$K$23,0))</f>
        <v>1.0256410256410255</v>
      </c>
      <c r="T68" s="203"/>
      <c r="U68" s="50"/>
      <c r="V68" s="50">
        <f>(IFERROR(IF(N68/(SUMIF(RES!$D$39:$D$145,D68,$N$39:$N$145))=1,1,(N68/(SUMIF(RES!$D$39:$D$145,D68,$N$39:$N$145))+#REF!)),0))</f>
        <v>1</v>
      </c>
      <c r="W68" s="50">
        <f>V68</f>
        <v>1</v>
      </c>
      <c r="X68" s="50">
        <f t="shared" ref="X68:AC68" si="52">W68</f>
        <v>1</v>
      </c>
      <c r="Y68" s="50">
        <f t="shared" si="52"/>
        <v>1</v>
      </c>
      <c r="Z68" s="50">
        <f t="shared" si="52"/>
        <v>1</v>
      </c>
      <c r="AA68" s="50">
        <f t="shared" si="52"/>
        <v>1</v>
      </c>
      <c r="AB68" s="50">
        <f t="shared" si="52"/>
        <v>1</v>
      </c>
      <c r="AC68" s="50">
        <f t="shared" si="52"/>
        <v>1</v>
      </c>
      <c r="AD68" s="50"/>
      <c r="AE68" s="272">
        <f>(IFERROR(IF($N68/(SUMIF(RES!$D$39:$D$145,$D68,$N$39:$N$145))=1,1,($N68/(SUMIF(RES!$D$39:$D$145,$D68,$N$39:$N$145))-$AE$28)),0))</f>
        <v>1</v>
      </c>
      <c r="AF68" s="50">
        <f>AE68</f>
        <v>1</v>
      </c>
      <c r="AG68" s="50">
        <f t="shared" ref="AG68:AL68" si="53">AF68</f>
        <v>1</v>
      </c>
      <c r="AH68" s="50">
        <f t="shared" si="53"/>
        <v>1</v>
      </c>
      <c r="AI68" s="50">
        <f t="shared" si="53"/>
        <v>1</v>
      </c>
      <c r="AJ68" s="50">
        <f t="shared" si="53"/>
        <v>1</v>
      </c>
      <c r="AK68" s="50">
        <f t="shared" si="53"/>
        <v>1</v>
      </c>
      <c r="AL68" s="50">
        <f t="shared" si="53"/>
        <v>1</v>
      </c>
      <c r="AM68"/>
      <c r="AN68"/>
      <c r="AO68" s="249" t="s">
        <v>110</v>
      </c>
      <c r="AP68" s="496">
        <f>E68</f>
        <v>0.4</v>
      </c>
      <c r="AQ68"/>
      <c r="AR68"/>
      <c r="AS68"/>
      <c r="AT68"/>
      <c r="AU68"/>
      <c r="AV68"/>
      <c r="AW68"/>
      <c r="AX68"/>
      <c r="AY68"/>
      <c r="AZ68"/>
      <c r="BA68"/>
      <c r="BB68"/>
      <c r="BC68"/>
      <c r="BD68"/>
    </row>
    <row r="69" spans="1:3695" s="191" customFormat="1" ht="15" outlineLevel="1">
      <c r="A69" s="524" t="s">
        <v>927</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954</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955</v>
      </c>
      <c r="B71" s="30" t="s">
        <v>339</v>
      </c>
      <c r="C71" s="43" t="s">
        <v>229</v>
      </c>
      <c r="D71" s="43" t="s">
        <v>247</v>
      </c>
      <c r="E71" s="494">
        <f>INDEX('Electrical efficiency'!$L$8:$L$23,MATCH(RES!D71,'Electrical efficiency'!$K$8:$K$23,0))</f>
        <v>0.8</v>
      </c>
      <c r="F71" s="557">
        <v>1</v>
      </c>
      <c r="G71" s="557">
        <v>1</v>
      </c>
      <c r="H71" s="557">
        <f>N71/F71*(1+$D$31)</f>
        <v>5.7452488569507176</v>
      </c>
      <c r="I71" s="576">
        <v>1E-3</v>
      </c>
      <c r="J71" s="486">
        <v>0</v>
      </c>
      <c r="K71" s="48" t="s">
        <v>889</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0.89887640449438211</v>
      </c>
      <c r="R71" s="360">
        <f>INDEX('Electrical efficiency'!$O$8:$O$23,MATCH(RES!D71,'Electrical efficiency'!$K$8:$K$23,0))</f>
        <v>1.1764705882352942</v>
      </c>
      <c r="S71" s="360">
        <f>INDEX('Electrical efficiency'!$P$8:$P$23,MATCH(RES!D71,'Electrical efficiency'!$K$8:$K$23,0))</f>
        <v>1.1764705882352942</v>
      </c>
      <c r="T71" s="203"/>
      <c r="U71" s="50"/>
      <c r="V71" s="50">
        <f>(IFERROR(IF(N71/(SUMIF(RES!$D$39:$D$145,D71,$N$39:$N$145))=1,1,(N71/(SUMIF(RES!$D$39:$D$145,D71,$N$39:$N$145))+#REF!)),0))</f>
        <v>1</v>
      </c>
      <c r="W71" s="50">
        <f>V71</f>
        <v>1</v>
      </c>
      <c r="X71" s="50">
        <f t="shared" ref="X71:AC71" si="54">W71</f>
        <v>1</v>
      </c>
      <c r="Y71" s="50">
        <f t="shared" si="54"/>
        <v>1</v>
      </c>
      <c r="Z71" s="50">
        <f t="shared" si="54"/>
        <v>1</v>
      </c>
      <c r="AA71" s="50">
        <f t="shared" si="54"/>
        <v>1</v>
      </c>
      <c r="AB71" s="50">
        <f t="shared" si="54"/>
        <v>1</v>
      </c>
      <c r="AC71" s="50">
        <f t="shared" si="54"/>
        <v>1</v>
      </c>
      <c r="AD71" s="50"/>
      <c r="AE71" s="272">
        <f>(IFERROR(IF($N71/(SUMIF(RES!$D$39:$D$145,$D71,$N$39:$N$145))=1,1,($N71/(SUMIF(RES!$D$39:$D$145,$D71,$N$39:$N$145))-$AE$28)),0))</f>
        <v>1</v>
      </c>
      <c r="AF71" s="50">
        <f>AE71</f>
        <v>1</v>
      </c>
      <c r="AG71" s="50">
        <f t="shared" ref="AG71:AL71" si="55">AF71</f>
        <v>1</v>
      </c>
      <c r="AH71" s="50">
        <f t="shared" si="55"/>
        <v>1</v>
      </c>
      <c r="AI71" s="50">
        <f t="shared" si="55"/>
        <v>1</v>
      </c>
      <c r="AJ71" s="50">
        <f t="shared" si="55"/>
        <v>1</v>
      </c>
      <c r="AK71" s="50">
        <f t="shared" si="55"/>
        <v>1</v>
      </c>
      <c r="AL71" s="50">
        <f t="shared" si="55"/>
        <v>1</v>
      </c>
      <c r="AM71"/>
      <c r="AN71"/>
      <c r="AO71" s="249" t="s">
        <v>110</v>
      </c>
      <c r="AP71" s="496">
        <f>E71</f>
        <v>0.8</v>
      </c>
      <c r="AQ71"/>
      <c r="AR71"/>
      <c r="AS71"/>
      <c r="AT71"/>
      <c r="AU71"/>
      <c r="AV71"/>
      <c r="AW71"/>
      <c r="AX71"/>
      <c r="AY71"/>
      <c r="AZ71"/>
      <c r="BA71"/>
      <c r="BB71"/>
      <c r="BC71"/>
      <c r="BD71"/>
    </row>
    <row r="72" spans="1:3695" ht="15" outlineLevel="1">
      <c r="A72" s="108" t="s">
        <v>956</v>
      </c>
      <c r="B72" s="30" t="s">
        <v>340</v>
      </c>
      <c r="C72" s="43" t="s">
        <v>231</v>
      </c>
      <c r="D72" s="43" t="s">
        <v>287</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 outlineLevel="1">
      <c r="A73" s="524" t="s">
        <v>927</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957</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958</v>
      </c>
      <c r="B75" s="30" t="s">
        <v>341</v>
      </c>
      <c r="C75" s="43" t="s">
        <v>229</v>
      </c>
      <c r="D75" s="43" t="s">
        <v>248</v>
      </c>
      <c r="E75" s="557">
        <f>INDEX(Lighting!$V$25:$V$35,MATCH(RES!D75,Lighting!$E$25:$E$35,0))</f>
        <v>3.5618185364705877</v>
      </c>
      <c r="F75" s="557">
        <v>1</v>
      </c>
      <c r="G75" s="557">
        <v>1</v>
      </c>
      <c r="H75" s="557">
        <f>N75/F75*(1+$D$31)</f>
        <v>15.628932465325461</v>
      </c>
      <c r="I75" s="576">
        <v>1E-3</v>
      </c>
      <c r="J75" s="486">
        <v>0</v>
      </c>
      <c r="K75" s="48" t="s">
        <v>430</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Q39</f>
        <v>5.3019294117647053</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56">W75</f>
        <v>1</v>
      </c>
      <c r="Y75" s="50">
        <f t="shared" si="56"/>
        <v>1</v>
      </c>
      <c r="Z75" s="50">
        <f t="shared" si="56"/>
        <v>1</v>
      </c>
      <c r="AA75" s="50">
        <f t="shared" si="56"/>
        <v>1</v>
      </c>
      <c r="AB75" s="50">
        <f t="shared" si="56"/>
        <v>1</v>
      </c>
      <c r="AC75" s="50">
        <f t="shared" si="56"/>
        <v>1</v>
      </c>
      <c r="AD75" s="50"/>
      <c r="AE75" s="272">
        <f>(IFERROR(IF($N75/(SUMIF(RES!$D$39:$D$145,$D75,$N$39:$N$145))=1,1,($N75/(SUMIF(RES!$D$39:$D$145,$D75,$N$39:$N$145))-$AE$28)),0))</f>
        <v>1</v>
      </c>
      <c r="AF75" s="50">
        <f>AE75</f>
        <v>1</v>
      </c>
      <c r="AG75" s="50">
        <f t="shared" ref="AG75:AL76" si="57">AF75</f>
        <v>1</v>
      </c>
      <c r="AH75" s="50">
        <f t="shared" si="57"/>
        <v>1</v>
      </c>
      <c r="AI75" s="50">
        <f t="shared" si="57"/>
        <v>1</v>
      </c>
      <c r="AJ75" s="50">
        <f t="shared" si="57"/>
        <v>1</v>
      </c>
      <c r="AK75" s="50">
        <f t="shared" si="57"/>
        <v>1</v>
      </c>
      <c r="AL75" s="50">
        <f t="shared" si="57"/>
        <v>1</v>
      </c>
      <c r="AM75"/>
      <c r="AN75"/>
      <c r="AO75" s="169" t="s">
        <v>484</v>
      </c>
      <c r="AP75" s="496">
        <f>E75</f>
        <v>3.5618185364705877</v>
      </c>
      <c r="AQ75"/>
      <c r="AR75"/>
      <c r="AS75"/>
      <c r="AT75"/>
      <c r="AU75"/>
      <c r="AV75"/>
      <c r="AW75"/>
      <c r="AX75"/>
      <c r="AY75"/>
      <c r="AZ75"/>
      <c r="BA75"/>
      <c r="BB75"/>
      <c r="BC75"/>
      <c r="BD75"/>
    </row>
    <row r="76" spans="1:3695" s="165" customFormat="1" ht="15" outlineLevel="2">
      <c r="A76" s="246" t="s">
        <v>1063</v>
      </c>
      <c r="B76" s="30" t="s">
        <v>823</v>
      </c>
      <c r="C76" s="43" t="s">
        <v>231</v>
      </c>
      <c r="D76" s="43" t="s">
        <v>271</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56"/>
        <v>1</v>
      </c>
      <c r="Y76" s="50">
        <f t="shared" si="56"/>
        <v>1</v>
      </c>
      <c r="Z76" s="50">
        <f t="shared" si="56"/>
        <v>1</v>
      </c>
      <c r="AA76" s="50">
        <f t="shared" si="56"/>
        <v>1</v>
      </c>
      <c r="AB76" s="50">
        <f t="shared" si="56"/>
        <v>1</v>
      </c>
      <c r="AC76" s="50">
        <f t="shared" si="56"/>
        <v>1</v>
      </c>
      <c r="AD76" s="50"/>
      <c r="AE76" s="272">
        <f>(IFERROR(IF($N76/(SUMIF(RES!$D$39:$D$145,$D76,$N$39:$N$145))=1,1,($N76/(SUMIF(RES!$D$39:$D$145,$D76,$N$39:$N$145))-$AE$28)),0))</f>
        <v>1</v>
      </c>
      <c r="AF76" s="50">
        <f>AE76</f>
        <v>1</v>
      </c>
      <c r="AG76" s="50">
        <f t="shared" si="57"/>
        <v>1</v>
      </c>
      <c r="AH76" s="50">
        <f t="shared" si="57"/>
        <v>1</v>
      </c>
      <c r="AI76" s="50">
        <f t="shared" si="57"/>
        <v>1</v>
      </c>
      <c r="AJ76" s="50">
        <f t="shared" si="57"/>
        <v>1</v>
      </c>
      <c r="AK76" s="50">
        <f t="shared" si="57"/>
        <v>1</v>
      </c>
      <c r="AL76" s="50">
        <f t="shared" si="57"/>
        <v>1</v>
      </c>
      <c r="AM76"/>
      <c r="AN76"/>
      <c r="AO76" s="165" t="s">
        <v>484</v>
      </c>
      <c r="AP76" s="496">
        <f>E76</f>
        <v>0.1</v>
      </c>
      <c r="AQ76"/>
      <c r="AR76"/>
      <c r="AS76"/>
      <c r="AT76"/>
      <c r="AU76"/>
      <c r="AV76"/>
      <c r="AW76"/>
      <c r="AX76"/>
      <c r="AY76"/>
      <c r="AZ76"/>
      <c r="BA76"/>
      <c r="BB76"/>
      <c r="BC76"/>
      <c r="BD76"/>
    </row>
    <row r="77" spans="1:3695" s="191" customFormat="1" ht="15" outlineLevel="1">
      <c r="A77" s="524" t="s">
        <v>927</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959</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960</v>
      </c>
      <c r="B79" s="30" t="s">
        <v>342</v>
      </c>
      <c r="C79" s="43" t="s">
        <v>229</v>
      </c>
      <c r="D79" s="43" t="s">
        <v>249</v>
      </c>
      <c r="E79" s="494">
        <f>INDEX('Electrical efficiency'!$L$8:$L$23,MATCH(RES!D79,'Electrical efficiency'!$K$8:$K$23,0))</f>
        <v>0.65</v>
      </c>
      <c r="F79" s="557">
        <v>1</v>
      </c>
      <c r="G79" s="557">
        <v>1</v>
      </c>
      <c r="H79" s="557">
        <f t="shared" ref="H79:H84" si="58">N79/F79*(1+$D$31)</f>
        <v>5.2406632768239696</v>
      </c>
      <c r="I79" s="576">
        <v>1E-3</v>
      </c>
      <c r="J79" s="486">
        <v>0</v>
      </c>
      <c r="K79" s="48" t="s">
        <v>889</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0.73863636363636376</v>
      </c>
      <c r="R79" s="360">
        <f>INDEX('Electrical efficiency'!$O$8:$O$23,MATCH(RES!D79,'Electrical efficiency'!$K$8:$K$23,0))</f>
        <v>0.80246913580246915</v>
      </c>
      <c r="S79" s="360">
        <f>INDEX('Electrical efficiency'!$P$8:$P$23,MATCH(RES!D79,'Electrical efficiency'!$K$8:$K$23,0))</f>
        <v>0.80246913580246915</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2011_17'!D$20)+Y$28,1)</f>
        <v>0.57001315661241625</v>
      </c>
      <c r="Z79" s="63">
        <f>IF($V79*(1+'Census 2011_17'!E$20)+Z$28&lt;1,$V79*(1+'Census 2011_17'!E$20)+Z$28,1)</f>
        <v>0.60369001415984036</v>
      </c>
      <c r="AA79" s="63">
        <f>IF($V79*(1+'Census 2011_17'!F$20)+AA$28&lt;1,$V79*(1+'Census 2011_17'!F$20)+AA$28,1)</f>
        <v>0.64036687170726436</v>
      </c>
      <c r="AB79" s="63">
        <f>IF($V79*(1+'Census 2011_17'!G$20)+AB$28&lt;1,$V79*(1+'Census 2011_17'!G$20)+AB$28,1)</f>
        <v>0.68036687170726429</v>
      </c>
      <c r="AC79" s="63">
        <f>IF($V79*(1+'Census 2011_17'!H$20)+AC$28&lt;1,$V79*(1+'Census 2011_17'!H$20)+AC$28,1)</f>
        <v>0.76036687170726436</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110</v>
      </c>
      <c r="AP79" s="496">
        <f t="shared" ref="AP79:AP84" si="59">E79</f>
        <v>0.65</v>
      </c>
    </row>
    <row r="80" spans="1:3695" s="35" customFormat="1" ht="15" outlineLevel="1">
      <c r="A80" s="108" t="s">
        <v>961</v>
      </c>
      <c r="B80" s="30" t="s">
        <v>343</v>
      </c>
      <c r="C80" s="43" t="s">
        <v>230</v>
      </c>
      <c r="D80" s="43" t="s">
        <v>249</v>
      </c>
      <c r="E80" s="486">
        <v>0.61</v>
      </c>
      <c r="F80" s="557">
        <v>1</v>
      </c>
      <c r="G80" s="557">
        <v>1</v>
      </c>
      <c r="H80" s="557">
        <f t="shared" si="58"/>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0">IF(W80-AF$29&lt;0,0,W80-AF$29)</f>
        <v>3.3633940416887081E-2</v>
      </c>
      <c r="AG80" s="63">
        <f t="shared" ref="AG80:AG83" si="61">IF(X80-AG$29&lt;0,0,X80-AG$29)</f>
        <v>3.193115326297475E-2</v>
      </c>
      <c r="AH80" s="63">
        <f t="shared" ref="AH80:AH83" si="62">IF(Y80-AH$29&lt;0,0,Y80-AH$29)</f>
        <v>2.4228366109062413E-2</v>
      </c>
      <c r="AI80" s="63">
        <f t="shared" ref="AI80:AI83" si="63">IF(Z80-AI$29&lt;0,0,Z80-AI$29)</f>
        <v>2.2525578955150082E-2</v>
      </c>
      <c r="AJ80" s="609">
        <f>AI80*0.5</f>
        <v>1.1262789477575041E-2</v>
      </c>
      <c r="AK80" s="609">
        <f>AJ80*0.5</f>
        <v>5.6313947387875204E-3</v>
      </c>
      <c r="AL80" s="609">
        <v>0</v>
      </c>
      <c r="AM80"/>
      <c r="AN80"/>
      <c r="AO80" s="21" t="s">
        <v>484</v>
      </c>
      <c r="AP80" s="496">
        <f t="shared" si="59"/>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962</v>
      </c>
      <c r="B81" s="30" t="s">
        <v>344</v>
      </c>
      <c r="C81" s="43" t="s">
        <v>232</v>
      </c>
      <c r="D81" s="43" t="s">
        <v>249</v>
      </c>
      <c r="E81" s="486">
        <v>0.26</v>
      </c>
      <c r="F81" s="557">
        <v>1</v>
      </c>
      <c r="G81" s="557">
        <v>1</v>
      </c>
      <c r="H81" s="557">
        <f t="shared" si="58"/>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0"/>
        <v>0.41021719692478747</v>
      </c>
      <c r="AG81" s="63">
        <f t="shared" si="61"/>
        <v>0.39504737326870082</v>
      </c>
      <c r="AH81" s="63">
        <f t="shared" si="62"/>
        <v>0.3738775496126141</v>
      </c>
      <c r="AI81" s="63">
        <f t="shared" si="63"/>
        <v>0.35870772595652739</v>
      </c>
      <c r="AJ81" s="63">
        <f t="shared" ref="AJ81:AJ83" si="64">IF(AA81-AJ$29&lt;0,0,AA81-AJ$29)</f>
        <v>0.34053790230044068</v>
      </c>
      <c r="AK81" s="63">
        <f t="shared" ref="AK81:AK83" si="65">IF(AB81-AK$29&lt;0,0,AB81-AK$29)</f>
        <v>0.33903790230044067</v>
      </c>
      <c r="AL81" s="63">
        <f t="shared" ref="AL81:AL83" si="66">IF(AC81-AL$29&lt;0,0,AC81-AL$29)</f>
        <v>0.33653790230044067</v>
      </c>
      <c r="AO81" s="249" t="s">
        <v>110</v>
      </c>
      <c r="AP81" s="496">
        <f t="shared" si="59"/>
        <v>0.26</v>
      </c>
    </row>
    <row r="82" spans="1:56" ht="15" outlineLevel="1">
      <c r="A82" s="108" t="s">
        <v>963</v>
      </c>
      <c r="B82" s="30" t="s">
        <v>383</v>
      </c>
      <c r="C82" s="43" t="s">
        <v>233</v>
      </c>
      <c r="D82" s="43" t="s">
        <v>249</v>
      </c>
      <c r="E82" s="486">
        <v>0.11</v>
      </c>
      <c r="F82" s="557">
        <v>1</v>
      </c>
      <c r="G82" s="557">
        <v>1</v>
      </c>
      <c r="H82" s="557">
        <f t="shared" si="58"/>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0"/>
        <v>1.7882017796084691E-2</v>
      </c>
      <c r="AG82" s="63">
        <f t="shared" si="61"/>
        <v>1.6742536931678941E-2</v>
      </c>
      <c r="AH82" s="63">
        <f t="shared" si="62"/>
        <v>9.6030560672731909E-3</v>
      </c>
      <c r="AI82" s="63">
        <f t="shared" si="63"/>
        <v>8.4635752028674408E-3</v>
      </c>
      <c r="AJ82" s="609">
        <f>AI82*0.5</f>
        <v>4.2317876014337204E-3</v>
      </c>
      <c r="AK82" s="609">
        <f>AJ82*0.5</f>
        <v>2.1158938007168602E-3</v>
      </c>
      <c r="AL82" s="609">
        <v>0</v>
      </c>
      <c r="AO82" s="249" t="s">
        <v>110</v>
      </c>
      <c r="AP82" s="496">
        <f t="shared" si="59"/>
        <v>0.11</v>
      </c>
    </row>
    <row r="83" spans="1:56" s="165" customFormat="1" ht="15" outlineLevel="1">
      <c r="A83" s="108" t="s">
        <v>964</v>
      </c>
      <c r="B83" s="30" t="s">
        <v>345</v>
      </c>
      <c r="C83" s="43" t="s">
        <v>231</v>
      </c>
      <c r="D83" s="43" t="s">
        <v>249</v>
      </c>
      <c r="E83" s="486">
        <v>0.44</v>
      </c>
      <c r="F83" s="557">
        <v>1</v>
      </c>
      <c r="G83" s="557">
        <v>1</v>
      </c>
      <c r="H83" s="557">
        <f t="shared" si="58"/>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0"/>
        <v>9.3771327206413624E-3</v>
      </c>
      <c r="AG83" s="63">
        <f t="shared" si="61"/>
        <v>8.5417960150064934E-3</v>
      </c>
      <c r="AH83" s="63">
        <f t="shared" si="62"/>
        <v>1.7064593093716208E-3</v>
      </c>
      <c r="AI83" s="63">
        <f t="shared" si="63"/>
        <v>8.7112260373675005E-4</v>
      </c>
      <c r="AJ83" s="63">
        <f t="shared" si="64"/>
        <v>0</v>
      </c>
      <c r="AK83" s="63">
        <f t="shared" si="65"/>
        <v>0</v>
      </c>
      <c r="AL83" s="63">
        <f t="shared" si="66"/>
        <v>0</v>
      </c>
      <c r="AM83"/>
      <c r="AN83"/>
      <c r="AO83" s="169" t="s">
        <v>484</v>
      </c>
      <c r="AP83" s="496">
        <f t="shared" si="59"/>
        <v>0.44</v>
      </c>
      <c r="AQ83"/>
      <c r="AR83"/>
      <c r="AS83"/>
      <c r="AT83"/>
      <c r="AU83"/>
      <c r="AV83"/>
      <c r="AW83"/>
      <c r="AX83"/>
      <c r="AY83"/>
      <c r="AZ83"/>
      <c r="BA83"/>
      <c r="BB83"/>
      <c r="BC83"/>
      <c r="BD83"/>
    </row>
    <row r="84" spans="1:56" ht="15" outlineLevel="1">
      <c r="A84" s="108" t="s">
        <v>965</v>
      </c>
      <c r="B84" s="30" t="s">
        <v>346</v>
      </c>
      <c r="C84" s="43" t="s">
        <v>161</v>
      </c>
      <c r="D84" s="43" t="s">
        <v>249</v>
      </c>
      <c r="E84" s="486">
        <v>0.9</v>
      </c>
      <c r="F84" s="557">
        <v>1</v>
      </c>
      <c r="G84" s="557">
        <v>1</v>
      </c>
      <c r="H84" s="557">
        <f t="shared" si="58"/>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8.1174551386623162E-2</v>
      </c>
      <c r="AC84" s="63">
        <f>IF($V84*(1+'Census 2011_17'!H$20)+AC$28&lt;1,$V84*(1+'Census 2011_17'!H$20)+AC$28,1)</f>
        <v>0.16117455138662318</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484</v>
      </c>
      <c r="AP84" s="496">
        <f t="shared" si="59"/>
        <v>0.9</v>
      </c>
    </row>
    <row r="85" spans="1:56" s="191" customFormat="1" ht="15" outlineLevel="1">
      <c r="A85" s="524" t="s">
        <v>927</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67">SUM(W79:W84)</f>
        <v>1.0278137750529674</v>
      </c>
      <c r="X85" s="533">
        <f t="shared" si="67"/>
        <v>1.0226758306477579</v>
      </c>
      <c r="Y85" s="533">
        <f>SUM(Y79:Y84)</f>
        <v>1.0235378862425484</v>
      </c>
      <c r="Z85" s="533">
        <f t="shared" si="67"/>
        <v>1.0553999418373392</v>
      </c>
      <c r="AA85" s="533">
        <f t="shared" si="67"/>
        <v>1.0852619974321294</v>
      </c>
      <c r="AB85" s="533">
        <f t="shared" si="67"/>
        <v>1.1652619974321294</v>
      </c>
      <c r="AC85" s="533">
        <f t="shared" si="67"/>
        <v>1.3252619974321296</v>
      </c>
      <c r="AD85" s="532"/>
      <c r="AE85" s="533">
        <f>SUM(AE79:AE84)</f>
        <v>0.99949999999999994</v>
      </c>
      <c r="AF85" s="533">
        <f t="shared" ref="AF85:AL85" si="68">SUM(AF79:AF84)</f>
        <v>0.99862127913127063</v>
      </c>
      <c r="AG85" s="533">
        <f t="shared" si="68"/>
        <v>0.99791481922850833</v>
      </c>
      <c r="AH85" s="533">
        <f t="shared" si="68"/>
        <v>0.97170835932574584</v>
      </c>
      <c r="AI85" s="533">
        <f t="shared" si="68"/>
        <v>0.97050189942298348</v>
      </c>
      <c r="AJ85" s="533">
        <f t="shared" si="68"/>
        <v>0.95260734456142837</v>
      </c>
      <c r="AK85" s="533">
        <f t="shared" si="68"/>
        <v>0.94336005602192397</v>
      </c>
      <c r="AL85" s="533">
        <f t="shared" si="68"/>
        <v>0.93311276748241956</v>
      </c>
      <c r="AO85" s="534"/>
    </row>
    <row r="86" spans="1:56" s="232" customFormat="1" ht="15">
      <c r="A86" s="537" t="s">
        <v>966</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outlineLevel="1">
      <c r="A87" s="108" t="s">
        <v>967</v>
      </c>
      <c r="B87" s="30" t="s">
        <v>347</v>
      </c>
      <c r="C87" s="43" t="s">
        <v>229</v>
      </c>
      <c r="D87" s="43" t="s">
        <v>250</v>
      </c>
      <c r="E87" s="494">
        <f>INDEX('Electrical efficiency'!$L$8:$L$23,MATCH(RES!D87,'Electrical efficiency'!$K$8:$K$23,0))</f>
        <v>0.94750000000000012</v>
      </c>
      <c r="F87" s="557">
        <v>1</v>
      </c>
      <c r="G87" s="557">
        <v>1</v>
      </c>
      <c r="H87" s="557">
        <f t="shared" ref="H87:H92" si="69">N87/F87*(1+$D$31)</f>
        <v>1.4109555294828153</v>
      </c>
      <c r="I87" s="576">
        <v>1E-3</v>
      </c>
      <c r="J87" s="486">
        <v>0</v>
      </c>
      <c r="K87" s="48" t="s">
        <v>889</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0.95707070707070729</v>
      </c>
      <c r="R87" s="360">
        <f>INDEX('Electrical efficiency'!$O$8:$O$23,MATCH(RES!D87,'Electrical efficiency'!$K$8:$K$23,0))</f>
        <v>0.99736842105263168</v>
      </c>
      <c r="S87" s="360">
        <f>INDEX('Electrical efficiency'!$P$8:$P$23,MATCH(RES!D87,'Electrical efficiency'!$K$8:$K$23,0))</f>
        <v>0.99736842105263168</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3">
        <f>IF($V87*(1+'Census 2011_17'!F$20)+AA$28&lt;1,$V87*(1+'Census 2011_17'!F$20)+AA$28,1)</f>
        <v>0.21233810417823454</v>
      </c>
      <c r="AB87" s="63">
        <f>IF($V87*(1+'Census 2011_17'!G$20)+AB$28&lt;1,$V87*(1+'Census 2011_17'!G$20)+AB$28,1)</f>
        <v>0.25233810417823455</v>
      </c>
      <c r="AC87" s="63">
        <f>IF($V87*(1+'Census 2011_17'!H$20)+AC$28&lt;1,$V87*(1+'Census 2011_17'!H$20)+AC$28,1)</f>
        <v>0.33233810417823451</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484</v>
      </c>
      <c r="AP87" s="496">
        <f t="shared" ref="AP87:AP92" si="70">E87</f>
        <v>0.94750000000000012</v>
      </c>
      <c r="AQ87"/>
      <c r="AR87"/>
      <c r="AS87"/>
      <c r="AT87"/>
      <c r="AU87"/>
      <c r="AV87"/>
      <c r="AW87"/>
      <c r="AX87"/>
      <c r="AY87"/>
      <c r="AZ87"/>
      <c r="BA87"/>
      <c r="BB87"/>
      <c r="BC87"/>
      <c r="BD87"/>
    </row>
    <row r="88" spans="1:56" ht="15" outlineLevel="1">
      <c r="A88" s="108" t="s">
        <v>968</v>
      </c>
      <c r="B88" s="30" t="s">
        <v>348</v>
      </c>
      <c r="C88" s="43" t="s">
        <v>231</v>
      </c>
      <c r="D88" s="43" t="s">
        <v>250</v>
      </c>
      <c r="E88" s="486">
        <v>0.73</v>
      </c>
      <c r="F88" s="557">
        <v>1</v>
      </c>
      <c r="G88" s="557">
        <v>1</v>
      </c>
      <c r="H88" s="557">
        <f t="shared" si="69"/>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89" si="71">IF(W88-AF$29&lt;0,0,W88-AF$29)</f>
        <v>4.6160972192142415E-2</v>
      </c>
      <c r="AG88" s="63">
        <f t="shared" ref="AG88:AG89" si="72">IF(X88-AG$29&lt;0,0,X88-AG$29)</f>
        <v>4.540001607311199E-2</v>
      </c>
      <c r="AH88" s="63">
        <f t="shared" ref="AH88:AH89" si="73">IF(Y88-AH$29&lt;0,0,Y88-AH$29)</f>
        <v>3.8639059954081567E-2</v>
      </c>
      <c r="AI88" s="63">
        <f t="shared" ref="AI88:AI89" si="74">IF(Z88-AI$29&lt;0,0,Z88-AI$29)</f>
        <v>3.7878103835051143E-2</v>
      </c>
      <c r="AJ88" s="609">
        <f>AI88*0.5</f>
        <v>1.8939051917525571E-2</v>
      </c>
      <c r="AK88" s="609">
        <f>AJ88*0.5</f>
        <v>9.4695259587627856E-3</v>
      </c>
      <c r="AL88" s="609">
        <v>0</v>
      </c>
      <c r="AO88" s="179" t="s">
        <v>484</v>
      </c>
      <c r="AP88" s="496">
        <f t="shared" si="70"/>
        <v>0.73</v>
      </c>
      <c r="AR88" s="1" t="s">
        <v>1061</v>
      </c>
    </row>
    <row r="89" spans="1:56" ht="15" outlineLevel="1">
      <c r="A89" s="108" t="s">
        <v>969</v>
      </c>
      <c r="B89" s="30" t="s">
        <v>349</v>
      </c>
      <c r="C89" s="43" t="s">
        <v>232</v>
      </c>
      <c r="D89" s="43" t="s">
        <v>250</v>
      </c>
      <c r="E89" s="486">
        <v>0.59</v>
      </c>
      <c r="F89" s="557">
        <v>1</v>
      </c>
      <c r="G89" s="557">
        <v>1</v>
      </c>
      <c r="H89" s="557">
        <f t="shared" si="69"/>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3">
        <f>$V89-$V$87*'Census 2011_17'!H$20*RES!$V89/(1-RES!$V$87)+RES!AC$29</f>
        <v>0.30544741348032556</v>
      </c>
      <c r="AD89" s="50"/>
      <c r="AE89" s="63">
        <f>(IFERROR(IF($N89/(SUMIF(RES!$D$39:$D$145,$D89,$N$39:$N$145))=1,1,($N89/(SUMIF(RES!$D$39:$D$145,$D89,$N$39:$N$145)))),0))-AE$29</f>
        <v>0.31379924741914317</v>
      </c>
      <c r="AF89" s="63">
        <f t="shared" si="71"/>
        <v>0.31251420521028261</v>
      </c>
      <c r="AG89" s="63">
        <f t="shared" si="72"/>
        <v>0.31024750727779338</v>
      </c>
      <c r="AH89" s="63">
        <f t="shared" si="73"/>
        <v>0.30198080934530408</v>
      </c>
      <c r="AI89" s="63">
        <f t="shared" si="74"/>
        <v>0.29971411141281484</v>
      </c>
      <c r="AJ89" s="63">
        <f t="shared" ref="AJ89" si="75">IF(AA89-AJ$29&lt;0,0,AA89-AJ$29)</f>
        <v>0.29444741348032555</v>
      </c>
      <c r="AK89" s="63">
        <f t="shared" ref="AK89" si="76">IF(AB89-AK$29&lt;0,0,AB89-AK$29)</f>
        <v>0.29294741348032555</v>
      </c>
      <c r="AL89" s="63">
        <f>IF(AC89-AL$29&lt;0,0,AC89-AL$29)</f>
        <v>0.29044741348032554</v>
      </c>
      <c r="AO89" s="179" t="s">
        <v>484</v>
      </c>
      <c r="AP89" s="496">
        <f t="shared" si="70"/>
        <v>0.59</v>
      </c>
    </row>
    <row r="90" spans="1:56" ht="15" outlineLevel="1">
      <c r="A90" s="108" t="s">
        <v>970</v>
      </c>
      <c r="B90" s="30" t="s">
        <v>350</v>
      </c>
      <c r="C90" s="43" t="s">
        <v>233</v>
      </c>
      <c r="D90" s="43" t="s">
        <v>250</v>
      </c>
      <c r="E90" s="486">
        <v>0.59</v>
      </c>
      <c r="F90" s="557">
        <v>1</v>
      </c>
      <c r="G90" s="557">
        <v>1</v>
      </c>
      <c r="H90" s="557">
        <f t="shared" si="69"/>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09">
        <f>MIN(W90-0.5%,$AE90*(1+'Census 2011_17'!B$20)-AF$28)</f>
        <v>0.4206266266362742</v>
      </c>
      <c r="AG90" s="609">
        <f>MIN(X90-0.5%,$AE90*(1+'Census 2011_17'!C$20)-AG$28)</f>
        <v>0.41624875011341916</v>
      </c>
      <c r="AH90" s="609">
        <f>MIN(Y90-0.5%,$AE90*(1+'Census 2011_17'!D$20)-AH$28)</f>
        <v>0.41387087359056407</v>
      </c>
      <c r="AI90" s="609">
        <f>MIN(Z90-0.5%,$AE90*(1+'Census 2011_17'!E$20)-AI$28)</f>
        <v>0.41099299706770903</v>
      </c>
      <c r="AJ90" s="609">
        <f>AI90*0.5</f>
        <v>0.20549649853385452</v>
      </c>
      <c r="AK90" s="609">
        <f>AJ90*0.5</f>
        <v>0.10274824926692726</v>
      </c>
      <c r="AL90" s="609">
        <v>0</v>
      </c>
      <c r="AO90" s="179" t="s">
        <v>484</v>
      </c>
      <c r="AP90" s="496">
        <f t="shared" si="70"/>
        <v>0.59</v>
      </c>
      <c r="AR90" s="1" t="s">
        <v>1060</v>
      </c>
    </row>
    <row r="91" spans="1:56" ht="15" outlineLevel="1">
      <c r="A91" s="108" t="s">
        <v>971</v>
      </c>
      <c r="B91" s="30" t="s">
        <v>351</v>
      </c>
      <c r="C91" s="43" t="s">
        <v>230</v>
      </c>
      <c r="D91" s="43" t="s">
        <v>250</v>
      </c>
      <c r="E91" s="486">
        <v>0.79</v>
      </c>
      <c r="F91" s="557">
        <v>1</v>
      </c>
      <c r="G91" s="557">
        <v>1</v>
      </c>
      <c r="H91" s="557">
        <f t="shared" si="69"/>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0.16577042008578552</v>
      </c>
      <c r="AC91" s="63">
        <f>IF($V91*(1+'Census 2011_17'!H$20)+AC$28&lt;1,$V91*(1+'Census 2011_17'!H$20)+AC$28,1)</f>
        <v>0.24577042008578553</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09">
        <f>AI91*0.5</f>
        <v>3.9815895480798627E-2</v>
      </c>
      <c r="AK91" s="609">
        <f>AJ91*0.5</f>
        <v>1.9907947740399314E-2</v>
      </c>
      <c r="AL91" s="609">
        <v>0</v>
      </c>
      <c r="AO91" s="179" t="s">
        <v>484</v>
      </c>
      <c r="AP91" s="496">
        <f t="shared" si="70"/>
        <v>0.79</v>
      </c>
    </row>
    <row r="92" spans="1:56" ht="15" outlineLevel="1">
      <c r="A92" s="108" t="s">
        <v>972</v>
      </c>
      <c r="B92" s="30" t="s">
        <v>352</v>
      </c>
      <c r="C92" s="43" t="s">
        <v>161</v>
      </c>
      <c r="D92" s="43" t="s">
        <v>250</v>
      </c>
      <c r="E92" s="486">
        <v>0.96</v>
      </c>
      <c r="F92" s="557">
        <v>1</v>
      </c>
      <c r="G92" s="557">
        <v>1</v>
      </c>
      <c r="H92" s="557">
        <f t="shared" si="69"/>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70"/>
        <v>0.96</v>
      </c>
    </row>
    <row r="93" spans="1:56" s="191" customFormat="1" ht="15" outlineLevel="1">
      <c r="A93" s="524" t="s">
        <v>927</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77">SUM(W87:W92)</f>
        <v>1.025731603384495</v>
      </c>
      <c r="X93" s="532">
        <f t="shared" si="77"/>
        <v>1.0254957540396763</v>
      </c>
      <c r="Y93" s="532">
        <f t="shared" si="77"/>
        <v>1.0292599046948576</v>
      </c>
      <c r="Z93" s="532">
        <f t="shared" si="77"/>
        <v>1.064524055350039</v>
      </c>
      <c r="AA93" s="532">
        <f t="shared" si="77"/>
        <v>1.0997882060052202</v>
      </c>
      <c r="AB93" s="532">
        <f t="shared" si="77"/>
        <v>1.1797882060052203</v>
      </c>
      <c r="AC93" s="532">
        <f t="shared" si="77"/>
        <v>1.3397882060052202</v>
      </c>
      <c r="AD93" s="532"/>
      <c r="AE93" s="533">
        <f>SUM(AE87:AE92)</f>
        <v>0.99950000000000006</v>
      </c>
      <c r="AF93" s="533">
        <f t="shared" ref="AF93:AL93" si="78">SUM(AF87:AF92)</f>
        <v>0.99643470289509839</v>
      </c>
      <c r="AG93" s="533">
        <f t="shared" si="78"/>
        <v>0.99912707540998624</v>
      </c>
      <c r="AH93" s="533">
        <f t="shared" si="78"/>
        <v>0.98881944792487386</v>
      </c>
      <c r="AI93" s="533">
        <f t="shared" si="78"/>
        <v>0.99201182043976155</v>
      </c>
      <c r="AJ93" s="533">
        <f t="shared" si="78"/>
        <v>0.72724495706545333</v>
      </c>
      <c r="AK93" s="533">
        <f t="shared" si="78"/>
        <v>0.5936192340993639</v>
      </c>
      <c r="AL93" s="533">
        <f t="shared" si="78"/>
        <v>0.45899351113327458</v>
      </c>
      <c r="AO93" s="534"/>
    </row>
    <row r="94" spans="1:56" s="232" customFormat="1" ht="15">
      <c r="A94" s="555" t="s">
        <v>973</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974</v>
      </c>
      <c r="B95" s="30" t="s">
        <v>353</v>
      </c>
      <c r="C95" s="43" t="s">
        <v>229</v>
      </c>
      <c r="D95" s="43" t="s">
        <v>558</v>
      </c>
      <c r="E95" s="486">
        <f>'Electrical efficiency'!M13</f>
        <v>0.73684210526315785</v>
      </c>
      <c r="F95" s="557">
        <v>1</v>
      </c>
      <c r="G95" s="557">
        <v>1</v>
      </c>
      <c r="H95" s="557">
        <f>N95/F95*(1+$D$31)</f>
        <v>6.5390715339597021</v>
      </c>
      <c r="I95" s="576">
        <v>1E-3</v>
      </c>
      <c r="J95" s="486">
        <v>0</v>
      </c>
      <c r="K95" s="48"/>
      <c r="L95" s="485">
        <v>0.93</v>
      </c>
      <c r="M95" s="485">
        <f>IF(C95="","",SUMIFS(Energy_Balance!I$55:I$159,Energy_Balance!$C$55:$C$159,C95,Energy_Balance!$D$55:$D$159,D95)*L95)</f>
        <v>8.8744542246595959</v>
      </c>
      <c r="N95" s="485">
        <f>M95*E95</f>
        <v>6.5390715339597021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0.93099999999999994</v>
      </c>
      <c r="W95" s="63">
        <f>V95</f>
        <v>0.93099999999999994</v>
      </c>
      <c r="X95" s="63">
        <f t="shared" ref="X95:AC95" si="79">W95</f>
        <v>0.93099999999999994</v>
      </c>
      <c r="Y95" s="63">
        <f t="shared" si="79"/>
        <v>0.93099999999999994</v>
      </c>
      <c r="Z95" s="63">
        <f t="shared" si="79"/>
        <v>0.93099999999999994</v>
      </c>
      <c r="AA95" s="63">
        <f t="shared" si="79"/>
        <v>0.93099999999999994</v>
      </c>
      <c r="AB95" s="63">
        <f t="shared" si="79"/>
        <v>0.93099999999999994</v>
      </c>
      <c r="AC95" s="63">
        <f t="shared" si="79"/>
        <v>0.93099999999999994</v>
      </c>
      <c r="AD95" s="272"/>
      <c r="AE95" s="63">
        <f>(IFERROR(IF($N95/(SUMIF(RES!$D$39:$D$145,$D95,$N$39:$N$145))=1,1,($N95/(SUMIF(RES!$D$39:$D$145,$D95,$N$39:$N$145))-$AE$28)),0))</f>
        <v>0.92989999999999995</v>
      </c>
      <c r="AF95" s="63">
        <f>AE95</f>
        <v>0.92989999999999995</v>
      </c>
      <c r="AG95" s="63">
        <f t="shared" ref="AG95:AL97" si="80">AF95</f>
        <v>0.92989999999999995</v>
      </c>
      <c r="AH95" s="63">
        <f t="shared" si="80"/>
        <v>0.92989999999999995</v>
      </c>
      <c r="AI95" s="63">
        <f t="shared" si="80"/>
        <v>0.92989999999999995</v>
      </c>
      <c r="AJ95" s="63">
        <f t="shared" si="80"/>
        <v>0.92989999999999995</v>
      </c>
      <c r="AK95" s="63">
        <f t="shared" si="80"/>
        <v>0.92989999999999995</v>
      </c>
      <c r="AL95" s="63">
        <f t="shared" si="80"/>
        <v>0.92989999999999995</v>
      </c>
      <c r="AM95"/>
      <c r="AN95"/>
      <c r="AO95" s="249" t="s">
        <v>110</v>
      </c>
      <c r="AP95" s="496">
        <f>E95</f>
        <v>0.73684210526315785</v>
      </c>
      <c r="AQ95"/>
      <c r="AR95"/>
      <c r="AS95"/>
      <c r="AT95"/>
      <c r="AU95"/>
      <c r="AV95"/>
      <c r="AW95"/>
      <c r="AX95"/>
      <c r="AY95"/>
      <c r="AZ95"/>
      <c r="BA95"/>
      <c r="BB95"/>
      <c r="BC95"/>
      <c r="BD95"/>
    </row>
    <row r="96" spans="1:56" ht="15" outlineLevel="2">
      <c r="A96" s="556" t="s">
        <v>975</v>
      </c>
      <c r="B96" s="30" t="s">
        <v>354</v>
      </c>
      <c r="C96" s="43" t="s">
        <v>229</v>
      </c>
      <c r="D96" s="43" t="s">
        <v>558</v>
      </c>
      <c r="E96" s="486">
        <v>2.15</v>
      </c>
      <c r="F96" s="557">
        <v>1</v>
      </c>
      <c r="G96" s="557">
        <v>1</v>
      </c>
      <c r="H96" s="557">
        <f>N96/F96*(1+$D$31)</f>
        <v>0.49218817997546149</v>
      </c>
      <c r="I96" s="576">
        <v>1E-3</v>
      </c>
      <c r="J96" s="486">
        <v>0</v>
      </c>
      <c r="K96" s="48"/>
      <c r="L96" s="485">
        <v>7.0000000000000007E-2</v>
      </c>
      <c r="M96" s="485">
        <f>IF(C96="","",SUMIFS(Energy_Balance!I$55:I$159,Energy_Balance!$C$55:$C$159,C96,Energy_Balance!$D$55:$D$159,D96)*L96)</f>
        <v>0.66796967282384057</v>
      </c>
      <c r="N96" s="485">
        <f>N95*L96/L95</f>
        <v>0.49218817997546149</v>
      </c>
      <c r="O96" s="25"/>
      <c r="P96" s="603">
        <f>E96</f>
        <v>2.15</v>
      </c>
      <c r="Q96" s="360">
        <f>IF($AO96="","",($S96-$P96)*1/3+$P96)</f>
        <v>2.15</v>
      </c>
      <c r="R96" s="360">
        <f>IF($AO96="","",($S96-$P96)*2/3+$P96)</f>
        <v>2.15</v>
      </c>
      <c r="S96" s="360">
        <f>IF($AO96="","",IF($AO96="*",$AP96*(1+$P$29),E96))</f>
        <v>2.15</v>
      </c>
      <c r="T96" s="203"/>
      <c r="U96" s="272"/>
      <c r="V96" s="63">
        <f>(IFERROR(IF(N96/(SUMIF(RES!$D$39:$D$145,D96,$N$39:$N$145))=1,1,(N96/(SUMIF(RES!$D$39:$D$145,D96,$N$39:$N$145)))),0))</f>
        <v>7.0000000000000007E-2</v>
      </c>
      <c r="W96" s="63">
        <f>V96</f>
        <v>7.0000000000000007E-2</v>
      </c>
      <c r="X96" s="63">
        <f t="shared" ref="X96:AC96" si="81">W96</f>
        <v>7.0000000000000007E-2</v>
      </c>
      <c r="Y96" s="63">
        <f t="shared" si="81"/>
        <v>7.0000000000000007E-2</v>
      </c>
      <c r="Z96" s="63">
        <f t="shared" si="81"/>
        <v>7.0000000000000007E-2</v>
      </c>
      <c r="AA96" s="63">
        <f t="shared" si="81"/>
        <v>7.0000000000000007E-2</v>
      </c>
      <c r="AB96" s="63">
        <f t="shared" si="81"/>
        <v>7.0000000000000007E-2</v>
      </c>
      <c r="AC96" s="63">
        <f t="shared" si="81"/>
        <v>7.0000000000000007E-2</v>
      </c>
      <c r="AD96" s="272"/>
      <c r="AE96" s="63">
        <f>(IFERROR(IF($N96/(SUMIF(RES!$D$39:$D$145,$D96,$N$39:$N$145))=1,1,($N96/(SUMIF(RES!$D$39:$D$145,$D96,$N$39:$N$145))-$AE$28)),0))</f>
        <v>6.9900000000000004E-2</v>
      </c>
      <c r="AF96" s="63">
        <f>AE96</f>
        <v>6.9900000000000004E-2</v>
      </c>
      <c r="AG96" s="63">
        <f t="shared" si="80"/>
        <v>6.9900000000000004E-2</v>
      </c>
      <c r="AH96" s="63">
        <f t="shared" si="80"/>
        <v>6.9900000000000004E-2</v>
      </c>
      <c r="AI96" s="63">
        <f t="shared" si="80"/>
        <v>6.9900000000000004E-2</v>
      </c>
      <c r="AJ96" s="63">
        <f t="shared" si="80"/>
        <v>6.9900000000000004E-2</v>
      </c>
      <c r="AK96" s="63">
        <f t="shared" si="80"/>
        <v>6.9900000000000004E-2</v>
      </c>
      <c r="AL96" s="63">
        <f t="shared" si="80"/>
        <v>6.9900000000000004E-2</v>
      </c>
      <c r="AO96" s="249" t="s">
        <v>110</v>
      </c>
      <c r="AP96" s="496">
        <f>E96</f>
        <v>2.15</v>
      </c>
    </row>
    <row r="97" spans="1:56" s="191" customFormat="1" ht="15">
      <c r="A97" s="524" t="s">
        <v>927</v>
      </c>
      <c r="B97" s="525"/>
      <c r="C97" s="526"/>
      <c r="D97" s="526"/>
      <c r="E97" s="527" t="str">
        <f>IF(D97="","",IF(COUNTIF(#REF!,$B97)=1,SUMIF(#REF!,RES!B97,#REF!),SUMIF(#REF!,RES!$B97,#REF!)))</f>
        <v/>
      </c>
      <c r="F97" s="527"/>
      <c r="G97" s="527"/>
      <c r="H97" s="527"/>
      <c r="I97" s="577"/>
      <c r="J97" s="527"/>
      <c r="K97" s="528"/>
      <c r="L97" s="529"/>
      <c r="M97" s="529">
        <f>SUM(M95:M96)</f>
        <v>9.5424238974834363</v>
      </c>
      <c r="N97" s="529">
        <f>SUM(N95:N96)</f>
        <v>7.0312597139351638</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0.99979999999999991</v>
      </c>
      <c r="AF97" s="63">
        <f>AE97</f>
        <v>0.99979999999999991</v>
      </c>
      <c r="AG97" s="63">
        <f t="shared" si="80"/>
        <v>0.99979999999999991</v>
      </c>
      <c r="AH97" s="63">
        <f t="shared" si="80"/>
        <v>0.99979999999999991</v>
      </c>
      <c r="AI97" s="63">
        <f t="shared" si="80"/>
        <v>0.99979999999999991</v>
      </c>
      <c r="AJ97" s="63">
        <f t="shared" si="80"/>
        <v>0.99979999999999991</v>
      </c>
      <c r="AK97" s="63">
        <f t="shared" si="80"/>
        <v>0.99979999999999991</v>
      </c>
      <c r="AL97" s="63">
        <f t="shared" si="80"/>
        <v>0.99979999999999991</v>
      </c>
      <c r="AO97" s="534"/>
    </row>
    <row r="98" spans="1:56" s="232" customFormat="1" ht="15">
      <c r="A98" s="555" t="s">
        <v>976</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977</v>
      </c>
      <c r="B99" s="30" t="s">
        <v>433</v>
      </c>
      <c r="C99" s="43" t="s">
        <v>229</v>
      </c>
      <c r="D99" s="43" t="s">
        <v>251</v>
      </c>
      <c r="E99" s="486">
        <v>0.95</v>
      </c>
      <c r="F99" s="557">
        <v>1</v>
      </c>
      <c r="G99" s="557">
        <v>1</v>
      </c>
      <c r="H99" s="557">
        <f t="shared" ref="H99:H104" si="82">N99/F99*(1+$D$31)</f>
        <v>0</v>
      </c>
      <c r="I99" s="576">
        <v>1E-3</v>
      </c>
      <c r="J99" s="486">
        <v>0</v>
      </c>
      <c r="K99" s="48"/>
      <c r="L99" s="485">
        <v>1</v>
      </c>
      <c r="M99" s="485">
        <f>IF(C99="","",SUMIFS(Energy_Balance!I$55:I$159,Energy_Balance!$C$55:$C$159,C99,Energy_Balance!$D$55:$D$159,D99)*L99)</f>
        <v>0</v>
      </c>
      <c r="N99" s="485">
        <f>E99*M99</f>
        <v>0</v>
      </c>
      <c r="O99" s="25"/>
      <c r="P99" s="603">
        <f t="shared" ref="P99:P104" si="83">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3">
        <f>IF($V99*(1+'Census 2011_17'!F$20)+AA$28&lt;1,$V99*(1+'Census 2011_17'!F$20)+AA$28,1)</f>
        <v>4.1174551386623168E-2</v>
      </c>
      <c r="AB99" s="63">
        <f>IF($V99*(1+'Census 2011_17'!G$20)+AB$28&lt;1,$V99*(1+'Census 2011_17'!G$20)+AB$28,1)</f>
        <v>8.1174551386623162E-2</v>
      </c>
      <c r="AC99" s="63">
        <f>IF($V99*(1+'Census 2011_17'!H$20)+AC$28&lt;1,$V99*(1+'Census 2011_17'!H$20)+AC$28,1)</f>
        <v>0.16117455138662318</v>
      </c>
      <c r="AD99" s="272"/>
      <c r="AE99" s="609">
        <f>MAX((IFERROR(IF($N99/(SUMIF(RES!$D$39:$D$145,$D99,$N$39:$N$145))=1,1,($N99/(SUMIF(RES!$D$39:$D$145,$D99,$N$39:$N$145))-AE$28)),0)),0)</f>
        <v>0</v>
      </c>
      <c r="AF99" s="609">
        <f>MAX((IFERROR(IF($N99/(SUMIF(RES!$D$39:$D$145,$D99,$N$39:$N$145))=1,1,($N99/(SUMIF(RES!$D$39:$D$145,$D99,$N$39:$N$145))-AF$28)),0)),0)</f>
        <v>0</v>
      </c>
      <c r="AG99" s="609">
        <f>MAX((IFERROR(IF($N99/(SUMIF(RES!$D$39:$D$145,$D99,$N$39:$N$145))=1,1,($N99/(SUMIF(RES!$D$39:$D$145,$D99,$N$39:$N$145))-AG$28)),0)),0)</f>
        <v>0</v>
      </c>
      <c r="AH99" s="609">
        <f>MAX((IFERROR(IF($N99/(SUMIF(RES!$D$39:$D$145,$D99,$N$39:$N$145))=1,1,($N99/(SUMIF(RES!$D$39:$D$145,$D99,$N$39:$N$145))-AH$28)),0)),0)</f>
        <v>0</v>
      </c>
      <c r="AI99" s="609">
        <f>MAX((IFERROR(IF($N99/(SUMIF(RES!$D$39:$D$145,$D99,$N$39:$N$145))=1,1,($N99/(SUMIF(RES!$D$39:$D$145,$D99,$N$39:$N$145))-AI$28)),0)),0)</f>
        <v>0</v>
      </c>
      <c r="AJ99" s="609">
        <f>MAX((IFERROR(IF($N99/(SUMIF(RES!$D$39:$D$145,$D99,$N$39:$N$145))=1,1,($N99/(SUMIF(RES!$D$39:$D$145,$D99,$N$39:$N$145))-AJ$28)),0)),0)</f>
        <v>0</v>
      </c>
      <c r="AK99" s="609">
        <f>MAX((IFERROR(IF($N99/(SUMIF(RES!$D$39:$D$145,$D99,$N$39:$N$145))=1,1,($N99/(SUMIF(RES!$D$39:$D$145,$D99,$N$39:$N$145))-AK$28)),0)),0)</f>
        <v>0</v>
      </c>
      <c r="AL99" s="609">
        <f>MAX((IFERROR(IF($N99/(SUMIF(RES!$D$39:$D$145,$D99,$N$39:$N$145))=1,1,($N99/(SUMIF(RES!$D$39:$D$145,$D99,$N$39:$N$145))-AL$28)),0)),0)</f>
        <v>0</v>
      </c>
      <c r="AM99"/>
      <c r="AN99"/>
      <c r="AO99" s="179" t="s">
        <v>484</v>
      </c>
      <c r="AP99" s="496">
        <f t="shared" ref="AP99:AP104" si="84">E99</f>
        <v>0.95</v>
      </c>
      <c r="AQ99"/>
      <c r="AR99"/>
      <c r="AS99"/>
      <c r="AT99"/>
      <c r="AU99"/>
      <c r="AV99"/>
      <c r="AW99"/>
      <c r="AX99"/>
      <c r="AY99"/>
      <c r="AZ99"/>
      <c r="BA99"/>
      <c r="BB99"/>
      <c r="BC99"/>
      <c r="BD99"/>
    </row>
    <row r="100" spans="1:56" ht="15" outlineLevel="1">
      <c r="A100" s="108" t="s">
        <v>978</v>
      </c>
      <c r="B100" s="30" t="s">
        <v>355</v>
      </c>
      <c r="C100" s="43" t="s">
        <v>231</v>
      </c>
      <c r="D100" s="43" t="s">
        <v>251</v>
      </c>
      <c r="E100" s="486">
        <v>0.56999999999999995</v>
      </c>
      <c r="F100" s="557">
        <v>1</v>
      </c>
      <c r="G100" s="557">
        <v>1</v>
      </c>
      <c r="H100" s="557">
        <f t="shared" si="82"/>
        <v>1.195937030490883</v>
      </c>
      <c r="I100" s="576">
        <v>1E-3</v>
      </c>
      <c r="J100" s="486">
        <v>0</v>
      </c>
      <c r="K100" s="48"/>
      <c r="L100" s="485">
        <v>1</v>
      </c>
      <c r="M100" s="485">
        <f>IF(C100="","",SUMIFS(Energy_Balance!I$55:I$159,Energy_Balance!$C$55:$C$159,C100,Energy_Balance!$D$55:$D$159,D100)*L100)</f>
        <v>2.0981351412120754</v>
      </c>
      <c r="N100" s="485">
        <f t="shared" ref="N100:N134" si="85">E100*M100</f>
        <v>1.195937030490883</v>
      </c>
      <c r="O100" s="25"/>
      <c r="P100" s="603">
        <f t="shared" si="83"/>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I100" si="86">IF(X100-AG$29&lt;0,0,X100-AG$29*2)</f>
        <v>0.27078249559468381</v>
      </c>
      <c r="AH100" s="63">
        <f t="shared" si="86"/>
        <v>0.25777352076058524</v>
      </c>
      <c r="AI100" s="63">
        <f t="shared" si="86"/>
        <v>0.25726454592648673</v>
      </c>
      <c r="AJ100" s="609">
        <f>AI100*0.5</f>
        <v>0.12863227296324337</v>
      </c>
      <c r="AK100" s="609">
        <f>AJ100*0.5</f>
        <v>6.4316136481621683E-2</v>
      </c>
      <c r="AL100" s="609">
        <v>0</v>
      </c>
      <c r="AO100" s="179" t="s">
        <v>484</v>
      </c>
      <c r="AP100" s="496">
        <f t="shared" si="84"/>
        <v>0.56999999999999995</v>
      </c>
    </row>
    <row r="101" spans="1:56" ht="15" outlineLevel="1">
      <c r="A101" s="108" t="s">
        <v>979</v>
      </c>
      <c r="B101" s="30" t="s">
        <v>356</v>
      </c>
      <c r="C101" s="43" t="s">
        <v>232</v>
      </c>
      <c r="D101" s="43" t="s">
        <v>251</v>
      </c>
      <c r="E101" s="486">
        <v>0.25</v>
      </c>
      <c r="F101" s="557">
        <v>1</v>
      </c>
      <c r="G101" s="557">
        <v>1</v>
      </c>
      <c r="H101" s="557">
        <f t="shared" si="82"/>
        <v>1.5288042050703874</v>
      </c>
      <c r="I101" s="576">
        <v>1E-3</v>
      </c>
      <c r="J101" s="486">
        <v>0</v>
      </c>
      <c r="K101" s="48"/>
      <c r="L101" s="485">
        <v>1</v>
      </c>
      <c r="M101" s="485">
        <f>IF(C101="","",SUMIFS(Energy_Balance!I$55:I$159,Energy_Balance!$C$55:$C$159,C101,Energy_Balance!$D$55:$D$159,D101)*L101)</f>
        <v>6.1152168202815496</v>
      </c>
      <c r="N101" s="485">
        <f t="shared" si="85"/>
        <v>1.5288042050703874</v>
      </c>
      <c r="O101" s="25"/>
      <c r="P101" s="603">
        <f t="shared" si="83"/>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3">
        <f>$V101-$V$99*'Census 2011_17'!F$20*RES!$V101/(1-RES!$V$99)+RES!AA$29</f>
        <v>0.35095047041589744</v>
      </c>
      <c r="AB101" s="63">
        <f>$V101-$V$99*'Census 2011_17'!G$20*RES!$V101/(1-RES!$V$99)+RES!AB$29</f>
        <v>0.35095047041589744</v>
      </c>
      <c r="AC101" s="63">
        <f>$V101-$V$99*'Census 2011_17'!H$20*RES!$V101/(1-RES!$V$99)+RES!AC$29</f>
        <v>0.35095047041589744</v>
      </c>
      <c r="AD101" s="272"/>
      <c r="AE101" s="63">
        <f>(IFERROR(IF($N101/(SUMIF(RES!$D$39:$D$145,$D101,$N$39:$N$145))=1,1,($N101/(SUMIF(RES!$D$39:$D$145,$D101,$N$39:$N$145)))),0))-AE$29</f>
        <v>0.34991180134347061</v>
      </c>
      <c r="AF101" s="63">
        <f>IF(W101-AF$29&lt;0,0,W101-AF$29*2)</f>
        <v>0.34599632531501756</v>
      </c>
      <c r="AG101" s="63">
        <f t="shared" ref="AG101:AG102" si="87">IF(X101-AG$29&lt;0,0,X101-AG$29*2)</f>
        <v>0.3469848615902375</v>
      </c>
      <c r="AH101" s="63">
        <f t="shared" ref="AH101:AH102" si="88">IF(Y101-AH$29&lt;0,0,Y101-AH$29*2)</f>
        <v>0.33397339786545749</v>
      </c>
      <c r="AI101" s="63">
        <f t="shared" ref="AI101:AI102" si="89">IF(Z101-AI$29&lt;0,0,Z101-AI$29*2)</f>
        <v>0.33346193414067743</v>
      </c>
      <c r="AJ101" s="63">
        <f t="shared" ref="AJ101:AJ102" si="90">IF(AA101-AJ$29&lt;0,0,AA101-AJ$29*2)</f>
        <v>0.32895047041589742</v>
      </c>
      <c r="AK101" s="63">
        <f t="shared" ref="AK101:AK102" si="91">IF(AB101-AK$29&lt;0,0,AB101-AK$29*2)</f>
        <v>0.32595047041589742</v>
      </c>
      <c r="AL101" s="63">
        <f t="shared" ref="AL101" si="92">IF(AC101-AL$29&lt;0,0,AC101-AL$29*2)</f>
        <v>0.32095047041589742</v>
      </c>
      <c r="AO101" s="179" t="s">
        <v>484</v>
      </c>
      <c r="AP101" s="496">
        <f t="shared" si="84"/>
        <v>0.25</v>
      </c>
    </row>
    <row r="102" spans="1:56" s="14" customFormat="1" ht="15" outlineLevel="1">
      <c r="A102" s="246" t="s">
        <v>980</v>
      </c>
      <c r="B102" s="246" t="s">
        <v>384</v>
      </c>
      <c r="C102" s="247" t="s">
        <v>233</v>
      </c>
      <c r="D102" s="247" t="s">
        <v>251</v>
      </c>
      <c r="E102" s="486">
        <v>0.25</v>
      </c>
      <c r="F102" s="557">
        <v>1</v>
      </c>
      <c r="G102" s="557">
        <v>1</v>
      </c>
      <c r="H102" s="557">
        <f t="shared" si="82"/>
        <v>0.24320202488889708</v>
      </c>
      <c r="I102" s="576">
        <v>1E-3</v>
      </c>
      <c r="J102" s="486">
        <v>0</v>
      </c>
      <c r="K102" s="48"/>
      <c r="L102" s="485">
        <v>1</v>
      </c>
      <c r="M102" s="485">
        <f>IF(C102="","",SUMIFS(Energy_Balance!I$55:I$159,Energy_Balance!$C$55:$C$159,C102,Energy_Balance!$D$55:$D$159,D102)*L102)</f>
        <v>0.97280809955558833</v>
      </c>
      <c r="N102" s="485">
        <f t="shared" ref="N102" si="93">E102*M102</f>
        <v>0.24320202488889708</v>
      </c>
      <c r="O102" s="25"/>
      <c r="P102" s="603">
        <f t="shared" si="83"/>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87"/>
        <v>5.2675493348603282E-2</v>
      </c>
      <c r="AH102" s="63">
        <f t="shared" si="88"/>
        <v>3.9673642236693271E-2</v>
      </c>
      <c r="AI102" s="63">
        <f t="shared" si="89"/>
        <v>3.9171791124783265E-2</v>
      </c>
      <c r="AJ102" s="63">
        <f t="shared" si="90"/>
        <v>3.4669940012873261E-2</v>
      </c>
      <c r="AK102" s="63">
        <f t="shared" si="91"/>
        <v>3.1669940012873259E-2</v>
      </c>
      <c r="AL102" s="609">
        <v>0</v>
      </c>
      <c r="AM102"/>
      <c r="AN102"/>
      <c r="AO102" s="179" t="s">
        <v>484</v>
      </c>
      <c r="AP102" s="496">
        <f t="shared" si="84"/>
        <v>0.25</v>
      </c>
      <c r="AQ102"/>
      <c r="AS102"/>
      <c r="AT102"/>
      <c r="AU102"/>
      <c r="AV102"/>
      <c r="AW102"/>
      <c r="AX102"/>
      <c r="AY102"/>
      <c r="AZ102"/>
      <c r="BA102"/>
      <c r="BB102"/>
      <c r="BC102"/>
      <c r="BD102"/>
    </row>
    <row r="103" spans="1:56" ht="15" outlineLevel="1">
      <c r="A103" s="108" t="s">
        <v>981</v>
      </c>
      <c r="B103" s="30" t="s">
        <v>357</v>
      </c>
      <c r="C103" s="43" t="s">
        <v>230</v>
      </c>
      <c r="D103" s="43" t="s">
        <v>251</v>
      </c>
      <c r="E103" s="486">
        <v>0.61</v>
      </c>
      <c r="F103" s="557">
        <v>1</v>
      </c>
      <c r="G103" s="557">
        <v>1</v>
      </c>
      <c r="H103" s="557">
        <f t="shared" si="82"/>
        <v>1.3999214778309128</v>
      </c>
      <c r="I103" s="576">
        <v>1E-3</v>
      </c>
      <c r="J103" s="486">
        <v>0</v>
      </c>
      <c r="K103" s="48"/>
      <c r="L103" s="485">
        <v>1</v>
      </c>
      <c r="M103" s="485">
        <f>IF(C103="","",SUMIFS(Energy_Balance!I$55:I$159,Energy_Balance!$C$55:$C$159,C103,Energy_Balance!$D$55:$D$159,D103)*L103)</f>
        <v>2.2949532423457586</v>
      </c>
      <c r="N103" s="485">
        <f t="shared" si="85"/>
        <v>1.3999214778309128</v>
      </c>
      <c r="O103" s="25"/>
      <c r="P103" s="603">
        <f t="shared" si="83"/>
        <v>0.61</v>
      </c>
      <c r="Q103" s="360">
        <f>IF($AO103="","",($R103-$AP103)*15/25+$AP103)</f>
        <v>0.61</v>
      </c>
      <c r="R103" s="360">
        <f>IF($AO103="","",IF($AO103="*",$AP103*(1+$P$29),E103))</f>
        <v>0.61</v>
      </c>
      <c r="S103" s="360">
        <f t="shared" ref="S103:S104" si="94">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09">
        <f>MIN(W103-0.5%,$AE103*(1+'Census 2011_17'!B$20)-AF$28)</f>
        <v>0.32149059366985477</v>
      </c>
      <c r="AG103" s="609">
        <f>MIN(X103-0.5%,$AE103*(1+'Census 2011_17'!C$20)-AG$28)</f>
        <v>0.31948009361780466</v>
      </c>
      <c r="AH103" s="609">
        <f>MIN(Y103-0.5%,$AE103*(1+'Census 2011_17'!D$20)-AH$28)</f>
        <v>0.31946959356575461</v>
      </c>
      <c r="AI103" s="609">
        <f>MIN(Z103-0.5%,$AE103*(1+'Census 2011_17'!E$20)-AI$28)</f>
        <v>0.31895909351370449</v>
      </c>
      <c r="AJ103" s="609">
        <f>AI103*0.5</f>
        <v>0.15947954675685225</v>
      </c>
      <c r="AK103" s="609">
        <f>AJ103*0.5</f>
        <v>7.9739773378426124E-2</v>
      </c>
      <c r="AL103" s="609">
        <v>0</v>
      </c>
      <c r="AO103" s="179" t="s">
        <v>484</v>
      </c>
      <c r="AP103" s="496">
        <f t="shared" si="84"/>
        <v>0.61</v>
      </c>
      <c r="AR103" s="1" t="s">
        <v>1060</v>
      </c>
    </row>
    <row r="104" spans="1:56" s="157" customFormat="1" ht="17.149999999999999" customHeight="1" outlineLevel="1">
      <c r="A104" s="108" t="s">
        <v>982</v>
      </c>
      <c r="B104" s="30" t="s">
        <v>358</v>
      </c>
      <c r="C104" s="43" t="s">
        <v>161</v>
      </c>
      <c r="D104" s="43" t="s">
        <v>251</v>
      </c>
      <c r="E104" s="486">
        <v>0.86</v>
      </c>
      <c r="F104" s="557">
        <v>1</v>
      </c>
      <c r="G104" s="557">
        <v>1</v>
      </c>
      <c r="H104" s="557">
        <f t="shared" si="82"/>
        <v>0</v>
      </c>
      <c r="I104" s="576">
        <v>1E-3</v>
      </c>
      <c r="J104" s="486">
        <v>0</v>
      </c>
      <c r="K104" s="48"/>
      <c r="L104" s="485">
        <v>0</v>
      </c>
      <c r="M104" s="485">
        <f>IF(C104="","",SUMIFS(Energy_Balance!I$55:I$159,Energy_Balance!$C$55:$C$159,C104,Energy_Balance!$D$55:$D$159,D104)*L104)</f>
        <v>0</v>
      </c>
      <c r="N104" s="485">
        <f t="shared" si="85"/>
        <v>0</v>
      </c>
      <c r="O104" s="25"/>
      <c r="P104" s="603">
        <f t="shared" si="83"/>
        <v>0.86</v>
      </c>
      <c r="Q104" s="360">
        <f>IF($AO104="","",($R104-$AP104)*15/25+$AP104)</f>
        <v>0.86</v>
      </c>
      <c r="R104" s="360">
        <f>IF($AO104="","",IF($AO104="*",$AP104*(1+$P$29),E104))</f>
        <v>0.86</v>
      </c>
      <c r="S104" s="360">
        <f t="shared" si="94"/>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8.1174551386623162E-2</v>
      </c>
      <c r="AC104" s="63">
        <f>IF($V104*(1+'Census 2011_17'!H$20)+AC$28&lt;1,$V104*(1+'Census 2011_17'!H$20)+AC$28,1)</f>
        <v>0.16117455138662318</v>
      </c>
      <c r="AD104" s="272"/>
      <c r="AE104" s="50">
        <v>0</v>
      </c>
      <c r="AF104" s="50">
        <v>0</v>
      </c>
      <c r="AG104" s="50">
        <v>0</v>
      </c>
      <c r="AH104" s="50">
        <v>0</v>
      </c>
      <c r="AI104" s="50">
        <v>0</v>
      </c>
      <c r="AJ104" s="50">
        <f t="shared" ref="AJ104:AL104" si="95">AI104</f>
        <v>0</v>
      </c>
      <c r="AK104" s="50">
        <f t="shared" si="95"/>
        <v>0</v>
      </c>
      <c r="AL104" s="50">
        <f t="shared" si="95"/>
        <v>0</v>
      </c>
      <c r="AM104"/>
      <c r="AN104"/>
      <c r="AO104" s="179" t="s">
        <v>484</v>
      </c>
      <c r="AP104" s="496">
        <f t="shared" si="84"/>
        <v>0.86</v>
      </c>
      <c r="AQ104"/>
      <c r="AR104"/>
      <c r="AS104"/>
      <c r="AT104"/>
      <c r="AU104"/>
      <c r="AV104"/>
      <c r="AW104"/>
      <c r="AX104"/>
      <c r="AY104"/>
      <c r="AZ104"/>
      <c r="BA104"/>
      <c r="BB104"/>
      <c r="BC104"/>
      <c r="BD104"/>
    </row>
    <row r="105" spans="1:56" s="191" customFormat="1" ht="15" outlineLevel="1">
      <c r="A105" s="524" t="s">
        <v>927</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96">SUM(W99:W104)</f>
        <v>1.0280438252281647</v>
      </c>
      <c r="X105" s="533">
        <f t="shared" si="96"/>
        <v>1.0230762883601385</v>
      </c>
      <c r="Y105" s="533">
        <f t="shared" si="96"/>
        <v>1.0241087514921121</v>
      </c>
      <c r="Z105" s="533">
        <f t="shared" si="96"/>
        <v>1.0561412146240861</v>
      </c>
      <c r="AA105" s="533">
        <f t="shared" si="96"/>
        <v>1.0861736777560596</v>
      </c>
      <c r="AB105" s="533">
        <f t="shared" si="96"/>
        <v>1.1661736777560596</v>
      </c>
      <c r="AC105" s="533">
        <f t="shared" si="96"/>
        <v>1.3261736777560595</v>
      </c>
      <c r="AD105" s="533"/>
      <c r="AE105" s="533">
        <f>SUM(AE99:AE104)</f>
        <v>0.99960000000000004</v>
      </c>
      <c r="AF105" s="533">
        <f t="shared" ref="AF105:AL105" si="97">SUM(AF99:AF104)</f>
        <v>0.98895573387416791</v>
      </c>
      <c r="AG105" s="533">
        <f t="shared" si="97"/>
        <v>0.98992294415132931</v>
      </c>
      <c r="AH105" s="533">
        <f t="shared" si="97"/>
        <v>0.95089015442849045</v>
      </c>
      <c r="AI105" s="533">
        <f t="shared" si="97"/>
        <v>0.94885736470565196</v>
      </c>
      <c r="AJ105" s="533">
        <f t="shared" si="97"/>
        <v>0.65173223014886628</v>
      </c>
      <c r="AK105" s="533">
        <f t="shared" si="97"/>
        <v>0.50167632028881848</v>
      </c>
      <c r="AL105" s="533">
        <f t="shared" si="97"/>
        <v>0.32095047041589742</v>
      </c>
    </row>
    <row r="106" spans="1:56" s="232" customFormat="1" ht="15">
      <c r="A106" s="537" t="s">
        <v>983</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984</v>
      </c>
      <c r="B107" s="30" t="s">
        <v>359</v>
      </c>
      <c r="C107" s="43" t="s">
        <v>229</v>
      </c>
      <c r="D107" s="43" t="s">
        <v>252</v>
      </c>
      <c r="E107" s="494">
        <f>INDEX('Electrical efficiency'!$L$8:$L$23,MATCH(RES!D107,'Electrical efficiency'!$K$8:$K$23,0))</f>
        <v>0.64200000000000002</v>
      </c>
      <c r="F107" s="557">
        <v>1</v>
      </c>
      <c r="G107" s="557">
        <v>1</v>
      </c>
      <c r="H107" s="557">
        <f>N107/F107*(1+$D$31)</f>
        <v>6.4871161947221347</v>
      </c>
      <c r="I107" s="576">
        <v>1E-3</v>
      </c>
      <c r="J107" s="486">
        <v>0</v>
      </c>
      <c r="K107" s="48" t="s">
        <v>889</v>
      </c>
      <c r="L107" s="485">
        <v>1</v>
      </c>
      <c r="M107" s="485">
        <f>IF(C107="","",SUMIFS(Energy_Balance!I$55:I$159,Energy_Balance!$C$55:$C$159,C107,Energy_Balance!$D$55:$D$159,D107)*L107)</f>
        <v>10.104542359380272</v>
      </c>
      <c r="N107" s="485">
        <f t="shared" si="85"/>
        <v>6.4871161947221347</v>
      </c>
      <c r="O107" s="25"/>
      <c r="P107" s="603">
        <f>INDEX('Electrical efficiency'!$M$8:$M$23,MATCH(RES!D107,'Electrical efficiency'!$K$8:$K$23,0))</f>
        <v>0.74651162790697678</v>
      </c>
      <c r="Q107" s="360">
        <f>INDEX('Electrical efficiency'!$N$8:$N$23,MATCH(RES!D107,'Electrical efficiency'!$K$8:$K$23,0))</f>
        <v>1.3659574468085107</v>
      </c>
      <c r="R107" s="360">
        <f>INDEX('Electrical efficiency'!$O$8:$O$23,MATCH(RES!D107,'Electrical efficiency'!$K$8:$K$23,0))</f>
        <v>1.6461538461538461</v>
      </c>
      <c r="S107" s="360">
        <f>INDEX('Electrical efficiency'!$P$8:$P$23,MATCH(RES!D107,'Electrical efficiency'!$K$8:$K$23,0))</f>
        <v>1.6461538461538461</v>
      </c>
      <c r="T107" s="203"/>
      <c r="U107" s="50"/>
      <c r="V107" s="50">
        <f>(IFERROR(IF(N107/(SUMIF(RES!$D$39:$D$145,D107,$N$39:$N$145))=1,1,(N107/(SUMIF(RES!$D$39:$D$145,D107,$N$39:$N$145))+#REF!)),0))</f>
        <v>1</v>
      </c>
      <c r="W107" s="50">
        <f>V107</f>
        <v>1</v>
      </c>
      <c r="X107" s="50">
        <f t="shared" ref="X107:AC107" si="98">W107</f>
        <v>1</v>
      </c>
      <c r="Y107" s="50">
        <f t="shared" si="98"/>
        <v>1</v>
      </c>
      <c r="Z107" s="50">
        <f t="shared" si="98"/>
        <v>1</v>
      </c>
      <c r="AA107" s="50">
        <f t="shared" si="98"/>
        <v>1</v>
      </c>
      <c r="AB107" s="50">
        <f t="shared" si="98"/>
        <v>1</v>
      </c>
      <c r="AC107" s="50">
        <f t="shared" si="98"/>
        <v>1</v>
      </c>
      <c r="AD107" s="50"/>
      <c r="AE107" s="272">
        <f>(IFERROR(IF($N107/(SUMIF(RES!$D$39:$D$145,$D107,$N$39:$N$145))=1,1,($N107/(SUMIF(RES!$D$39:$D$145,$D107,$N$39:$N$145))-$AE$28)),0))</f>
        <v>1</v>
      </c>
      <c r="AF107" s="50">
        <f>AE107</f>
        <v>1</v>
      </c>
      <c r="AG107" s="50">
        <f t="shared" ref="AG107:AL107" si="99">AF107</f>
        <v>1</v>
      </c>
      <c r="AH107" s="50">
        <f t="shared" si="99"/>
        <v>1</v>
      </c>
      <c r="AI107" s="50">
        <f t="shared" si="99"/>
        <v>1</v>
      </c>
      <c r="AJ107" s="50">
        <f t="shared" si="99"/>
        <v>1</v>
      </c>
      <c r="AK107" s="50">
        <f t="shared" si="99"/>
        <v>1</v>
      </c>
      <c r="AL107" s="50">
        <f t="shared" si="99"/>
        <v>1</v>
      </c>
      <c r="AM107"/>
      <c r="AN107"/>
      <c r="AO107" s="249" t="s">
        <v>110</v>
      </c>
      <c r="AP107" s="496">
        <f>E107</f>
        <v>0.64200000000000002</v>
      </c>
      <c r="AQ107"/>
      <c r="AR107"/>
      <c r="AS107"/>
      <c r="AT107"/>
      <c r="AU107"/>
      <c r="AV107"/>
      <c r="AW107"/>
      <c r="AX107"/>
      <c r="AY107"/>
      <c r="AZ107"/>
      <c r="BA107"/>
      <c r="BB107"/>
      <c r="BC107"/>
      <c r="BD107"/>
    </row>
    <row r="108" spans="1:56" s="191" customFormat="1" ht="15" outlineLevel="1">
      <c r="A108" s="524" t="s">
        <v>927</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985</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986</v>
      </c>
      <c r="B110" s="30" t="s">
        <v>360</v>
      </c>
      <c r="C110" s="43" t="s">
        <v>229</v>
      </c>
      <c r="D110" s="43" t="s">
        <v>253</v>
      </c>
      <c r="E110" s="494">
        <f>INDEX('Electrical efficiency'!$L$8:$L$23,MATCH(RES!D110,'Electrical efficiency'!$K$8:$K$23,0))</f>
        <v>0.8</v>
      </c>
      <c r="F110" s="557">
        <v>1</v>
      </c>
      <c r="G110" s="557">
        <v>1</v>
      </c>
      <c r="H110" s="557">
        <f>N110/F110*(1+$D$31)</f>
        <v>7.7618829459684937</v>
      </c>
      <c r="I110" s="576">
        <v>1E-3</v>
      </c>
      <c r="J110" s="486">
        <v>0</v>
      </c>
      <c r="K110" s="48" t="s">
        <v>889</v>
      </c>
      <c r="L110" s="485">
        <v>1</v>
      </c>
      <c r="M110" s="485">
        <f>IF(C110="","",SUMIFS(Energy_Balance!I$55:I$159,Energy_Balance!$C$55:$C$159,C110,Energy_Balance!$D$55:$D$159,D110)*L110)</f>
        <v>9.7023536824606165</v>
      </c>
      <c r="N110" s="485">
        <f t="shared" si="85"/>
        <v>7.7618829459684937</v>
      </c>
      <c r="O110" s="25"/>
      <c r="P110" s="603">
        <f>INDEX('Electrical efficiency'!$M$8:$M$23,MATCH(RES!D110,'Electrical efficiency'!$K$8:$K$23,0))</f>
        <v>0.80808080808080818</v>
      </c>
      <c r="Q110" s="360">
        <f>INDEX('Electrical efficiency'!$N$8:$N$23,MATCH(RES!D110,'Electrical efficiency'!$K$8:$K$23,0))</f>
        <v>0.88888888888888895</v>
      </c>
      <c r="R110" s="360">
        <f>INDEX('Electrical efficiency'!$O$8:$O$23,MATCH(RES!D110,'Electrical efficiency'!$K$8:$K$23,0))</f>
        <v>1.095890410958904</v>
      </c>
      <c r="S110" s="360">
        <f>INDEX('Electrical efficiency'!$P$8:$P$23,MATCH(RES!D110,'Electrical efficiency'!$K$8:$K$23,0))</f>
        <v>1.095890410958904</v>
      </c>
      <c r="T110" s="203"/>
      <c r="U110" s="50"/>
      <c r="V110" s="50">
        <f>(IFERROR(IF(N110/(SUMIF(RES!$D$39:$D$145,D110,$N$39:$N$145))=1,1,(N110/(SUMIF(RES!$D$39:$D$145,D110,$N$39:$N$145))+#REF!)),0))</f>
        <v>1</v>
      </c>
      <c r="W110" s="50">
        <f>V110</f>
        <v>1</v>
      </c>
      <c r="X110" s="50">
        <f t="shared" ref="X110:AC110" si="100">W110</f>
        <v>1</v>
      </c>
      <c r="Y110" s="50">
        <f t="shared" si="100"/>
        <v>1</v>
      </c>
      <c r="Z110" s="50">
        <f t="shared" si="100"/>
        <v>1</v>
      </c>
      <c r="AA110" s="50">
        <f t="shared" si="100"/>
        <v>1</v>
      </c>
      <c r="AB110" s="50">
        <f t="shared" si="100"/>
        <v>1</v>
      </c>
      <c r="AC110" s="50">
        <f t="shared" si="100"/>
        <v>1</v>
      </c>
      <c r="AD110" s="50"/>
      <c r="AE110" s="272">
        <f>(IFERROR(IF($N110/(SUMIF(RES!$D$39:$D$145,$D110,$N$39:$N$145))=1,1,($N110/(SUMIF(RES!$D$39:$D$145,$D110,$N$39:$N$145))-$AE$28)),0))</f>
        <v>1</v>
      </c>
      <c r="AF110" s="50">
        <f>AE110</f>
        <v>1</v>
      </c>
      <c r="AG110" s="50">
        <f t="shared" ref="AG110:AL111" si="101">AF110</f>
        <v>1</v>
      </c>
      <c r="AH110" s="50">
        <f t="shared" si="101"/>
        <v>1</v>
      </c>
      <c r="AI110" s="50">
        <f t="shared" si="101"/>
        <v>1</v>
      </c>
      <c r="AJ110" s="50">
        <f t="shared" si="101"/>
        <v>1</v>
      </c>
      <c r="AK110" s="50">
        <f t="shared" si="101"/>
        <v>1</v>
      </c>
      <c r="AL110" s="50">
        <f t="shared" si="101"/>
        <v>1</v>
      </c>
      <c r="AM110"/>
      <c r="AN110"/>
      <c r="AO110" s="249" t="s">
        <v>110</v>
      </c>
      <c r="AP110" s="496">
        <f>E110</f>
        <v>0.8</v>
      </c>
      <c r="AQ110"/>
      <c r="AR110"/>
      <c r="AS110"/>
      <c r="AT110"/>
      <c r="AU110"/>
      <c r="AV110"/>
      <c r="AW110"/>
      <c r="AX110"/>
      <c r="AY110"/>
      <c r="AZ110"/>
      <c r="BA110"/>
      <c r="BB110"/>
      <c r="BC110"/>
      <c r="BD110"/>
    </row>
    <row r="111" spans="1:56" ht="15" outlineLevel="1">
      <c r="A111" s="108" t="s">
        <v>987</v>
      </c>
      <c r="B111" s="30" t="s">
        <v>361</v>
      </c>
      <c r="C111" s="43" t="s">
        <v>231</v>
      </c>
      <c r="D111" s="43" t="s">
        <v>288</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85"/>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01"/>
        <v>0</v>
      </c>
      <c r="AK111" s="50">
        <f t="shared" si="101"/>
        <v>0</v>
      </c>
      <c r="AL111" s="50">
        <f t="shared" si="101"/>
        <v>0</v>
      </c>
      <c r="AO111" s="21" t="s">
        <v>484</v>
      </c>
      <c r="AP111" s="496">
        <f>E111</f>
        <v>1</v>
      </c>
    </row>
    <row r="112" spans="1:56" s="191" customFormat="1" ht="15" outlineLevel="1">
      <c r="A112" s="524" t="s">
        <v>927</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988</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989</v>
      </c>
      <c r="B114" s="30" t="s">
        <v>362</v>
      </c>
      <c r="C114" s="43" t="s">
        <v>229</v>
      </c>
      <c r="D114" s="43" t="s">
        <v>254</v>
      </c>
      <c r="E114" s="557">
        <f>INDEX(Lighting!$V$25:$V$35,MATCH(RES!D114,Lighting!$E$25:$E$35,0))</f>
        <v>3.5618185364705877</v>
      </c>
      <c r="F114" s="557">
        <v>1</v>
      </c>
      <c r="G114" s="557">
        <v>1</v>
      </c>
      <c r="H114" s="557">
        <f>N114/F114*(1+$D$31)</f>
        <v>20.104289320818715</v>
      </c>
      <c r="I114" s="576">
        <v>1E-3</v>
      </c>
      <c r="J114" s="486">
        <v>0</v>
      </c>
      <c r="K114" s="48" t="s">
        <v>430</v>
      </c>
      <c r="L114" s="485">
        <v>1</v>
      </c>
      <c r="M114" s="485">
        <f>IF(C114="","",SUMIFS(Energy_Balance!I$55:I$159,Energy_Balance!$C$55:$C$159,C114,Energy_Balance!$D$55:$D$159,D114)*L114)</f>
        <v>5.6443889869639712</v>
      </c>
      <c r="N114" s="485">
        <f t="shared" si="85"/>
        <v>20.104289320818715</v>
      </c>
      <c r="O114" s="25"/>
      <c r="P114" s="603">
        <f>INDEX(Lighting!$V$25:$V$35,MATCH(RES!D114,Lighting!$E$25:$E$35,0))</f>
        <v>3.5618185364705877</v>
      </c>
      <c r="Q114" s="202">
        <f>Q39</f>
        <v>5.3019294117647053</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02">W114</f>
        <v>1</v>
      </c>
      <c r="Y114" s="50">
        <f t="shared" si="102"/>
        <v>1</v>
      </c>
      <c r="Z114" s="50">
        <f t="shared" si="102"/>
        <v>1</v>
      </c>
      <c r="AA114" s="50">
        <f t="shared" si="102"/>
        <v>1</v>
      </c>
      <c r="AB114" s="50">
        <f t="shared" si="102"/>
        <v>1</v>
      </c>
      <c r="AC114" s="50">
        <f t="shared" si="102"/>
        <v>1</v>
      </c>
      <c r="AD114" s="50"/>
      <c r="AE114" s="272">
        <f>(IFERROR(IF($N114/(SUMIF(RES!$D$39:$D$145,$D114,$N$39:$N$145))=1,1,($N114/(SUMIF(RES!$D$39:$D$145,$D114,$N$39:$N$145))-$AE$28)),0))</f>
        <v>1</v>
      </c>
      <c r="AF114" s="50">
        <f>AE114</f>
        <v>1</v>
      </c>
      <c r="AG114" s="50">
        <f t="shared" ref="AG114:AL114" si="103">AF114</f>
        <v>1</v>
      </c>
      <c r="AH114" s="50">
        <f t="shared" si="103"/>
        <v>1</v>
      </c>
      <c r="AI114" s="50">
        <f t="shared" si="103"/>
        <v>1</v>
      </c>
      <c r="AJ114" s="50">
        <f t="shared" si="103"/>
        <v>1</v>
      </c>
      <c r="AK114" s="50">
        <f t="shared" si="103"/>
        <v>1</v>
      </c>
      <c r="AL114" s="50">
        <f t="shared" si="103"/>
        <v>1</v>
      </c>
      <c r="AM114"/>
      <c r="AN114"/>
      <c r="AO114" s="169" t="s">
        <v>484</v>
      </c>
      <c r="AP114" s="496">
        <f>E114</f>
        <v>3.5618185364705877</v>
      </c>
      <c r="AQ114"/>
      <c r="AR114"/>
      <c r="AS114"/>
      <c r="AT114"/>
      <c r="AU114"/>
      <c r="AV114"/>
      <c r="AW114"/>
      <c r="AX114"/>
      <c r="AY114"/>
      <c r="AZ114"/>
      <c r="BA114"/>
      <c r="BB114"/>
      <c r="BC114"/>
      <c r="BD114"/>
    </row>
    <row r="115" spans="1:56" s="191" customFormat="1" ht="15" outlineLevel="1">
      <c r="A115" s="574" t="s">
        <v>927</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990</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991</v>
      </c>
      <c r="B117" s="30" t="s">
        <v>363</v>
      </c>
      <c r="C117" s="43" t="s">
        <v>229</v>
      </c>
      <c r="D117" s="43" t="s">
        <v>255</v>
      </c>
      <c r="E117" s="494">
        <f>INDEX('Electrical efficiency'!$L$8:$L$23,MATCH(RES!D117,'Electrical efficiency'!$K$8:$K$23,0))</f>
        <v>0.65</v>
      </c>
      <c r="F117" s="557">
        <v>1</v>
      </c>
      <c r="G117" s="557">
        <v>1</v>
      </c>
      <c r="H117" s="557">
        <f>N117/F117*(1+$D$31)</f>
        <v>5.8557181729987811</v>
      </c>
      <c r="I117" s="576">
        <v>1E-3</v>
      </c>
      <c r="J117" s="486">
        <v>0</v>
      </c>
      <c r="K117" s="48" t="s">
        <v>889</v>
      </c>
      <c r="L117" s="485">
        <v>1</v>
      </c>
      <c r="M117" s="485">
        <f>IF(C117="","",SUMIFS(Energy_Balance!I$55:I$159,Energy_Balance!$C$55:$C$159,C117,Energy_Balance!$D$55:$D$159,D117)*L117)</f>
        <v>9.0087971892288934</v>
      </c>
      <c r="N117" s="485">
        <f t="shared" si="85"/>
        <v>5.8557181729987811</v>
      </c>
      <c r="O117" s="25"/>
      <c r="P117" s="603">
        <f>INDEX('Electrical efficiency'!$M$8:$M$23,MATCH(RES!D117,'Electrical efficiency'!$K$8:$K$23,0))</f>
        <v>0.67010309278350522</v>
      </c>
      <c r="Q117" s="360">
        <f>INDEX('Electrical efficiency'!$N$8:$N$23,MATCH(RES!D117,'Electrical efficiency'!$K$8:$K$23,0))</f>
        <v>0.77380952380952384</v>
      </c>
      <c r="R117" s="360">
        <f>INDEX('Electrical efficiency'!$O$8:$O$23,MATCH(RES!D117,'Electrical efficiency'!$K$8:$K$23,0))</f>
        <v>0.8666666666666667</v>
      </c>
      <c r="S117" s="360">
        <f>INDEX('Electrical efficiency'!$P$8:$P$23,MATCH(RES!D117,'Electrical efficiency'!$K$8:$K$23,0))</f>
        <v>0.8666666666666667</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0.98384462057355737</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04">AF117</f>
        <v>0.76842326723832044</v>
      </c>
      <c r="AH117" s="63">
        <f t="shared" si="104"/>
        <v>0.76842326723832044</v>
      </c>
      <c r="AI117" s="63">
        <f t="shared" si="104"/>
        <v>0.76842326723832044</v>
      </c>
      <c r="AJ117" s="63">
        <f t="shared" si="104"/>
        <v>0.76842326723832044</v>
      </c>
      <c r="AK117" s="63">
        <f t="shared" si="104"/>
        <v>0.76842326723832044</v>
      </c>
      <c r="AL117" s="63">
        <f t="shared" si="104"/>
        <v>0.76842326723832044</v>
      </c>
      <c r="AO117" s="249" t="s">
        <v>110</v>
      </c>
      <c r="AP117" s="496">
        <f>E117</f>
        <v>0.65</v>
      </c>
    </row>
    <row r="118" spans="1:56" ht="15" outlineLevel="1">
      <c r="A118" s="108" t="s">
        <v>992</v>
      </c>
      <c r="B118" s="30" t="s">
        <v>364</v>
      </c>
      <c r="C118" s="43" t="s">
        <v>230</v>
      </c>
      <c r="D118" s="43" t="s">
        <v>255</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85"/>
        <v>1.4637478554990577</v>
      </c>
      <c r="O118" s="25"/>
      <c r="P118" s="603">
        <f>E118</f>
        <v>0.61</v>
      </c>
      <c r="Q118" s="360">
        <f t="shared" ref="Q118:Q123" si="105">IF($AO118="","",($R118-$AP118)*15/25+$AP118)</f>
        <v>0.61</v>
      </c>
      <c r="R118" s="360">
        <f t="shared" ref="R118:R123" si="106">IF($AO118="","",IF($AO118="*",$AP118*(1+$P$29),E118))</f>
        <v>0.61</v>
      </c>
      <c r="S118" s="360">
        <f t="shared" ref="S118:S121" si="107">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0.26681406117179396</v>
      </c>
      <c r="AC118" s="63">
        <f>IF($V118*(1+'Census 2011_17'!H$20)+AC$28/2&lt;1,$V118*(1+'Census 2011_17'!H$20)+AC$28/2,1)</f>
        <v>0.30681406117179399</v>
      </c>
      <c r="AD118" s="272"/>
      <c r="AE118" s="63">
        <f>(IFERROR(IF($N118/(SUMIF(RES!$D$39:$D$145,$D118,$N$39:$N$145))=1,1,($N118/(SUMIF(RES!$D$39:$D$145,$D118,$N$39:$N$145))-AE$28*4)),0))</f>
        <v>0.19170697152543015</v>
      </c>
      <c r="AF118" s="63">
        <f>AE118</f>
        <v>0.19170697152543015</v>
      </c>
      <c r="AG118" s="63">
        <f t="shared" si="104"/>
        <v>0.19170697152543015</v>
      </c>
      <c r="AH118" s="63">
        <f t="shared" si="104"/>
        <v>0.19170697152543015</v>
      </c>
      <c r="AI118" s="63">
        <f t="shared" si="104"/>
        <v>0.19170697152543015</v>
      </c>
      <c r="AJ118" s="609">
        <f>AI118*0.5</f>
        <v>9.5853485762715074E-2</v>
      </c>
      <c r="AK118" s="609">
        <f>AJ118*0.5</f>
        <v>4.7926742881357537E-2</v>
      </c>
      <c r="AL118" s="609">
        <v>0</v>
      </c>
      <c r="AO118" s="21" t="s">
        <v>484</v>
      </c>
      <c r="AP118" s="496">
        <f>E118</f>
        <v>0.61</v>
      </c>
    </row>
    <row r="119" spans="1:56" ht="15" outlineLevel="1">
      <c r="A119" s="108" t="s">
        <v>993</v>
      </c>
      <c r="B119" s="30" t="s">
        <v>365</v>
      </c>
      <c r="C119" s="43" t="s">
        <v>232</v>
      </c>
      <c r="D119" s="43" t="s">
        <v>255</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85"/>
        <v>0.25832187230590387</v>
      </c>
      <c r="O119" s="25"/>
      <c r="P119" s="603">
        <f>E119</f>
        <v>0.26</v>
      </c>
      <c r="Q119" s="360">
        <f t="shared" si="105"/>
        <v>0.26</v>
      </c>
      <c r="R119" s="360">
        <f t="shared" si="106"/>
        <v>0.26</v>
      </c>
      <c r="S119" s="360">
        <f t="shared" si="107"/>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08">W119*0.9</f>
        <v>2.8271423925326739E-2</v>
      </c>
      <c r="Y119" s="63">
        <f t="shared" si="108"/>
        <v>2.5444281532794065E-2</v>
      </c>
      <c r="Z119" s="63">
        <f t="shared" si="108"/>
        <v>2.2899853379514661E-2</v>
      </c>
      <c r="AA119" s="63">
        <f t="shared" si="108"/>
        <v>2.0609868041563194E-2</v>
      </c>
      <c r="AB119" s="63">
        <f t="shared" si="108"/>
        <v>1.8548881237406875E-2</v>
      </c>
      <c r="AC119" s="63">
        <f t="shared" si="108"/>
        <v>1.6693993113666188E-2</v>
      </c>
      <c r="AD119" s="63"/>
      <c r="AE119" s="63">
        <f>(IFERROR(IF($N119/(SUMIF(RES!$D$39:$D$145,$D119,$N$39:$N$145))=1,1,($N119/(SUMIF(RES!$D$39:$D$145,$D119,$N$39:$N$145)))),0))-AE$29</f>
        <v>3.3802992500403375E-2</v>
      </c>
      <c r="AF119" s="63">
        <f>AE119*0.7</f>
        <v>2.3662094750282362E-2</v>
      </c>
      <c r="AG119" s="63">
        <f t="shared" ref="AG119:AL120" si="109">AF119*0.7</f>
        <v>1.6563466325197652E-2</v>
      </c>
      <c r="AH119" s="63">
        <f t="shared" si="109"/>
        <v>1.1594426427638357E-2</v>
      </c>
      <c r="AI119" s="63">
        <f t="shared" si="109"/>
        <v>8.116098499346849E-3</v>
      </c>
      <c r="AJ119" s="63">
        <f t="shared" si="109"/>
        <v>5.681268949542794E-3</v>
      </c>
      <c r="AK119" s="63">
        <f t="shared" si="109"/>
        <v>3.9768882646799555E-3</v>
      </c>
      <c r="AL119" s="63">
        <f t="shared" si="109"/>
        <v>2.7838217852759685E-3</v>
      </c>
      <c r="AO119" s="249" t="s">
        <v>110</v>
      </c>
      <c r="AP119" s="496">
        <f>E119</f>
        <v>0.26</v>
      </c>
    </row>
    <row r="120" spans="1:56" s="165" customFormat="1" ht="15" outlineLevel="1">
      <c r="A120" s="108" t="s">
        <v>994</v>
      </c>
      <c r="B120" s="30" t="s">
        <v>366</v>
      </c>
      <c r="C120" s="43" t="s">
        <v>231</v>
      </c>
      <c r="D120" s="43" t="s">
        <v>255</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85"/>
        <v>4.1653725266001668E-2</v>
      </c>
      <c r="O120" s="25"/>
      <c r="P120" s="603">
        <f>E120</f>
        <v>0.45</v>
      </c>
      <c r="Q120" s="360">
        <f t="shared" si="105"/>
        <v>0.45</v>
      </c>
      <c r="R120" s="360">
        <f t="shared" si="106"/>
        <v>0.45</v>
      </c>
      <c r="S120" s="360">
        <f t="shared" si="107"/>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10">W120*0.9</f>
        <v>5.238082676035258E-3</v>
      </c>
      <c r="Y120" s="63">
        <f t="shared" si="110"/>
        <v>4.7142744084317321E-3</v>
      </c>
      <c r="Z120" s="63">
        <f t="shared" si="110"/>
        <v>4.2428469675885594E-3</v>
      </c>
      <c r="AA120" s="63">
        <f t="shared" si="110"/>
        <v>3.8185622708297035E-3</v>
      </c>
      <c r="AB120" s="63">
        <f t="shared" si="110"/>
        <v>3.4367060437467331E-3</v>
      </c>
      <c r="AC120" s="63">
        <f t="shared" si="110"/>
        <v>3.0930354393720601E-3</v>
      </c>
      <c r="AD120" s="63"/>
      <c r="AE120" s="63">
        <f>(IFERROR(IF($N120/(SUMIF(RES!$D$39:$D$145,$D120,$N$39:$N$145))=1,1,($N120/(SUMIF(RES!$D$39:$D$145,$D120,$N$39:$N$145)))),0))-AE$29</f>
        <v>5.366768735845997E-3</v>
      </c>
      <c r="AF120" s="63">
        <f>AE120*0.7</f>
        <v>3.7567381150921978E-3</v>
      </c>
      <c r="AG120" s="63">
        <f t="shared" si="109"/>
        <v>2.6297166805645381E-3</v>
      </c>
      <c r="AH120" s="63">
        <f t="shared" si="109"/>
        <v>1.8408016763951766E-3</v>
      </c>
      <c r="AI120" s="63">
        <f t="shared" si="109"/>
        <v>1.2885611734766236E-3</v>
      </c>
      <c r="AJ120" s="609">
        <f>AI120*0.5</f>
        <v>6.442805867383118E-4</v>
      </c>
      <c r="AK120" s="609">
        <f>AJ120*0.5</f>
        <v>3.221402933691559E-4</v>
      </c>
      <c r="AL120" s="609">
        <v>0</v>
      </c>
      <c r="AM120"/>
      <c r="AN120"/>
      <c r="AO120" s="249" t="s">
        <v>110</v>
      </c>
      <c r="AP120" s="496">
        <f>E120</f>
        <v>0.45</v>
      </c>
      <c r="AQ120"/>
      <c r="AR120"/>
      <c r="AS120"/>
      <c r="AT120"/>
      <c r="AU120"/>
      <c r="AV120"/>
      <c r="AW120"/>
      <c r="AX120"/>
      <c r="AY120"/>
      <c r="AZ120"/>
      <c r="BA120"/>
      <c r="BB120"/>
      <c r="BC120"/>
      <c r="BD120"/>
    </row>
    <row r="121" spans="1:56" ht="15" outlineLevel="1">
      <c r="A121" s="108" t="s">
        <v>995</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85"/>
        <v>0</v>
      </c>
      <c r="O121" s="25"/>
      <c r="P121" s="603">
        <f>E121</f>
        <v>0.9</v>
      </c>
      <c r="Q121" s="360">
        <f t="shared" si="105"/>
        <v>0.9</v>
      </c>
      <c r="R121" s="360">
        <f t="shared" si="106"/>
        <v>0.9</v>
      </c>
      <c r="S121" s="360">
        <f t="shared" si="107"/>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 outlineLevel="1">
      <c r="A122" s="524" t="s">
        <v>927</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05"/>
        <v/>
      </c>
      <c r="R122" s="530" t="str">
        <f t="shared" si="106"/>
        <v/>
      </c>
      <c r="S122" s="530" t="str">
        <f>IF(G122="","",IF(COUNTIF(#REF!,$B122)=1,SUMIF(#REF!,RES!$B122,#REF!),SUMIF(#REF!,RES!$B122,#REF!)))</f>
        <v/>
      </c>
      <c r="T122" s="531"/>
      <c r="U122" s="532"/>
      <c r="V122" s="533">
        <f t="shared" ref="V122:AC122" si="111">SUM(V117:V121)</f>
        <v>1.004</v>
      </c>
      <c r="W122" s="533">
        <f t="shared" si="111"/>
        <v>1.0437627244418257</v>
      </c>
      <c r="X122" s="533">
        <f t="shared" si="111"/>
        <v>1.0736966315346008</v>
      </c>
      <c r="Y122" s="533">
        <f t="shared" si="111"/>
        <v>1.1025028664785019</v>
      </c>
      <c r="Z122" s="533">
        <f t="shared" si="111"/>
        <v>1.1563941964884172</v>
      </c>
      <c r="AA122" s="533">
        <f t="shared" si="111"/>
        <v>1.2150871120577444</v>
      </c>
      <c r="AB122" s="533">
        <f t="shared" si="111"/>
        <v>1.272644269026505</v>
      </c>
      <c r="AC122" s="533">
        <f t="shared" si="111"/>
        <v>1.3266010897248324</v>
      </c>
      <c r="AD122" s="532"/>
      <c r="AE122" s="533">
        <f>SUM(AE117:AE121)</f>
        <v>0.99929999999999997</v>
      </c>
      <c r="AF122" s="533">
        <f t="shared" ref="AF122:AL122" si="112">SUM(AF117:AF121)</f>
        <v>0.9875490716291252</v>
      </c>
      <c r="AG122" s="533">
        <f t="shared" si="112"/>
        <v>0.97932342176951281</v>
      </c>
      <c r="AH122" s="533">
        <f t="shared" si="112"/>
        <v>0.97356546686778411</v>
      </c>
      <c r="AI122" s="533">
        <f t="shared" si="112"/>
        <v>0.96953489843657403</v>
      </c>
      <c r="AJ122" s="533">
        <f t="shared" si="112"/>
        <v>0.87060230253731663</v>
      </c>
      <c r="AK122" s="533">
        <f t="shared" si="112"/>
        <v>0.82064903867772709</v>
      </c>
      <c r="AL122" s="533">
        <f t="shared" si="112"/>
        <v>0.77120708902359636</v>
      </c>
      <c r="AO122" s="534"/>
    </row>
    <row r="123" spans="1:56" s="232" customFormat="1" ht="15">
      <c r="A123" s="537" t="s">
        <v>996</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05"/>
        <v/>
      </c>
      <c r="R123" s="552" t="str">
        <f t="shared" si="106"/>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997</v>
      </c>
      <c r="B124" s="30" t="s">
        <v>368</v>
      </c>
      <c r="C124" s="43" t="s">
        <v>229</v>
      </c>
      <c r="D124" s="43" t="s">
        <v>239</v>
      </c>
      <c r="E124" s="494">
        <f>INDEX('Electrical efficiency'!$L$8:$L$23,MATCH(RES!D124,'Electrical efficiency'!$K$8:$K$23,0))</f>
        <v>0.97249999999999992</v>
      </c>
      <c r="F124" s="557">
        <v>1</v>
      </c>
      <c r="G124" s="557">
        <v>1</v>
      </c>
      <c r="H124" s="557">
        <f t="shared" ref="H124:H129" si="113">N124/F124*(1+$D$31)</f>
        <v>2.5361920228237675</v>
      </c>
      <c r="I124" s="576">
        <v>1E-3</v>
      </c>
      <c r="J124" s="486">
        <v>0</v>
      </c>
      <c r="K124" s="48" t="s">
        <v>889</v>
      </c>
      <c r="L124" s="485">
        <v>1</v>
      </c>
      <c r="M124" s="485">
        <f>IF(C124="","",SUMIFS(Energy_Balance!I$55:I$159,Energy_Balance!$C$55:$C$159,C124,Energy_Balance!$D$55:$D$159,D124)*L124)</f>
        <v>2.6079095350372934</v>
      </c>
      <c r="N124" s="485">
        <f t="shared" si="85"/>
        <v>2.5361920228237675</v>
      </c>
      <c r="O124" s="25"/>
      <c r="P124" s="603">
        <f>INDEX('Electrical efficiency'!$M$8:$M$23,MATCH(RES!D124,'Electrical efficiency'!$K$8:$K$23,0))</f>
        <v>0.97249999999999992</v>
      </c>
      <c r="Q124" s="360">
        <f>INDEX('Electrical efficiency'!$N$8:$N$23,MATCH(RES!D124,'Electrical efficiency'!$K$8:$K$23,0))</f>
        <v>0.98232323232323226</v>
      </c>
      <c r="R124" s="360">
        <f>INDEX('Electrical efficiency'!$O$8:$O$23,MATCH(RES!D124,'Electrical efficiency'!$K$8:$K$23,0))</f>
        <v>1.0805555555555555</v>
      </c>
      <c r="S124" s="360">
        <f>INDEX('Electrical efficiency'!$P$8:$P$23,MATCH(RES!D124,'Electrical efficiency'!$K$8:$K$23,0))</f>
        <v>1.0805555555555555</v>
      </c>
      <c r="T124" s="203"/>
      <c r="U124" s="50"/>
      <c r="V124" s="63">
        <f>(IFERROR(IF(N124/(SUMIF(RES!$D$39:$D$145,D124,$N$39:$N$145))=1,1,(N124/(SUMIF(RES!$D$39:$D$145,D124,$N$39:$N$145))+$V$28)),0))</f>
        <v>0.49124842226363902</v>
      </c>
      <c r="W124" s="63">
        <f>IF($V124*(1+'Census 2011_17'!B$20)+W$28&lt;1,$V124*(1+'Census 2011_17'!B$20)+W$28,1)</f>
        <v>0.51388579159662151</v>
      </c>
      <c r="X124" s="63">
        <f>IF($V124*(1+'Census 2011_17'!C$20)+X$28&lt;1,$V124*(1+'Census 2011_17'!C$20)+X$28,1)</f>
        <v>0.53141347258401583</v>
      </c>
      <c r="Y124" s="63">
        <f>IF($V124*(1+'Census 2011_17'!D$20)+Y$28&lt;1,$V124*(1+'Census 2011_17'!D$20)+Y$28,1)</f>
        <v>0.54794115357141027</v>
      </c>
      <c r="Z124" s="63">
        <f>IF($V124*(1+'Census 2011_17'!E$20)+Z$28&lt;1,$V124*(1+'Census 2011_17'!E$20)+Z$28,1)</f>
        <v>0.58096883455880477</v>
      </c>
      <c r="AA124" s="63">
        <f>IF($V124*(1+'Census 2011_17'!F$20)+AA$28&lt;1,$V124*(1+'Census 2011_17'!F$20)+AA$28,1)</f>
        <v>0.61699651554619916</v>
      </c>
      <c r="AB124" s="63">
        <f>IF($V124*(1+'Census 2011_17'!G$20)+AB$28&lt;1,$V124*(1+'Census 2011_17'!G$20)+AB$28,1)</f>
        <v>0.65699651554619909</v>
      </c>
      <c r="AC124" s="63">
        <f>IF($V124*(1+'Census 2011_17'!H$20)+AC$28&lt;1,$V124*(1+'Census 2011_17'!H$20)+AC$28,1)</f>
        <v>0.73699651554619916</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14">H124/SUM($H$124:$H$129)</f>
        <v>0.49024842226363902</v>
      </c>
      <c r="AO124" s="249" t="s">
        <v>110</v>
      </c>
      <c r="AP124" s="496">
        <f t="shared" ref="AP124:AP129" si="115">E124</f>
        <v>0.97249999999999992</v>
      </c>
      <c r="AQ124"/>
      <c r="AR124"/>
      <c r="AS124"/>
      <c r="AT124"/>
      <c r="AU124"/>
      <c r="AV124"/>
      <c r="AW124"/>
      <c r="AX124"/>
      <c r="AY124"/>
      <c r="AZ124"/>
      <c r="BA124"/>
      <c r="BB124"/>
      <c r="BC124"/>
      <c r="BD124"/>
    </row>
    <row r="125" spans="1:56" ht="15" outlineLevel="1">
      <c r="A125" s="108" t="s">
        <v>998</v>
      </c>
      <c r="B125" s="30" t="s">
        <v>369</v>
      </c>
      <c r="C125" s="43" t="s">
        <v>231</v>
      </c>
      <c r="D125" s="43" t="s">
        <v>239</v>
      </c>
      <c r="E125" s="486">
        <v>0.73</v>
      </c>
      <c r="F125" s="557">
        <v>1</v>
      </c>
      <c r="G125" s="557">
        <v>1</v>
      </c>
      <c r="H125" s="557">
        <f t="shared" si="113"/>
        <v>1.8604840393153063E-2</v>
      </c>
      <c r="I125" s="576">
        <v>1E-3</v>
      </c>
      <c r="J125" s="486">
        <v>0</v>
      </c>
      <c r="K125" s="48"/>
      <c r="L125" s="485">
        <v>1</v>
      </c>
      <c r="M125" s="485">
        <f>IF(C125="","",SUMIFS(Energy_Balance!I$55:I$159,Energy_Balance!$C$55:$C$159,C125,Energy_Balance!$D$55:$D$159,D125)*L125)</f>
        <v>2.5486082730346662E-2</v>
      </c>
      <c r="N125" s="485">
        <f t="shared" si="85"/>
        <v>1.8604840393153063E-2</v>
      </c>
      <c r="O125" s="25"/>
      <c r="P125" s="603">
        <f>E125</f>
        <v>0.73</v>
      </c>
      <c r="Q125" s="360">
        <f t="shared" ref="Q125:Q139" si="116">IF($AO125="","",($R125-$AP125)*15/25+$AP125)</f>
        <v>0.73</v>
      </c>
      <c r="R125" s="360">
        <f t="shared" ref="R125:R139" si="117">IF($AO125="","",IF($AO125="*",$AP125*(1+$P$29),E125))</f>
        <v>0.73</v>
      </c>
      <c r="S125" s="360">
        <f t="shared" ref="S125:S129" si="118">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19">W125</f>
        <v>4.5963340185318068E-3</v>
      </c>
      <c r="Y125" s="63">
        <f t="shared" si="119"/>
        <v>4.5963340185318068E-3</v>
      </c>
      <c r="Z125" s="63">
        <f t="shared" si="119"/>
        <v>4.5963340185318068E-3</v>
      </c>
      <c r="AA125" s="63">
        <f t="shared" si="119"/>
        <v>4.5963340185318068E-3</v>
      </c>
      <c r="AB125" s="63">
        <f t="shared" si="119"/>
        <v>4.5963340185318068E-3</v>
      </c>
      <c r="AC125" s="63">
        <f t="shared" si="119"/>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14"/>
        <v>3.5963340185318064E-3</v>
      </c>
      <c r="AO125" s="21" t="s">
        <v>484</v>
      </c>
      <c r="AP125" s="496">
        <f t="shared" si="115"/>
        <v>0.73</v>
      </c>
    </row>
    <row r="126" spans="1:56" ht="15" outlineLevel="1">
      <c r="A126" s="108" t="s">
        <v>999</v>
      </c>
      <c r="B126" s="30" t="s">
        <v>370</v>
      </c>
      <c r="C126" s="43" t="s">
        <v>232</v>
      </c>
      <c r="D126" s="43" t="s">
        <v>239</v>
      </c>
      <c r="E126" s="486">
        <v>0.59</v>
      </c>
      <c r="F126" s="557">
        <v>1</v>
      </c>
      <c r="G126" s="557">
        <v>1</v>
      </c>
      <c r="H126" s="557">
        <f t="shared" si="113"/>
        <v>0.14468092216517153</v>
      </c>
      <c r="I126" s="576">
        <v>1E-3</v>
      </c>
      <c r="J126" s="486">
        <v>0</v>
      </c>
      <c r="K126" s="48"/>
      <c r="L126" s="485">
        <v>1</v>
      </c>
      <c r="M126" s="485">
        <f>IF(C126="","",SUMIFS(Energy_Balance!I$55:I$159,Energy_Balance!$C$55:$C$159,C126,Energy_Balance!$D$55:$D$159,D126)*L126)</f>
        <v>0.24522190197486701</v>
      </c>
      <c r="N126" s="485">
        <f t="shared" si="85"/>
        <v>0.14468092216517153</v>
      </c>
      <c r="O126" s="25"/>
      <c r="P126" s="603">
        <f>E126</f>
        <v>0.59</v>
      </c>
      <c r="Q126" s="360">
        <f t="shared" si="116"/>
        <v>0.59</v>
      </c>
      <c r="R126" s="360">
        <f t="shared" si="117"/>
        <v>0.59</v>
      </c>
      <c r="S126" s="360">
        <f t="shared" si="118"/>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19"/>
        <v>2.8966965113371618E-2</v>
      </c>
      <c r="Y126" s="63">
        <f t="shared" si="119"/>
        <v>2.8966965113371618E-2</v>
      </c>
      <c r="Z126" s="63">
        <f t="shared" si="119"/>
        <v>2.8966965113371618E-2</v>
      </c>
      <c r="AA126" s="63">
        <f t="shared" si="119"/>
        <v>2.8966965113371618E-2</v>
      </c>
      <c r="AB126" s="63">
        <f t="shared" si="119"/>
        <v>2.8966965113371618E-2</v>
      </c>
      <c r="AC126" s="63">
        <f t="shared" si="119"/>
        <v>2.8966965113371618E-2</v>
      </c>
      <c r="AD126" s="50"/>
      <c r="AE126" s="63">
        <f>(IFERROR(IF($N126/(SUMIF(RES!$D$39:$D$145,$D126,$N$39:$N$145))=1,1,($N126/(SUMIF(RES!$D$39:$D$145,$D126,$N$39:$N$145)))),0))-AE$29</f>
        <v>2.7866965113371618E-2</v>
      </c>
      <c r="AF126" s="63">
        <f>IF(W126-AF$29&lt;0,0,W126-AF$29*2)</f>
        <v>1.896696511337162E-2</v>
      </c>
      <c r="AG126" s="63">
        <f t="shared" ref="AG126" si="120">IF(X126-AG$29&lt;0,0,X126-AG$29*2)</f>
        <v>2.1966965113371619E-2</v>
      </c>
      <c r="AH126" s="63">
        <f t="shared" ref="AH126" si="121">IF(Y126-AH$29&lt;0,0,Y126-AH$29*2)</f>
        <v>8.966965113371618E-3</v>
      </c>
      <c r="AI126" s="63">
        <v>0</v>
      </c>
      <c r="AJ126" s="63">
        <v>0</v>
      </c>
      <c r="AK126" s="63">
        <v>0</v>
      </c>
      <c r="AL126" s="63">
        <v>0</v>
      </c>
      <c r="AN126" s="125">
        <f t="shared" si="114"/>
        <v>2.7966965113371618E-2</v>
      </c>
      <c r="AO126" s="21" t="s">
        <v>484</v>
      </c>
      <c r="AP126" s="496">
        <f t="shared" si="115"/>
        <v>0.59</v>
      </c>
    </row>
    <row r="127" spans="1:56" ht="15" outlineLevel="1">
      <c r="A127" s="108" t="s">
        <v>1000</v>
      </c>
      <c r="B127" s="30" t="s">
        <v>371</v>
      </c>
      <c r="C127" s="43" t="s">
        <v>233</v>
      </c>
      <c r="D127" s="43" t="s">
        <v>239</v>
      </c>
      <c r="E127" s="486">
        <v>0.59</v>
      </c>
      <c r="F127" s="557">
        <v>1</v>
      </c>
      <c r="G127" s="557">
        <v>1</v>
      </c>
      <c r="H127" s="557">
        <f t="shared" si="113"/>
        <v>0.73037386932638193</v>
      </c>
      <c r="I127" s="576">
        <v>1E-3</v>
      </c>
      <c r="J127" s="486">
        <v>0</v>
      </c>
      <c r="K127" s="48"/>
      <c r="L127" s="485">
        <v>1</v>
      </c>
      <c r="M127" s="485">
        <f>IF(C127="","",SUMIFS(Energy_Balance!I$55:I$159,Energy_Balance!$C$55:$C$159,C127,Energy_Balance!$D$55:$D$159,D127)*L127)</f>
        <v>1.2379218124175966</v>
      </c>
      <c r="N127" s="485">
        <f t="shared" si="85"/>
        <v>0.73037386932638193</v>
      </c>
      <c r="O127" s="25"/>
      <c r="P127" s="603">
        <f>E127</f>
        <v>0.59</v>
      </c>
      <c r="Q127" s="360">
        <f t="shared" si="116"/>
        <v>0.59</v>
      </c>
      <c r="R127" s="360">
        <f t="shared" si="117"/>
        <v>0.59</v>
      </c>
      <c r="S127" s="360">
        <f t="shared" si="118"/>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19"/>
        <v>0.14218199011649871</v>
      </c>
      <c r="Y127" s="63">
        <f t="shared" si="119"/>
        <v>0.14218199011649871</v>
      </c>
      <c r="Z127" s="63">
        <f t="shared" si="119"/>
        <v>0.14218199011649871</v>
      </c>
      <c r="AA127" s="63">
        <f t="shared" si="119"/>
        <v>0.14218199011649871</v>
      </c>
      <c r="AB127" s="63">
        <f t="shared" si="119"/>
        <v>0.14218199011649871</v>
      </c>
      <c r="AC127" s="63">
        <f t="shared" si="119"/>
        <v>0.14218199011649871</v>
      </c>
      <c r="AD127" s="50"/>
      <c r="AE127" s="63">
        <f>(IFERROR(IF($N127/(SUMIF(RES!$D$39:$D$145,$D127,$N$39:$N$145))=1,1,($N127/(SUMIF(RES!$D$39:$D$145,$D127,$N$39:$N$145)))),0))-AE$29*2</f>
        <v>0.1409819901164987</v>
      </c>
      <c r="AF127" s="63">
        <f>IF(W127-AF$29&lt;0,0,W127-AF$29*2)</f>
        <v>0.1321819901164987</v>
      </c>
      <c r="AG127" s="63">
        <f>IF(X127-AG$29&lt;0,0,X127-AG$29*5)</f>
        <v>0.12468199011649871</v>
      </c>
      <c r="AH127" s="609">
        <f>IF(Y127-AH$29&lt;0,0,Y127-AH$29*5)*0.9</f>
        <v>8.2963791104848833E-2</v>
      </c>
      <c r="AI127" s="63">
        <f>IF(Z127-AI$29&lt;0,0,Z127-AI$29*10)</f>
        <v>4.2181990116498702E-2</v>
      </c>
      <c r="AJ127" s="63">
        <f t="shared" ref="AJ127:AK127" si="122">IF(AA127-AJ$29&lt;0,0,AA127-AJ$29*10)</f>
        <v>3.2181990116498721E-2</v>
      </c>
      <c r="AK127" s="63">
        <f t="shared" si="122"/>
        <v>1.7181990116498708E-2</v>
      </c>
      <c r="AL127" s="63">
        <v>0</v>
      </c>
      <c r="AN127" s="125">
        <f t="shared" si="114"/>
        <v>0.14118199011649871</v>
      </c>
      <c r="AO127" s="21" t="s">
        <v>484</v>
      </c>
      <c r="AP127" s="496">
        <f t="shared" si="115"/>
        <v>0.59</v>
      </c>
    </row>
    <row r="128" spans="1:56" ht="15" outlineLevel="1">
      <c r="A128" s="108" t="s">
        <v>1001</v>
      </c>
      <c r="B128" s="30" t="s">
        <v>372</v>
      </c>
      <c r="C128" s="43" t="s">
        <v>230</v>
      </c>
      <c r="D128" s="43" t="s">
        <v>239</v>
      </c>
      <c r="E128" s="486">
        <v>0.79</v>
      </c>
      <c r="F128" s="557">
        <v>1</v>
      </c>
      <c r="G128" s="557">
        <v>1</v>
      </c>
      <c r="H128" s="557">
        <f t="shared" si="113"/>
        <v>1.7434276617518025</v>
      </c>
      <c r="I128" s="576">
        <v>1E-3</v>
      </c>
      <c r="J128" s="486">
        <v>0</v>
      </c>
      <c r="K128" s="48"/>
      <c r="L128" s="485">
        <v>1</v>
      </c>
      <c r="M128" s="485">
        <f>IF(C128="","",SUMIFS(Energy_Balance!I$55:I$159,Energy_Balance!$C$55:$C$159,C128,Energy_Balance!$D$55:$D$159,D128)*L128)</f>
        <v>2.206870457913674</v>
      </c>
      <c r="N128" s="485">
        <f t="shared" si="85"/>
        <v>1.7434276617518025</v>
      </c>
      <c r="O128" s="25"/>
      <c r="P128" s="603">
        <f>E128</f>
        <v>0.79</v>
      </c>
      <c r="Q128" s="360">
        <f t="shared" si="116"/>
        <v>0.79</v>
      </c>
      <c r="R128" s="360">
        <f t="shared" si="117"/>
        <v>0.79</v>
      </c>
      <c r="S128" s="360">
        <f t="shared" si="118"/>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0.43700575483088144</v>
      </c>
      <c r="AC128" s="63">
        <f>IF($V128*(1+'Census 2011_17'!H$20)+AC$28/2&lt;1,$V128*(1+'Census 2011_17'!H$20)+AC$28/2,1)</f>
        <v>0.47700575483088148</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3">
        <f>$AE128*(1+'Census 2011_17'!G$20)-AK$28</f>
        <v>0.39321374830559602</v>
      </c>
      <c r="AL128" s="63">
        <f>$AE128*(1+'Census 2011_17'!H$20)-AL$28</f>
        <v>0.39321374830559602</v>
      </c>
      <c r="AN128" s="125">
        <f t="shared" si="114"/>
        <v>0.33700628848795883</v>
      </c>
      <c r="AO128" s="21" t="s">
        <v>484</v>
      </c>
      <c r="AP128" s="496">
        <f t="shared" si="115"/>
        <v>0.79</v>
      </c>
    </row>
    <row r="129" spans="1:56" s="157" customFormat="1" ht="15" outlineLevel="1">
      <c r="A129" s="108" t="s">
        <v>1002</v>
      </c>
      <c r="B129" s="30" t="s">
        <v>373</v>
      </c>
      <c r="C129" s="43" t="s">
        <v>161</v>
      </c>
      <c r="D129" s="43" t="s">
        <v>239</v>
      </c>
      <c r="E129" s="486">
        <v>0.96</v>
      </c>
      <c r="F129" s="557">
        <v>1</v>
      </c>
      <c r="G129" s="557">
        <v>1</v>
      </c>
      <c r="H129" s="557">
        <f t="shared" si="113"/>
        <v>0</v>
      </c>
      <c r="I129" s="576">
        <v>1E-3</v>
      </c>
      <c r="J129" s="486">
        <v>0</v>
      </c>
      <c r="K129" s="48"/>
      <c r="L129" s="485">
        <v>1</v>
      </c>
      <c r="M129" s="485">
        <f>IF(C129="","",SUMIFS(Energy_Balance!I$55:I$159,Energy_Balance!$C$55:$C$159,C129,Energy_Balance!$D$55:$D$159,D129)*L129)</f>
        <v>0</v>
      </c>
      <c r="N129" s="485">
        <f t="shared" si="85"/>
        <v>0</v>
      </c>
      <c r="O129" s="25"/>
      <c r="P129" s="603">
        <f>E129</f>
        <v>0.96</v>
      </c>
      <c r="Q129" s="360">
        <f t="shared" si="116"/>
        <v>0.96</v>
      </c>
      <c r="R129" s="360">
        <f t="shared" si="117"/>
        <v>0.96</v>
      </c>
      <c r="S129" s="360">
        <f t="shared" si="118"/>
        <v>0.96</v>
      </c>
      <c r="T129" s="203"/>
      <c r="U129" s="50"/>
      <c r="V129" s="63">
        <f>IF((IFERROR(IF(N129/(SUMIF(RES!$D$39:$D$145,D129,$N$39:$N$145))=1,1,(N129/(SUMIF(RES!$D$39:$D$145,D129,$N$39:$N$145))+$V$29)),0))&lt;1,(IFERROR(IF(N129/(SUMIF(RES!$D$39:$D$145,D129,$N$39:$N$145))=1,1,(N129/(SUMIF(RES!$D$39:$D$145,D129,$N$39:$N$145))+$V$29)),0)),1)</f>
        <v>1E-3</v>
      </c>
      <c r="W129" s="50">
        <f>V129</f>
        <v>1E-3</v>
      </c>
      <c r="X129" s="50">
        <f t="shared" si="119"/>
        <v>1E-3</v>
      </c>
      <c r="Y129" s="50">
        <f t="shared" si="119"/>
        <v>1E-3</v>
      </c>
      <c r="Z129" s="50">
        <f t="shared" si="119"/>
        <v>1E-3</v>
      </c>
      <c r="AA129" s="50">
        <f t="shared" si="119"/>
        <v>1E-3</v>
      </c>
      <c r="AB129" s="50">
        <f t="shared" si="119"/>
        <v>1E-3</v>
      </c>
      <c r="AC129" s="50">
        <f t="shared" si="119"/>
        <v>1E-3</v>
      </c>
      <c r="AD129" s="50"/>
      <c r="AE129" s="63">
        <v>0</v>
      </c>
      <c r="AF129" s="50">
        <f>AE129</f>
        <v>0</v>
      </c>
      <c r="AG129" s="50">
        <f t="shared" ref="AG129:AL129" si="123">AF129</f>
        <v>0</v>
      </c>
      <c r="AH129" s="50">
        <f t="shared" si="123"/>
        <v>0</v>
      </c>
      <c r="AI129" s="50">
        <f t="shared" si="123"/>
        <v>0</v>
      </c>
      <c r="AJ129" s="50">
        <f t="shared" si="123"/>
        <v>0</v>
      </c>
      <c r="AK129" s="50">
        <f t="shared" si="123"/>
        <v>0</v>
      </c>
      <c r="AL129" s="50">
        <f t="shared" si="123"/>
        <v>0</v>
      </c>
      <c r="AM129"/>
      <c r="AN129" s="125">
        <f t="shared" si="114"/>
        <v>0</v>
      </c>
      <c r="AO129" s="158" t="s">
        <v>484</v>
      </c>
      <c r="AP129" s="496">
        <f t="shared" si="115"/>
        <v>0.96</v>
      </c>
      <c r="AQ129"/>
      <c r="AR129"/>
      <c r="AS129"/>
      <c r="AT129"/>
      <c r="AU129"/>
      <c r="AV129"/>
      <c r="AW129"/>
      <c r="AX129"/>
      <c r="AY129"/>
      <c r="AZ129"/>
      <c r="BA129"/>
      <c r="BB129"/>
      <c r="BC129"/>
      <c r="BD129"/>
    </row>
    <row r="130" spans="1:56" s="191" customFormat="1" ht="15" outlineLevel="1">
      <c r="A130" s="524" t="s">
        <v>927</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16"/>
        <v/>
      </c>
      <c r="R130" s="530" t="str">
        <f t="shared" si="117"/>
        <v/>
      </c>
      <c r="S130" s="530" t="str">
        <f>IF(G130="","",IF(COUNTIF(#REF!,$B130)=1,SUMIF(#REF!,RES!$B130,#REF!),SUMIF(#REF!,RES!$B130,#REF!)))</f>
        <v/>
      </c>
      <c r="T130" s="531"/>
      <c r="U130" s="532"/>
      <c r="V130" s="533">
        <f>SUM(V124:V129)</f>
        <v>1.0059999999999998</v>
      </c>
      <c r="W130" s="533">
        <f t="shared" ref="W130:AC130" si="124">SUM(W124:W129)</f>
        <v>1.0440250851391404</v>
      </c>
      <c r="X130" s="533">
        <f t="shared" si="124"/>
        <v>1.0733307037607258</v>
      </c>
      <c r="Y130" s="533">
        <f t="shared" si="124"/>
        <v>1.1011363223823114</v>
      </c>
      <c r="Z130" s="533">
        <f t="shared" si="124"/>
        <v>1.153691941003897</v>
      </c>
      <c r="AA130" s="533">
        <f t="shared" si="124"/>
        <v>1.2107475596254826</v>
      </c>
      <c r="AB130" s="533">
        <f t="shared" si="124"/>
        <v>1.2707475596254825</v>
      </c>
      <c r="AC130" s="533">
        <f t="shared" si="124"/>
        <v>1.3907475596254826</v>
      </c>
      <c r="AD130" s="532"/>
      <c r="AE130" s="533">
        <f>SUM(AE124:AE129)</f>
        <v>0.99940000000000007</v>
      </c>
      <c r="AF130" s="533">
        <f t="shared" ref="AF130:AL130" si="125">SUM(AF124:AF129)</f>
        <v>0.98328891908828431</v>
      </c>
      <c r="AG130" s="533">
        <f t="shared" si="125"/>
        <v>0.99728437698700012</v>
      </c>
      <c r="AH130" s="533">
        <f t="shared" si="125"/>
        <v>0.99188133258214628</v>
      </c>
      <c r="AI130" s="533">
        <f t="shared" si="125"/>
        <v>0.97411640696171653</v>
      </c>
      <c r="AJ130" s="533">
        <f t="shared" si="125"/>
        <v>0.9911002474430084</v>
      </c>
      <c r="AK130" s="533">
        <f t="shared" si="125"/>
        <v>0.97610024744300827</v>
      </c>
      <c r="AL130" s="533">
        <f t="shared" si="125"/>
        <v>0.95891825732650959</v>
      </c>
      <c r="AO130" s="534"/>
    </row>
    <row r="131" spans="1:56" s="232" customFormat="1" ht="15">
      <c r="A131" s="537" t="s">
        <v>1003</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16"/>
        <v/>
      </c>
      <c r="R131" s="552" t="str">
        <f t="shared" si="117"/>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1004</v>
      </c>
      <c r="B132" s="30" t="s">
        <v>374</v>
      </c>
      <c r="C132" s="43" t="s">
        <v>229</v>
      </c>
      <c r="D132" s="43" t="s">
        <v>561</v>
      </c>
      <c r="E132" s="486">
        <v>0.75</v>
      </c>
      <c r="F132" s="557">
        <v>1</v>
      </c>
      <c r="G132" s="557">
        <v>1</v>
      </c>
      <c r="H132" s="557">
        <f t="shared" ref="H132:H137" si="126">N132/F132*(1+$D$31)</f>
        <v>31.226866791274468</v>
      </c>
      <c r="I132" s="576">
        <v>1E-3</v>
      </c>
      <c r="J132" s="486">
        <v>0</v>
      </c>
      <c r="K132" s="48"/>
      <c r="L132" s="485">
        <v>0.94</v>
      </c>
      <c r="M132" s="485">
        <f>SUMIFS(Energy_Balance!I$55:I$159,Energy_Balance!$C$55:$C$159,C132,Energy_Balance!$D$55:$D$159,D132)*L132</f>
        <v>41.635822388365959</v>
      </c>
      <c r="N132" s="485">
        <f t="shared" si="85"/>
        <v>31.226866791274468</v>
      </c>
      <c r="O132" s="25"/>
      <c r="P132" s="603">
        <f t="shared" ref="P132:P137" si="127">E132</f>
        <v>0.75</v>
      </c>
      <c r="Q132" s="360">
        <f t="shared" si="116"/>
        <v>0.75</v>
      </c>
      <c r="R132" s="360">
        <f t="shared" si="117"/>
        <v>0.75</v>
      </c>
      <c r="S132" s="360">
        <f t="shared" ref="S132:S137" si="128">R132</f>
        <v>0.75</v>
      </c>
      <c r="T132" s="203"/>
      <c r="U132" s="272"/>
      <c r="V132" s="63">
        <f>(IFERROR(IF(N132/(SUMIF(RES!$D$39:$D$145,D132,$N$39:$N$145))=1,1,(N132/(SUMIF(RES!$D$39:$D$145,D132,$N$39:$N$145)))),0))+0.01</f>
        <v>0.69759289818943615</v>
      </c>
      <c r="W132" s="63">
        <f>V132*0.99</f>
        <v>0.69061696920754179</v>
      </c>
      <c r="X132" s="63">
        <f t="shared" ref="X132:AC132" si="129">W132*0.99</f>
        <v>0.68371079951546632</v>
      </c>
      <c r="Y132" s="63">
        <f t="shared" si="129"/>
        <v>0.67687369152031163</v>
      </c>
      <c r="Z132" s="63">
        <f t="shared" si="129"/>
        <v>0.67010495460510855</v>
      </c>
      <c r="AA132" s="63">
        <f t="shared" si="129"/>
        <v>0.66340390505905744</v>
      </c>
      <c r="AB132" s="63">
        <f t="shared" si="129"/>
        <v>0.65676986600846687</v>
      </c>
      <c r="AC132" s="63">
        <f t="shared" si="129"/>
        <v>0.65020216734838221</v>
      </c>
      <c r="AD132" s="63"/>
      <c r="AE132" s="609">
        <f>V132-0.008</f>
        <v>0.68959289818943614</v>
      </c>
      <c r="AF132" s="609">
        <f>MIN(W132-0.5%,$AE132*(1+'Census 2011_17'!B$20)-AF$28)</f>
        <v>0.68561696920754178</v>
      </c>
      <c r="AG132" s="609">
        <f>MIN(X132-0.5%,$AE132*(1+'Census 2011_17'!C$20)-AG$28)</f>
        <v>0.67871079951546631</v>
      </c>
      <c r="AH132" s="609">
        <f>MIN(Y132-0.5%,$AE132*(1+'Census 2011_17'!D$20)-AH$28)</f>
        <v>0.67187369152031162</v>
      </c>
      <c r="AI132" s="609">
        <f>MIN(Z132-0.5%,$AE132*(1+'Census 2011_17'!E$20)-AI$28)</f>
        <v>0.66510495460510854</v>
      </c>
      <c r="AJ132" s="609">
        <f>MIN(AA132-0.5%,$AE132*(1+'Census 2011_17'!F$20)-AJ$28)</f>
        <v>0.65840390505905744</v>
      </c>
      <c r="AK132" s="609">
        <f>MIN(AB132-0.5%,$AE132*(1+'Census 2011_17'!G$20)-AK$28)</f>
        <v>0.65176986600846687</v>
      </c>
      <c r="AL132" s="609">
        <f>MIN(AC132-0.5%,$AE132*(1+'Census 2011_17'!H$20)-AL$28)</f>
        <v>0.64520216734838221</v>
      </c>
      <c r="AM132"/>
      <c r="AN132"/>
      <c r="AO132" s="249" t="s">
        <v>110</v>
      </c>
      <c r="AP132" s="496">
        <f t="shared" ref="AP132:AP137" si="130">E132</f>
        <v>0.75</v>
      </c>
      <c r="AQ132"/>
      <c r="AR132" s="1" t="s">
        <v>1060</v>
      </c>
      <c r="AS132"/>
      <c r="AT132"/>
      <c r="AU132"/>
      <c r="AV132"/>
      <c r="AW132"/>
      <c r="AX132"/>
      <c r="AY132"/>
      <c r="AZ132"/>
      <c r="BA132"/>
      <c r="BB132"/>
      <c r="BC132"/>
      <c r="BD132"/>
    </row>
    <row r="133" spans="1:56" ht="15" outlineLevel="2">
      <c r="A133" s="556" t="s">
        <v>1005</v>
      </c>
      <c r="B133" s="30" t="s">
        <v>378</v>
      </c>
      <c r="C133" s="43" t="s">
        <v>229</v>
      </c>
      <c r="D133" s="43" t="s">
        <v>561</v>
      </c>
      <c r="E133" s="486">
        <v>2.3199999999999998</v>
      </c>
      <c r="F133" s="557">
        <v>1</v>
      </c>
      <c r="G133" s="557">
        <v>1</v>
      </c>
      <c r="H133" s="557">
        <f t="shared" si="126"/>
        <v>4.3981602339097723</v>
      </c>
      <c r="I133" s="576">
        <v>1E-3</v>
      </c>
      <c r="J133" s="486">
        <v>0</v>
      </c>
      <c r="K133" s="48"/>
      <c r="L133" s="485">
        <v>4.2799999999999998E-2</v>
      </c>
      <c r="M133" s="485">
        <f>SUMIFS(Energy_Balance!I$55:I$159,Energy_Balance!$C$55:$C$159,C133,Energy_Balance!$D$55:$D$159,D133)*L133</f>
        <v>1.8957587215128331</v>
      </c>
      <c r="N133" s="485">
        <f>E133*M133</f>
        <v>4.3981602339097723</v>
      </c>
      <c r="O133" s="25"/>
      <c r="P133" s="603">
        <f t="shared" si="127"/>
        <v>2.3199999999999998</v>
      </c>
      <c r="Q133" s="360">
        <f t="shared" si="116"/>
        <v>2.3199999999999998</v>
      </c>
      <c r="R133" s="360">
        <f t="shared" si="117"/>
        <v>2.3199999999999998</v>
      </c>
      <c r="S133" s="360">
        <f t="shared" si="128"/>
        <v>2.3199999999999998</v>
      </c>
      <c r="T133" s="203"/>
      <c r="U133" s="272"/>
      <c r="V133" s="63">
        <f>IF((IFERROR(IF(N133/(SUMIF(RES!$D$39:$D$145,D133,$N$39:$N$145))=1,1,(N133/(SUMIF(RES!$D$39:$D$145,D133,$N$39:$N$145)))),0))&lt;1,(IFERROR(IF(N133/(SUMIF(RES!$D$39:$D$145,D133,$N$39:$N$145))=1,1,(N133/(SUMIF(RES!$D$39:$D$145,D133,$N$39:$N$145)))),0)),1)</f>
        <v>9.684428995548687E-2</v>
      </c>
      <c r="W133" s="63">
        <f>V133*1.02</f>
        <v>9.8781175754596606E-2</v>
      </c>
      <c r="X133" s="63">
        <f t="shared" ref="X133:AC133" si="131">W133*1.02</f>
        <v>0.10075679926968854</v>
      </c>
      <c r="Y133" s="63">
        <f t="shared" si="131"/>
        <v>0.10277193525508231</v>
      </c>
      <c r="Z133" s="63">
        <f t="shared" si="131"/>
        <v>0.10482737396018396</v>
      </c>
      <c r="AA133" s="63">
        <f t="shared" si="131"/>
        <v>0.10692392143938764</v>
      </c>
      <c r="AB133" s="63">
        <f t="shared" si="131"/>
        <v>0.1090623998681754</v>
      </c>
      <c r="AC133" s="63">
        <f t="shared" si="131"/>
        <v>0.11124364786553891</v>
      </c>
      <c r="AD133" s="63"/>
      <c r="AE133" s="63">
        <f t="shared" ref="AE133:AE134" si="132">V133-0.005</f>
        <v>9.1844289955486866E-2</v>
      </c>
      <c r="AF133" s="63">
        <f t="shared" ref="AF133:AF134" si="133">W133-0.005</f>
        <v>9.3781175754596602E-2</v>
      </c>
      <c r="AG133" s="63">
        <f t="shared" ref="AG133:AG134" si="134">X133-0.005</f>
        <v>9.5756799269688539E-2</v>
      </c>
      <c r="AH133" s="63">
        <f t="shared" ref="AH133:AH134" si="135">Y133-0.005</f>
        <v>9.7771935255082307E-2</v>
      </c>
      <c r="AI133" s="63">
        <f t="shared" ref="AI133:AI134" si="136">Z133-0.005</f>
        <v>9.9827373960183957E-2</v>
      </c>
      <c r="AJ133" s="63">
        <f t="shared" ref="AJ133:AJ134" si="137">AA133-0.005</f>
        <v>0.10192392143938764</v>
      </c>
      <c r="AK133" s="63">
        <f t="shared" ref="AK133:AK134" si="138">AB133-0.005</f>
        <v>0.10406239986817539</v>
      </c>
      <c r="AL133" s="63">
        <f t="shared" ref="AL133:AL134" si="139">AC133-0.005</f>
        <v>0.1062436478655389</v>
      </c>
      <c r="AO133" s="249" t="s">
        <v>110</v>
      </c>
      <c r="AP133" s="496">
        <f t="shared" si="130"/>
        <v>2.3199999999999998</v>
      </c>
    </row>
    <row r="134" spans="1:56" ht="15" outlineLevel="2">
      <c r="A134" s="108" t="s">
        <v>1006</v>
      </c>
      <c r="B134" s="30" t="s">
        <v>375</v>
      </c>
      <c r="C134" s="43" t="s">
        <v>229</v>
      </c>
      <c r="D134" s="43" t="s">
        <v>561</v>
      </c>
      <c r="E134" s="486">
        <v>2.15</v>
      </c>
      <c r="F134" s="557">
        <v>1</v>
      </c>
      <c r="G134" s="557">
        <v>1</v>
      </c>
      <c r="H134" s="557">
        <f t="shared" si="126"/>
        <v>9.7897334726347331</v>
      </c>
      <c r="I134" s="576">
        <v>1E-3</v>
      </c>
      <c r="J134" s="486">
        <v>0</v>
      </c>
      <c r="K134" s="48"/>
      <c r="L134" s="485">
        <f>1-L132+L133</f>
        <v>0.10280000000000006</v>
      </c>
      <c r="M134" s="485">
        <f>SUMIFS(Energy_Balance!I$55:I$159,Energy_Balance!$C$55:$C$159,C134,Energy_Balance!$D$55:$D$159,D134)*L134</f>
        <v>4.5533644058766205</v>
      </c>
      <c r="N134" s="485">
        <f t="shared" si="85"/>
        <v>9.7897334726347331</v>
      </c>
      <c r="O134" s="25"/>
      <c r="P134" s="603">
        <f t="shared" si="127"/>
        <v>2.15</v>
      </c>
      <c r="Q134" s="360">
        <f t="shared" si="116"/>
        <v>2.15</v>
      </c>
      <c r="R134" s="360">
        <f t="shared" si="117"/>
        <v>2.15</v>
      </c>
      <c r="S134" s="360">
        <f t="shared" si="128"/>
        <v>2.15</v>
      </c>
      <c r="T134" s="203"/>
      <c r="U134" s="272"/>
      <c r="V134" s="63">
        <f>IF((IFERROR(IF(N134/(SUMIF(RES!$D$39:$D$145,D134,$N$39:$N$145))=1,1,(N134/(SUMIF(RES!$D$39:$D$145,D134,$N$39:$N$145))+$V$28)),0))&lt;1,(IFERROR(IF(N134/(SUMIF(RES!$D$39:$D$145,D134,$N$39:$N$145))=1,1,(N134/(SUMIF(RES!$D$39:$D$145,D134,$N$39:$N$145))+$V$28)),0)),1)</f>
        <v>0.21656281185507698</v>
      </c>
      <c r="W134" s="63">
        <f>V134*1.02</f>
        <v>0.22089406809217851</v>
      </c>
      <c r="X134" s="63">
        <f t="shared" ref="X134:AC134" si="140">W134*1.02</f>
        <v>0.22531194945402208</v>
      </c>
      <c r="Y134" s="63">
        <f t="shared" si="140"/>
        <v>0.22981818844310253</v>
      </c>
      <c r="Z134" s="63">
        <f t="shared" si="140"/>
        <v>0.23441455221196458</v>
      </c>
      <c r="AA134" s="63">
        <f t="shared" si="140"/>
        <v>0.23910284325620387</v>
      </c>
      <c r="AB134" s="63">
        <f t="shared" si="140"/>
        <v>0.24388490012132796</v>
      </c>
      <c r="AC134" s="63">
        <f t="shared" si="140"/>
        <v>0.24876259812375454</v>
      </c>
      <c r="AD134" s="63"/>
      <c r="AE134" s="63">
        <f t="shared" si="132"/>
        <v>0.21156281185507697</v>
      </c>
      <c r="AF134" s="63">
        <f t="shared" si="133"/>
        <v>0.21589406809217851</v>
      </c>
      <c r="AG134" s="63">
        <f t="shared" si="134"/>
        <v>0.22031194945402208</v>
      </c>
      <c r="AH134" s="63">
        <f t="shared" si="135"/>
        <v>0.22481818844310253</v>
      </c>
      <c r="AI134" s="63">
        <f t="shared" si="136"/>
        <v>0.22941455221196458</v>
      </c>
      <c r="AJ134" s="63">
        <f t="shared" si="137"/>
        <v>0.23410284325620387</v>
      </c>
      <c r="AK134" s="63">
        <f t="shared" si="138"/>
        <v>0.23888490012132796</v>
      </c>
      <c r="AL134" s="63">
        <f t="shared" si="139"/>
        <v>0.24376259812375453</v>
      </c>
      <c r="AO134" s="249" t="s">
        <v>110</v>
      </c>
      <c r="AP134" s="496">
        <f t="shared" si="130"/>
        <v>2.15</v>
      </c>
    </row>
    <row r="135" spans="1:56" ht="15" outlineLevel="2">
      <c r="A135" s="108" t="s">
        <v>1007</v>
      </c>
      <c r="B135" s="30" t="s">
        <v>376</v>
      </c>
      <c r="C135" s="43" t="s">
        <v>231</v>
      </c>
      <c r="D135" s="43" t="s">
        <v>256</v>
      </c>
      <c r="E135" s="486">
        <v>0.56999999999999995</v>
      </c>
      <c r="F135" s="557">
        <v>1</v>
      </c>
      <c r="G135" s="557">
        <v>1</v>
      </c>
      <c r="H135" s="557">
        <f t="shared" si="126"/>
        <v>0</v>
      </c>
      <c r="I135" s="576">
        <v>1E-3</v>
      </c>
      <c r="J135" s="486">
        <v>0</v>
      </c>
      <c r="K135" s="48"/>
      <c r="L135" s="485">
        <v>1</v>
      </c>
      <c r="M135" s="485">
        <v>0</v>
      </c>
      <c r="N135" s="485">
        <f t="shared" ref="N135:N143" si="141">E135*M135</f>
        <v>0</v>
      </c>
      <c r="O135" s="25"/>
      <c r="P135" s="603">
        <f t="shared" si="127"/>
        <v>0.56999999999999995</v>
      </c>
      <c r="Q135" s="360">
        <f t="shared" si="116"/>
        <v>0.56999999999999995</v>
      </c>
      <c r="R135" s="360">
        <f t="shared" si="117"/>
        <v>0.56999999999999995</v>
      </c>
      <c r="S135" s="360">
        <f t="shared" si="128"/>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484</v>
      </c>
      <c r="AP135" s="496">
        <f t="shared" si="130"/>
        <v>0.56999999999999995</v>
      </c>
    </row>
    <row r="136" spans="1:56" ht="15" outlineLevel="2">
      <c r="A136" s="108" t="s">
        <v>1008</v>
      </c>
      <c r="B136" s="30" t="s">
        <v>377</v>
      </c>
      <c r="C136" s="43" t="s">
        <v>230</v>
      </c>
      <c r="D136" s="43" t="s">
        <v>256</v>
      </c>
      <c r="E136" s="486">
        <v>0.65</v>
      </c>
      <c r="F136" s="557">
        <v>1</v>
      </c>
      <c r="G136" s="557">
        <v>1</v>
      </c>
      <c r="H136" s="557">
        <f t="shared" si="126"/>
        <v>0</v>
      </c>
      <c r="I136" s="576">
        <v>1E-3</v>
      </c>
      <c r="J136" s="486">
        <v>0</v>
      </c>
      <c r="K136" s="48"/>
      <c r="L136" s="485">
        <v>1</v>
      </c>
      <c r="M136" s="485">
        <v>0</v>
      </c>
      <c r="N136" s="485">
        <f t="shared" si="141"/>
        <v>0</v>
      </c>
      <c r="O136" s="25"/>
      <c r="P136" s="603">
        <f t="shared" si="127"/>
        <v>0.65</v>
      </c>
      <c r="Q136" s="360">
        <f t="shared" si="116"/>
        <v>0.65</v>
      </c>
      <c r="R136" s="360">
        <f t="shared" si="117"/>
        <v>0.65</v>
      </c>
      <c r="S136" s="360">
        <f t="shared" si="128"/>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30"/>
        <v>0.65</v>
      </c>
    </row>
    <row r="137" spans="1:56" s="165" customFormat="1" ht="15" outlineLevel="2">
      <c r="A137" s="108" t="s">
        <v>1009</v>
      </c>
      <c r="B137" s="30" t="s">
        <v>379</v>
      </c>
      <c r="C137" s="43" t="s">
        <v>161</v>
      </c>
      <c r="D137" s="43" t="s">
        <v>256</v>
      </c>
      <c r="E137" s="486">
        <v>0.86</v>
      </c>
      <c r="F137" s="557">
        <v>1</v>
      </c>
      <c r="G137" s="557">
        <v>1</v>
      </c>
      <c r="H137" s="557">
        <f t="shared" si="126"/>
        <v>0</v>
      </c>
      <c r="I137" s="576">
        <v>1E-3</v>
      </c>
      <c r="J137" s="486">
        <v>0</v>
      </c>
      <c r="K137" s="48"/>
      <c r="L137" s="485">
        <v>1</v>
      </c>
      <c r="M137" s="485">
        <v>0</v>
      </c>
      <c r="N137" s="485">
        <f t="shared" si="141"/>
        <v>0</v>
      </c>
      <c r="O137" s="25"/>
      <c r="P137" s="603">
        <f t="shared" si="127"/>
        <v>0.86</v>
      </c>
      <c r="Q137" s="360">
        <f t="shared" si="116"/>
        <v>0.86</v>
      </c>
      <c r="R137" s="360">
        <f t="shared" si="117"/>
        <v>0.86</v>
      </c>
      <c r="S137" s="360">
        <f t="shared" si="128"/>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484</v>
      </c>
      <c r="AP137" s="496">
        <f t="shared" si="130"/>
        <v>0.86</v>
      </c>
      <c r="AQ137"/>
      <c r="AR137"/>
      <c r="AS137"/>
      <c r="AT137"/>
      <c r="AU137"/>
      <c r="AV137"/>
      <c r="AW137"/>
      <c r="AX137"/>
      <c r="AY137"/>
      <c r="AZ137"/>
      <c r="BA137"/>
      <c r="BB137"/>
      <c r="BC137"/>
      <c r="BD137"/>
    </row>
    <row r="138" spans="1:56" s="191" customFormat="1" ht="15">
      <c r="A138" s="524" t="s">
        <v>927</v>
      </c>
      <c r="B138" s="525"/>
      <c r="C138" s="526"/>
      <c r="D138" s="526"/>
      <c r="E138" s="527" t="str">
        <f>IF(D138="","",IF(COUNTIF(#REF!,$B138)=1,SUMIF(#REF!,RES!B138,#REF!),SUMIF(#REF!,RES!$B138,#REF!)))</f>
        <v/>
      </c>
      <c r="F138" s="527"/>
      <c r="G138" s="527"/>
      <c r="H138" s="527"/>
      <c r="I138" s="577"/>
      <c r="J138" s="527"/>
      <c r="K138" s="528"/>
      <c r="L138" s="529"/>
      <c r="M138" s="529">
        <f>M132+M133+M134</f>
        <v>48.084945515755415</v>
      </c>
      <c r="N138" s="529">
        <f>SUM(N135:N137)</f>
        <v>0</v>
      </c>
      <c r="O138" s="192"/>
      <c r="P138" s="530"/>
      <c r="Q138" s="530" t="str">
        <f t="shared" si="116"/>
        <v/>
      </c>
      <c r="R138" s="530" t="str">
        <f t="shared" si="117"/>
        <v/>
      </c>
      <c r="S138" s="530" t="str">
        <f>IF(G138="","",IF(COUNTIF(#REF!,$B138)=1,SUMIF(#REF!,RES!$B138,#REF!),SUMIF(#REF!,RES!$B138,#REF!)))</f>
        <v/>
      </c>
      <c r="T138" s="531"/>
      <c r="U138" s="532"/>
      <c r="V138" s="533">
        <f>SUM(V132:V137)</f>
        <v>1.0110000000000001</v>
      </c>
      <c r="W138" s="533">
        <f t="shared" ref="W138:AC138" si="142">SUM(W132:W137)</f>
        <v>1.0102922130543168</v>
      </c>
      <c r="X138" s="533">
        <f t="shared" si="142"/>
        <v>1.0097795482391769</v>
      </c>
      <c r="Y138" s="533">
        <f t="shared" si="142"/>
        <v>1.0094638152184965</v>
      </c>
      <c r="Z138" s="533">
        <f t="shared" si="142"/>
        <v>1.009346880777257</v>
      </c>
      <c r="AA138" s="533">
        <f t="shared" si="142"/>
        <v>1.0094306697546489</v>
      </c>
      <c r="AB138" s="533">
        <f t="shared" si="142"/>
        <v>1.0097171659979702</v>
      </c>
      <c r="AC138" s="533">
        <f t="shared" si="142"/>
        <v>1.0102084133376756</v>
      </c>
      <c r="AD138" s="532"/>
      <c r="AE138" s="602">
        <f>SUM(AE132:AE137)</f>
        <v>0.99299999999999999</v>
      </c>
      <c r="AF138" s="533">
        <f t="shared" ref="AF138:AL138" si="143">SUM(AF132:AF137)</f>
        <v>0.99529221305431681</v>
      </c>
      <c r="AG138" s="533">
        <f t="shared" si="143"/>
        <v>0.99477954823917691</v>
      </c>
      <c r="AH138" s="533">
        <f t="shared" si="143"/>
        <v>0.99446381521849647</v>
      </c>
      <c r="AI138" s="533">
        <f t="shared" si="143"/>
        <v>0.99434688077725708</v>
      </c>
      <c r="AJ138" s="533">
        <f t="shared" si="143"/>
        <v>0.994430669754649</v>
      </c>
      <c r="AK138" s="533">
        <f t="shared" si="143"/>
        <v>0.99471716599797033</v>
      </c>
      <c r="AL138" s="533">
        <f t="shared" si="143"/>
        <v>0.99520841333767562</v>
      </c>
      <c r="AO138" s="534"/>
    </row>
    <row r="139" spans="1:56" s="232" customFormat="1" ht="15">
      <c r="A139" s="537" t="s">
        <v>928</v>
      </c>
      <c r="B139" s="538" t="s">
        <v>321</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16"/>
        <v/>
      </c>
      <c r="R139" s="552" t="str">
        <f t="shared" si="117"/>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1062</v>
      </c>
      <c r="B140" s="30" t="s">
        <v>380</v>
      </c>
      <c r="C140" s="43" t="s">
        <v>229</v>
      </c>
      <c r="D140" s="43" t="s">
        <v>257</v>
      </c>
      <c r="E140" s="494">
        <f>INDEX('Electrical efficiency'!$L$8:$L$23,MATCH(RES!D140,'Electrical efficiency'!$K$8:$K$23,0))</f>
        <v>0.64200000000000002</v>
      </c>
      <c r="F140" s="557">
        <v>1</v>
      </c>
      <c r="G140" s="557">
        <v>1</v>
      </c>
      <c r="H140" s="557">
        <f>N140/F140*(1+$D$31)</f>
        <v>8.0408397122186752</v>
      </c>
      <c r="I140" s="576">
        <v>1E-3</v>
      </c>
      <c r="J140" s="494">
        <v>0</v>
      </c>
      <c r="K140" s="48" t="s">
        <v>889</v>
      </c>
      <c r="L140" s="485">
        <v>1</v>
      </c>
      <c r="M140" s="485">
        <f>IF(C140="","",SUMIFS(Energy_Balance!I$55:I$159,Energy_Balance!$C$55:$C$159,C140,Energy_Balance!$D$55:$D$159,D140)*L140)</f>
        <v>12.524672448938746</v>
      </c>
      <c r="N140" s="485">
        <f t="shared" si="141"/>
        <v>8.0408397122186752</v>
      </c>
      <c r="O140" s="25"/>
      <c r="P140" s="603">
        <f>INDEX('Electrical efficiency'!$M$8:$M$23,MATCH(RES!D140,'Electrical efficiency'!$K$8:$K$23,0))</f>
        <v>0.72954545454545461</v>
      </c>
      <c r="Q140" s="360">
        <f>INDEX('Electrical efficiency'!$N$8:$N$23,MATCH(RES!D140,'Electrical efficiency'!$K$8:$K$23,0))</f>
        <v>1.284</v>
      </c>
      <c r="R140" s="360">
        <f>INDEX('Electrical efficiency'!$O$8:$O$23,MATCH(RES!D140,'Electrical efficiency'!$K$8:$K$23,0))</f>
        <v>1.6894736842105265</v>
      </c>
      <c r="S140" s="360">
        <f>INDEX('Electrical efficiency'!$P$8:$P$23,MATCH(RES!D140,'Electrical efficiency'!$K$8:$K$23,0))</f>
        <v>1.6894736842105265</v>
      </c>
      <c r="T140" s="203"/>
      <c r="U140" s="50"/>
      <c r="V140" s="50">
        <f>(IFERROR(IF(N140/(SUMIF(RES!$D$39:$D$145,D140,$N$39:$N$145))=1,1,(N140/(SUMIF(RES!$D$39:$D$145,D140,$N$39:$N$145))+#REF!)),0))</f>
        <v>1</v>
      </c>
      <c r="W140" s="50">
        <f>V140</f>
        <v>1</v>
      </c>
      <c r="X140" s="50">
        <f t="shared" ref="X140:AC140" si="144">W140</f>
        <v>1</v>
      </c>
      <c r="Y140" s="50">
        <f t="shared" si="144"/>
        <v>1</v>
      </c>
      <c r="Z140" s="50">
        <f t="shared" si="144"/>
        <v>1</v>
      </c>
      <c r="AA140" s="50">
        <f t="shared" si="144"/>
        <v>1</v>
      </c>
      <c r="AB140" s="50">
        <f t="shared" si="144"/>
        <v>1</v>
      </c>
      <c r="AC140" s="50">
        <f t="shared" si="144"/>
        <v>1</v>
      </c>
      <c r="AD140" s="50"/>
      <c r="AE140" s="272">
        <f>(IFERROR(IF($N140/(SUMIF(RES!$D$39:$D$145,$D140,$N$39:$N$145))=1,1,($N140/(SUMIF(RES!$D$39:$D$145,$D140,$N$39:$N$145))-$AE$28)),0))</f>
        <v>1</v>
      </c>
      <c r="AF140" s="50">
        <f>AE140</f>
        <v>1</v>
      </c>
      <c r="AG140" s="50">
        <f t="shared" ref="AG140:AL140" si="145">AF140</f>
        <v>1</v>
      </c>
      <c r="AH140" s="50">
        <f t="shared" si="145"/>
        <v>1</v>
      </c>
      <c r="AI140" s="50">
        <f t="shared" si="145"/>
        <v>1</v>
      </c>
      <c r="AJ140" s="50">
        <f t="shared" si="145"/>
        <v>1</v>
      </c>
      <c r="AK140" s="50">
        <f t="shared" si="145"/>
        <v>1</v>
      </c>
      <c r="AL140" s="50">
        <f t="shared" si="145"/>
        <v>1</v>
      </c>
      <c r="AM140"/>
      <c r="AN140"/>
      <c r="AO140" s="249" t="s">
        <v>110</v>
      </c>
      <c r="AP140" s="496">
        <f>E140</f>
        <v>0.64200000000000002</v>
      </c>
      <c r="AQ140"/>
      <c r="AR140"/>
      <c r="AS140"/>
      <c r="AT140"/>
      <c r="AU140"/>
      <c r="AV140"/>
      <c r="AW140"/>
      <c r="AX140"/>
      <c r="AY140"/>
      <c r="AZ140"/>
      <c r="BA140"/>
      <c r="BB140"/>
      <c r="BC140"/>
      <c r="BD140"/>
    </row>
    <row r="141" spans="1:56" s="191" customFormat="1" ht="15" outlineLevel="1">
      <c r="A141" s="524" t="s">
        <v>927</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1010</v>
      </c>
      <c r="B142" s="538" t="s">
        <v>321</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1011</v>
      </c>
      <c r="B143" s="30" t="s">
        <v>381</v>
      </c>
      <c r="C143" s="43" t="s">
        <v>229</v>
      </c>
      <c r="D143" s="43" t="s">
        <v>258</v>
      </c>
      <c r="E143" s="494">
        <f>INDEX('Electrical efficiency'!$L$8:$L$23,MATCH(RES!D143,'Electrical efficiency'!$K$8:$K$23,0))</f>
        <v>0.8</v>
      </c>
      <c r="F143" s="557">
        <v>1</v>
      </c>
      <c r="G143" s="557">
        <v>1</v>
      </c>
      <c r="H143" s="557">
        <f>N143/F143*(1+$D$31)</f>
        <v>14.275027367959954</v>
      </c>
      <c r="I143" s="576">
        <v>1E-3</v>
      </c>
      <c r="J143" s="486">
        <v>0</v>
      </c>
      <c r="K143" s="48" t="s">
        <v>889</v>
      </c>
      <c r="L143" s="485">
        <v>1</v>
      </c>
      <c r="M143" s="485">
        <f>IF(C143="","",SUMIFS(Energy_Balance!I$55:I$159,Energy_Balance!$C$55:$C$159,C143,Energy_Balance!$D$55:$D$159,D143)*L143)</f>
        <v>17.843784209949941</v>
      </c>
      <c r="N143" s="485">
        <f t="shared" si="141"/>
        <v>14.275027367959954</v>
      </c>
      <c r="O143" s="25"/>
      <c r="P143" s="603">
        <f>INDEX('Electrical efficiency'!$M$8:$M$23,MATCH(RES!D143,'Electrical efficiency'!$K$8:$K$23,0))</f>
        <v>0.82474226804123729</v>
      </c>
      <c r="Q143" s="360">
        <f>INDEX('Electrical efficiency'!$N$8:$N$23,MATCH(RES!D143,'Electrical efficiency'!$K$8:$K$23,0))</f>
        <v>0.93023255813953498</v>
      </c>
      <c r="R143" s="360">
        <f>INDEX('Electrical efficiency'!$O$8:$O$23,MATCH(RES!D143,'Electrical efficiency'!$K$8:$K$23,0))</f>
        <v>1.2121212121212122</v>
      </c>
      <c r="S143" s="360">
        <f>INDEX('Electrical efficiency'!$P$8:$P$23,MATCH(RES!D143,'Electrical efficiency'!$K$8:$K$23,0))</f>
        <v>1.2121212121212122</v>
      </c>
      <c r="T143" s="203"/>
      <c r="U143" s="50"/>
      <c r="V143" s="50">
        <f>(IFERROR(IF(N143/(SUMIF(RES!$D$39:$D$145,D143,$N$39:$N$145))=1,1,(N143/(SUMIF(RES!$D$39:$D$145,D143,$N$39:$N$145))+#REF!)),0))</f>
        <v>1</v>
      </c>
      <c r="W143" s="50">
        <f>V143</f>
        <v>1</v>
      </c>
      <c r="X143" s="50">
        <f t="shared" ref="X143:AC143" si="146">W143</f>
        <v>1</v>
      </c>
      <c r="Y143" s="50">
        <f t="shared" si="146"/>
        <v>1</v>
      </c>
      <c r="Z143" s="50">
        <f t="shared" si="146"/>
        <v>1</v>
      </c>
      <c r="AA143" s="50">
        <f t="shared" si="146"/>
        <v>1</v>
      </c>
      <c r="AB143" s="50">
        <f t="shared" si="146"/>
        <v>1</v>
      </c>
      <c r="AC143" s="50">
        <f t="shared" si="146"/>
        <v>1</v>
      </c>
      <c r="AD143" s="50"/>
      <c r="AE143" s="272">
        <f>(IFERROR(IF($N143/(SUMIF(RES!$D$39:$D$145,$D143,$N$39:$N$145))=1,1,($N143/(SUMIF(RES!$D$39:$D$145,$D143,$N$39:$N$145))-$AE$28)),0))</f>
        <v>1</v>
      </c>
      <c r="AF143" s="50">
        <f>AE143</f>
        <v>1</v>
      </c>
      <c r="AG143" s="50">
        <f t="shared" ref="AG143:AL143" si="147">AF143</f>
        <v>1</v>
      </c>
      <c r="AH143" s="50">
        <f t="shared" si="147"/>
        <v>1</v>
      </c>
      <c r="AI143" s="50">
        <f t="shared" si="147"/>
        <v>1</v>
      </c>
      <c r="AJ143" s="50">
        <f t="shared" si="147"/>
        <v>1</v>
      </c>
      <c r="AK143" s="50">
        <f t="shared" si="147"/>
        <v>1</v>
      </c>
      <c r="AL143" s="50">
        <f t="shared" si="147"/>
        <v>1</v>
      </c>
      <c r="AM143"/>
      <c r="AN143"/>
      <c r="AO143" s="249" t="s">
        <v>110</v>
      </c>
      <c r="AP143" s="496">
        <f>E143</f>
        <v>0.8</v>
      </c>
      <c r="AQ143"/>
      <c r="AR143"/>
      <c r="AS143"/>
      <c r="AT143"/>
      <c r="AU143"/>
      <c r="AV143"/>
      <c r="AW143"/>
      <c r="AX143"/>
      <c r="AY143"/>
      <c r="AZ143"/>
      <c r="BA143"/>
      <c r="BB143"/>
      <c r="BC143"/>
      <c r="BD143"/>
    </row>
    <row r="144" spans="1:56" s="191" customFormat="1" ht="15" outlineLevel="1">
      <c r="A144" s="524" t="s">
        <v>927</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927</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53" priority="1209" operator="equal">
      <formula>"RESCOA"</formula>
    </cfRule>
    <cfRule type="cellIs" dxfId="52" priority="1210" operator="equal">
      <formula>"RESOKE"</formula>
    </cfRule>
    <cfRule type="cellIs" dxfId="51" priority="1211" operator="equal">
      <formula>"RESBIW"</formula>
    </cfRule>
  </conditionalFormatting>
  <conditionalFormatting sqref="C41:C145">
    <cfRule type="cellIs" dxfId="50" priority="820" operator="equal">
      <formula>"RESCOA"</formula>
    </cfRule>
    <cfRule type="cellIs" dxfId="49" priority="821" operator="equal">
      <formula>"RESOKE"</formula>
    </cfRule>
    <cfRule type="cellIs" dxfId="48" priority="822" operator="equal">
      <formula>"RESBIW"</formula>
    </cfRule>
  </conditionalFormatting>
  <conditionalFormatting sqref="M41">
    <cfRule type="expression" dxfId="47" priority="1138">
      <formula>$M$48&lt;&gt;#REF!</formula>
    </cfRule>
    <cfRule type="expression" dxfId="46" priority="1139">
      <formula>$M$48=#REF!</formula>
    </cfRule>
  </conditionalFormatting>
  <conditionalFormatting sqref="M48">
    <cfRule type="expression" dxfId="45" priority="1453">
      <formula>$M$48=#REF!</formula>
    </cfRule>
  </conditionalFormatting>
  <conditionalFormatting sqref="M48:N48">
    <cfRule type="expression" dxfId="44" priority="1220">
      <formula>$M$48&lt;&gt;#REF!</formula>
    </cfRule>
  </conditionalFormatting>
  <conditionalFormatting sqref="M55:N55">
    <cfRule type="expression" dxfId="43" priority="1218">
      <formula>$M$55&lt;&gt;#REF!</formula>
    </cfRule>
    <cfRule type="expression" dxfId="42" priority="1219">
      <formula>$M$55=#REF!</formula>
    </cfRule>
  </conditionalFormatting>
  <conditionalFormatting sqref="M59:N59">
    <cfRule type="expression" dxfId="41" priority="1132">
      <formula>$M$66&lt;&gt;#REF!</formula>
    </cfRule>
    <cfRule type="expression" dxfId="40" priority="1133">
      <formula>$M$66=#REF!</formula>
    </cfRule>
  </conditionalFormatting>
  <conditionalFormatting sqref="M66:N66">
    <cfRule type="expression" dxfId="39" priority="1130">
      <formula>$M$66&lt;&gt;#REF!</formula>
    </cfRule>
    <cfRule type="expression" dxfId="38" priority="1131">
      <formula>$M$66=#REF!</formula>
    </cfRule>
  </conditionalFormatting>
  <conditionalFormatting sqref="M69:N69">
    <cfRule type="expression" dxfId="37" priority="1124">
      <formula>$M$69&lt;&gt;#REF!</formula>
    </cfRule>
    <cfRule type="expression" dxfId="36" priority="1125">
      <formula>$M$69=#REF!</formula>
    </cfRule>
  </conditionalFormatting>
  <conditionalFormatting sqref="M73:N73">
    <cfRule type="expression" dxfId="35" priority="1464">
      <formula>$M$73&lt;&gt;SUM(#REF!)</formula>
    </cfRule>
    <cfRule type="expression" dxfId="34" priority="1465">
      <formula>$M$73=SUM(#REF!)</formula>
    </cfRule>
  </conditionalFormatting>
  <conditionalFormatting sqref="M77:N77">
    <cfRule type="expression" dxfId="33" priority="1120">
      <formula>$M$77&lt;&gt;#REF!</formula>
    </cfRule>
    <cfRule type="expression" dxfId="32" priority="1121">
      <formula>$M$77=#REF!</formula>
    </cfRule>
  </conditionalFormatting>
  <conditionalFormatting sqref="M85:N85">
    <cfRule type="expression" dxfId="31" priority="1110">
      <formula>$M$85&lt;&gt;#REF!</formula>
    </cfRule>
    <cfRule type="expression" dxfId="30" priority="1111">
      <formula>$M$85=#REF!</formula>
    </cfRule>
  </conditionalFormatting>
  <conditionalFormatting sqref="M93:N93">
    <cfRule type="expression" dxfId="29" priority="1117">
      <formula>$M$93=#REF!</formula>
    </cfRule>
  </conditionalFormatting>
  <conditionalFormatting sqref="M97:N97">
    <cfRule type="expression" dxfId="28" priority="1128">
      <formula>$M$66&lt;&gt;#REF!</formula>
    </cfRule>
    <cfRule type="expression" dxfId="27" priority="1129">
      <formula>$M$66=#REF!</formula>
    </cfRule>
  </conditionalFormatting>
  <conditionalFormatting sqref="M105:N105">
    <cfRule type="expression" dxfId="26" priority="1096">
      <formula>$M$66&lt;&gt;#REF!</formula>
    </cfRule>
    <cfRule type="expression" dxfId="25" priority="1097">
      <formula>$M$66=#REF!</formula>
    </cfRule>
  </conditionalFormatting>
  <conditionalFormatting sqref="M108:N108">
    <cfRule type="expression" dxfId="24" priority="980">
      <formula>$M$108&lt;&gt;#REF!</formula>
    </cfRule>
    <cfRule type="expression" dxfId="23" priority="981">
      <formula>$M$108=#REF!</formula>
    </cfRule>
  </conditionalFormatting>
  <conditionalFormatting sqref="M112:N112">
    <cfRule type="expression" dxfId="22" priority="992">
      <formula>$M$112&lt;&gt;SUM(#REF!)</formula>
    </cfRule>
    <cfRule type="expression" dxfId="21" priority="993">
      <formula>$M$112=SUM(#REF!)</formula>
    </cfRule>
  </conditionalFormatting>
  <conditionalFormatting sqref="M115:N115">
    <cfRule type="expression" dxfId="20" priority="1004">
      <formula>$M$115&lt;&gt;#REF!</formula>
    </cfRule>
    <cfRule type="expression" dxfId="19" priority="1005">
      <formula>$M$115=#REF!</formula>
    </cfRule>
  </conditionalFormatting>
  <conditionalFormatting sqref="M122:N122">
    <cfRule type="expression" dxfId="18" priority="1016">
      <formula>$M$122&lt;&gt;#REF!</formula>
    </cfRule>
    <cfRule type="expression" dxfId="17" priority="1017">
      <formula>$M$122=#REF!</formula>
    </cfRule>
  </conditionalFormatting>
  <conditionalFormatting sqref="M130:N130">
    <cfRule type="expression" dxfId="16" priority="1028">
      <formula>$M$130&lt;&gt;#REF!</formula>
    </cfRule>
    <cfRule type="expression" dxfId="15" priority="1029">
      <formula>$M$130=#REF!</formula>
    </cfRule>
  </conditionalFormatting>
  <conditionalFormatting sqref="M141:N141">
    <cfRule type="expression" dxfId="14" priority="1040">
      <formula>$M$141&lt;&gt;#REF!</formula>
    </cfRule>
    <cfRule type="expression" dxfId="13" priority="1041">
      <formula>$M$141=#REF!</formula>
    </cfRule>
  </conditionalFormatting>
  <conditionalFormatting sqref="M144:N144">
    <cfRule type="expression" dxfId="12" priority="1175">
      <formula>$M$138&lt;&gt;#REF!</formula>
    </cfRule>
    <cfRule type="expression" dxfId="11" priority="1176">
      <formula>$M$138=#REF!</formula>
    </cfRule>
  </conditionalFormatting>
  <conditionalFormatting sqref="N41">
    <cfRule type="expression" dxfId="10" priority="1136">
      <formula>$M$48&lt;&gt;#REF!</formula>
    </cfRule>
    <cfRule type="expression" dxfId="9" priority="1137">
      <formula>$M$48=#REF!</formula>
    </cfRule>
  </conditionalFormatting>
  <conditionalFormatting sqref="N48">
    <cfRule type="expression" dxfId="8" priority="1221">
      <formula>$M$48=#REF!</formula>
    </cfRule>
  </conditionalFormatting>
  <conditionalFormatting sqref="N138">
    <cfRule type="expression" dxfId="7" priority="1094">
      <formula>$M$138&lt;&gt;#REF!</formula>
    </cfRule>
    <cfRule type="expression" dxfId="6" priority="1095">
      <formula>$M$138=#REF!</formula>
    </cfRule>
  </conditionalFormatting>
  <conditionalFormatting sqref="T39 T41:T145">
    <cfRule type="cellIs" dxfId="5" priority="969" operator="equal">
      <formula>"B"</formula>
    </cfRule>
  </conditionalFormatting>
  <conditionalFormatting sqref="U40">
    <cfRule type="dataBar" priority="5317">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6">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7">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29">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49">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7">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1">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3">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5">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09">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1">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16">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0">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69">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28">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29">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49">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1">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3">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5">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09">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1">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2">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3">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3">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5">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7">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5">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397">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89">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56">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7">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5">
    <cfRule type="dataBar" priority="5580">
      <dataBar>
        <cfvo type="min"/>
        <cfvo type="max"/>
        <color rgb="FF008AEF"/>
      </dataBar>
      <extLst>
        <ext xmlns:x14="http://schemas.microsoft.com/office/spreadsheetml/2009/9/main" uri="{B025F937-C7B1-47D3-B67F-A62EFF666E3E}">
          <x14:id>{09A3E289-3491-451C-AE88-3C58137BD597}</x14:id>
        </ext>
      </extLst>
    </cfRule>
  </conditionalFormatting>
  <conditionalFormatting sqref="V39:AL144">
    <cfRule type="dataBar" priority="1">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3">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3">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3">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0">
      <dataBar>
        <cfvo type="min"/>
        <cfvo type="max"/>
        <color rgb="FF008AEF"/>
      </dataBar>
      <extLst>
        <ext xmlns:x14="http://schemas.microsoft.com/office/spreadsheetml/2009/9/main" uri="{B025F937-C7B1-47D3-B67F-A62EFF666E3E}">
          <x14:id>{2A16D74A-30B0-4E53-AC5D-22534D7A58BB}</x14:id>
        </ext>
      </extLst>
    </cfRule>
  </conditionalFormatting>
  <conditionalFormatting sqref="AG145">
    <cfRule type="dataBar" priority="4713">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3">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3">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1">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V39:AL144</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37" workbookViewId="0">
      <selection activeCell="C64" sqref="C64"/>
    </sheetView>
  </sheetViews>
  <sheetFormatPr defaultColWidth="11.3828125" defaultRowHeight="10.3"/>
  <cols>
    <col min="1" max="1" width="12.3828125" style="21" customWidth="1"/>
    <col min="2" max="2" width="26.15234375" style="21" customWidth="1"/>
    <col min="3" max="3" width="54.3046875" style="21" customWidth="1"/>
    <col min="4" max="4" width="10.15234375" style="21" customWidth="1"/>
    <col min="5" max="5" width="28.69140625" style="21" customWidth="1"/>
    <col min="6" max="16384" width="11.3828125" style="21"/>
  </cols>
  <sheetData>
    <row r="4" spans="1:11">
      <c r="B4" s="21" t="s">
        <v>909</v>
      </c>
    </row>
    <row r="5" spans="1:11">
      <c r="B5" s="20" t="s">
        <v>82</v>
      </c>
      <c r="C5" s="20" t="s">
        <v>81</v>
      </c>
      <c r="D5" s="20" t="s">
        <v>910</v>
      </c>
      <c r="E5" s="20" t="s">
        <v>911</v>
      </c>
      <c r="F5" s="20" t="s">
        <v>912</v>
      </c>
      <c r="G5" s="20" t="s">
        <v>913</v>
      </c>
      <c r="H5" s="20"/>
      <c r="I5" s="20"/>
      <c r="J5" s="20"/>
      <c r="K5" s="20"/>
    </row>
    <row r="6" spans="1:11">
      <c r="A6" s="21" t="s">
        <v>110</v>
      </c>
      <c r="B6" s="509"/>
      <c r="C6" s="509"/>
      <c r="D6" s="32"/>
      <c r="E6" s="32"/>
      <c r="F6" s="20"/>
    </row>
    <row r="7" spans="1:11">
      <c r="A7" s="21" t="s">
        <v>110</v>
      </c>
      <c r="B7" s="509" t="str">
        <f>"ZZ"&amp;ITEMS_Comm!C12</f>
        <v>ZZResidential - Refrigeration - Low income</v>
      </c>
      <c r="C7" s="509" t="str">
        <f>"Backstop - "&amp;ITEMS_Comm!D12</f>
        <v>Backstop - PJ</v>
      </c>
      <c r="D7" s="32" t="s">
        <v>924</v>
      </c>
      <c r="E7" s="32" t="str">
        <f>IF(A7="*","","Pja")</f>
        <v/>
      </c>
      <c r="F7" s="32" t="str">
        <f>IF(A7="*","","DAYNITE")</f>
        <v/>
      </c>
      <c r="G7" s="32" t="str">
        <f>IF(A7="*","","DMD")</f>
        <v/>
      </c>
    </row>
    <row r="8" spans="1:11">
      <c r="A8" s="21" t="s">
        <v>110</v>
      </c>
      <c r="B8" s="509" t="str">
        <f>"ZZ"&amp;ITEMS_Comm!C13</f>
        <v>ZZResidential - Other - Low income</v>
      </c>
      <c r="C8" s="509" t="str">
        <f>"Backstop - "&amp;ITEMS_Comm!D13</f>
        <v>Backstop - PJ</v>
      </c>
      <c r="D8" s="32" t="s">
        <v>924</v>
      </c>
      <c r="E8" s="32" t="str">
        <f t="shared" ref="E8:E27" si="0">IF(A8="*","","Pja")</f>
        <v/>
      </c>
      <c r="F8" s="32" t="str">
        <f t="shared" ref="F8:F27" si="1">IF(A8="*","","DAYNITE")</f>
        <v/>
      </c>
      <c r="G8" s="32" t="str">
        <f t="shared" ref="G8:G27" si="2">IF(A8="*","","DMD")</f>
        <v/>
      </c>
    </row>
    <row r="9" spans="1:11">
      <c r="A9" s="21" t="s">
        <v>110</v>
      </c>
      <c r="B9" s="509" t="str">
        <f>"ZZ"&amp;ITEMS_Comm!C14</f>
        <v>ZZResidential - Lighting - Middle income</v>
      </c>
      <c r="C9" s="509" t="str">
        <f>"Backstop - "&amp;ITEMS_Comm!D14</f>
        <v>Backstop - PJ</v>
      </c>
      <c r="D9" s="32" t="s">
        <v>924</v>
      </c>
      <c r="E9" s="32" t="str">
        <f t="shared" si="0"/>
        <v/>
      </c>
      <c r="F9" s="32" t="str">
        <f t="shared" si="1"/>
        <v/>
      </c>
      <c r="G9" s="32" t="str">
        <f t="shared" si="2"/>
        <v/>
      </c>
    </row>
    <row r="10" spans="1:11">
      <c r="A10" s="21" t="s">
        <v>110</v>
      </c>
      <c r="B10" s="509" t="str">
        <f>"ZZ"&amp;ITEMS_Comm!C15</f>
        <v>ZZResidential - Lighting - Middle income</v>
      </c>
      <c r="C10" s="509" t="str">
        <f>"Backstop - "&amp;ITEMS_Comm!D15</f>
        <v>Backstop - PJ</v>
      </c>
      <c r="D10" s="32" t="s">
        <v>924</v>
      </c>
      <c r="E10" s="32" t="str">
        <f t="shared" si="0"/>
        <v/>
      </c>
      <c r="F10" s="32" t="str">
        <f t="shared" si="1"/>
        <v/>
      </c>
      <c r="G10" s="32" t="str">
        <f t="shared" si="2"/>
        <v/>
      </c>
    </row>
    <row r="11" spans="1:11">
      <c r="A11" s="21" t="s">
        <v>110</v>
      </c>
      <c r="B11" s="509" t="str">
        <f>"ZZ"&amp;ITEMS_Comm!C16</f>
        <v>ZZResidential - Cooking - Middle income</v>
      </c>
      <c r="C11" s="509" t="str">
        <f>"Backstop - "&amp;ITEMS_Comm!D16</f>
        <v>Backstop - PJ</v>
      </c>
      <c r="D11" s="32" t="s">
        <v>924</v>
      </c>
      <c r="E11" s="32" t="str">
        <f t="shared" si="0"/>
        <v/>
      </c>
      <c r="F11" s="32" t="str">
        <f t="shared" si="1"/>
        <v/>
      </c>
      <c r="G11" s="32" t="str">
        <f t="shared" si="2"/>
        <v/>
      </c>
    </row>
    <row r="12" spans="1:11">
      <c r="A12" s="21" t="s">
        <v>110</v>
      </c>
      <c r="B12" s="509" t="str">
        <f>"ZZ"&amp;ITEMS_Comm!C17</f>
        <v>ZZResidential - Heating - Middle income</v>
      </c>
      <c r="C12" s="509" t="str">
        <f>"Backstop - "&amp;ITEMS_Comm!D17</f>
        <v>Backstop - PJ</v>
      </c>
      <c r="D12" s="32" t="s">
        <v>924</v>
      </c>
      <c r="E12" s="32" t="str">
        <f t="shared" si="0"/>
        <v/>
      </c>
      <c r="F12" s="32" t="str">
        <f t="shared" si="1"/>
        <v/>
      </c>
      <c r="G12" s="32" t="str">
        <f t="shared" si="2"/>
        <v/>
      </c>
    </row>
    <row r="13" spans="1:11">
      <c r="A13" s="21" t="s">
        <v>110</v>
      </c>
      <c r="B13" s="509" t="str">
        <f>"ZZ"&amp;ITEMS_Comm!C18</f>
        <v>ZZResidential - Water heating - Middle income</v>
      </c>
      <c r="C13" s="509" t="str">
        <f>"Backstop - "&amp;ITEMS_Comm!D18</f>
        <v>Backstop - PJ</v>
      </c>
      <c r="D13" s="32" t="s">
        <v>924</v>
      </c>
      <c r="E13" s="32" t="str">
        <f t="shared" si="0"/>
        <v/>
      </c>
      <c r="F13" s="32" t="str">
        <f t="shared" si="1"/>
        <v/>
      </c>
      <c r="G13" s="32" t="str">
        <f t="shared" si="2"/>
        <v/>
      </c>
    </row>
    <row r="14" spans="1:11">
      <c r="A14" s="21" t="s">
        <v>110</v>
      </c>
      <c r="B14" s="509" t="str">
        <f>"ZZ"&amp;ITEMS_Comm!C19</f>
        <v>ZZResidential - Water heating - Middle income</v>
      </c>
      <c r="C14" s="509" t="str">
        <f>"Backstop - "&amp;ITEMS_Comm!D19</f>
        <v>Backstop - PJ</v>
      </c>
      <c r="D14" s="32" t="s">
        <v>924</v>
      </c>
      <c r="E14" s="32" t="str">
        <f t="shared" si="0"/>
        <v/>
      </c>
      <c r="F14" s="32" t="str">
        <f t="shared" si="1"/>
        <v/>
      </c>
      <c r="G14" s="32" t="str">
        <f t="shared" si="2"/>
        <v/>
      </c>
    </row>
    <row r="15" spans="1:11">
      <c r="A15" s="21" t="s">
        <v>110</v>
      </c>
      <c r="B15" s="509" t="str">
        <f>"ZZ"&amp;ITEMS_Comm!C20</f>
        <v>ZZResidential - Refrigeration - Middle income</v>
      </c>
      <c r="C15" s="509" t="str">
        <f>"Backstop - "&amp;ITEMS_Comm!D20</f>
        <v>Backstop - PJ</v>
      </c>
      <c r="D15" s="32" t="s">
        <v>924</v>
      </c>
      <c r="E15" s="32" t="str">
        <f t="shared" si="0"/>
        <v/>
      </c>
      <c r="F15" s="32" t="str">
        <f t="shared" si="1"/>
        <v/>
      </c>
      <c r="G15" s="32" t="str">
        <f t="shared" si="2"/>
        <v/>
      </c>
    </row>
    <row r="16" spans="1:11">
      <c r="A16" s="21" t="s">
        <v>110</v>
      </c>
      <c r="B16" s="509" t="str">
        <f>"ZZ"&amp;ITEMS_Comm!C21</f>
        <v>ZZResidential - Other - Middle income</v>
      </c>
      <c r="C16" s="509" t="str">
        <f>"Backstop - "&amp;ITEMS_Comm!D21</f>
        <v>Backstop - PJ</v>
      </c>
      <c r="D16" s="32" t="s">
        <v>924</v>
      </c>
      <c r="E16" s="32" t="str">
        <f t="shared" si="0"/>
        <v/>
      </c>
      <c r="F16" s="32" t="str">
        <f t="shared" si="1"/>
        <v/>
      </c>
      <c r="G16" s="32" t="str">
        <f t="shared" si="2"/>
        <v/>
      </c>
    </row>
    <row r="17" spans="1:7">
      <c r="A17" s="21" t="s">
        <v>110</v>
      </c>
      <c r="B17" s="509" t="str">
        <f>"ZZ"&amp;ITEMS_Comm!C22</f>
        <v>ZZResidential - Lighting - High income</v>
      </c>
      <c r="C17" s="509" t="str">
        <f>"Backstop - "&amp;ITEMS_Comm!D22</f>
        <v>Backstop - PJ</v>
      </c>
      <c r="D17" s="32" t="s">
        <v>924</v>
      </c>
      <c r="E17" s="32" t="str">
        <f t="shared" si="0"/>
        <v/>
      </c>
      <c r="F17" s="32" t="str">
        <f t="shared" si="1"/>
        <v/>
      </c>
      <c r="G17" s="32" t="str">
        <f t="shared" si="2"/>
        <v/>
      </c>
    </row>
    <row r="18" spans="1:7">
      <c r="A18" s="21" t="s">
        <v>110</v>
      </c>
      <c r="B18" s="509" t="str">
        <f>"ZZ"&amp;ITEMS_Comm!C23</f>
        <v>ZZResidential - Cooking - High income</v>
      </c>
      <c r="C18" s="509" t="str">
        <f>"Backstop - "&amp;ITEMS_Comm!D23</f>
        <v>Backstop - PJ</v>
      </c>
      <c r="D18" s="32" t="s">
        <v>924</v>
      </c>
      <c r="E18" s="32" t="str">
        <f t="shared" si="0"/>
        <v/>
      </c>
      <c r="F18" s="32" t="str">
        <f t="shared" si="1"/>
        <v/>
      </c>
      <c r="G18" s="32" t="str">
        <f t="shared" si="2"/>
        <v/>
      </c>
    </row>
    <row r="19" spans="1:7">
      <c r="A19" s="21" t="s">
        <v>110</v>
      </c>
      <c r="B19" s="509" t="str">
        <f>"ZZ"&amp;ITEMS_Comm!C24</f>
        <v>ZZResidential - Heating - High income</v>
      </c>
      <c r="C19" s="509" t="str">
        <f>"Backstop - "&amp;ITEMS_Comm!D24</f>
        <v>Backstop - PJ</v>
      </c>
      <c r="D19" s="32" t="s">
        <v>924</v>
      </c>
      <c r="E19" s="32" t="str">
        <f t="shared" si="0"/>
        <v/>
      </c>
      <c r="F19" s="32" t="str">
        <f t="shared" si="1"/>
        <v/>
      </c>
      <c r="G19" s="32" t="str">
        <f t="shared" si="2"/>
        <v/>
      </c>
    </row>
    <row r="20" spans="1:7">
      <c r="A20" s="21" t="s">
        <v>110</v>
      </c>
      <c r="B20" s="509" t="str">
        <f>"ZZ"&amp;ITEMS_Comm!C25</f>
        <v>ZZResidential - Water heating - High income</v>
      </c>
      <c r="C20" s="509" t="str">
        <f>"Backstop - "&amp;ITEMS_Comm!D25</f>
        <v>Backstop - PJ</v>
      </c>
      <c r="D20" s="32" t="s">
        <v>924</v>
      </c>
      <c r="E20" s="32" t="str">
        <f t="shared" si="0"/>
        <v/>
      </c>
      <c r="F20" s="32" t="str">
        <f t="shared" si="1"/>
        <v/>
      </c>
      <c r="G20" s="32" t="str">
        <f t="shared" si="2"/>
        <v/>
      </c>
    </row>
    <row r="21" spans="1:7">
      <c r="A21" s="21" t="s">
        <v>110</v>
      </c>
      <c r="B21" s="509" t="str">
        <f>"ZZ"&amp;ITEMS_Comm!C26</f>
        <v>ZZResidential - Water heating - High income</v>
      </c>
      <c r="C21" s="509" t="str">
        <f>"Backstop - "&amp;ITEMS_Comm!D26</f>
        <v>Backstop - PJ</v>
      </c>
      <c r="D21" s="32" t="s">
        <v>924</v>
      </c>
      <c r="E21" s="32" t="str">
        <f t="shared" si="0"/>
        <v/>
      </c>
      <c r="F21" s="32" t="str">
        <f t="shared" si="1"/>
        <v/>
      </c>
      <c r="G21" s="32" t="str">
        <f t="shared" si="2"/>
        <v/>
      </c>
    </row>
    <row r="22" spans="1:7">
      <c r="A22" s="21" t="s">
        <v>110</v>
      </c>
      <c r="B22" s="509" t="str">
        <f>"ZZ"&amp;ITEMS_Comm!C27</f>
        <v>ZZResidential - Refrigeration - High income</v>
      </c>
      <c r="C22" s="509" t="str">
        <f>"Backstop - "&amp;ITEMS_Comm!D27</f>
        <v>Backstop - PJ</v>
      </c>
      <c r="D22" s="32" t="s">
        <v>924</v>
      </c>
      <c r="E22" s="32" t="str">
        <f t="shared" si="0"/>
        <v/>
      </c>
      <c r="F22" s="32" t="str">
        <f t="shared" si="1"/>
        <v/>
      </c>
      <c r="G22" s="32" t="str">
        <f t="shared" si="2"/>
        <v/>
      </c>
    </row>
    <row r="23" spans="1:7">
      <c r="A23" s="21" t="s">
        <v>110</v>
      </c>
      <c r="B23" s="509" t="str">
        <f>"ZZ"&amp;ITEMS_Comm!C28</f>
        <v>ZZResidential - Other - High income</v>
      </c>
      <c r="C23" s="509" t="str">
        <f>"Backstop - "&amp;ITEMS_Comm!D28</f>
        <v>Backstop - PJ</v>
      </c>
      <c r="D23" s="32" t="s">
        <v>924</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924</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924</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924</v>
      </c>
      <c r="E29" s="32" t="str">
        <f t="shared" si="3"/>
        <v/>
      </c>
      <c r="F29" s="32" t="str">
        <f t="shared" si="4"/>
        <v/>
      </c>
      <c r="G29" s="32" t="str">
        <f t="shared" si="5"/>
        <v/>
      </c>
    </row>
    <row r="30" spans="1:7">
      <c r="A30" s="21" t="str">
        <f>IF(LEFT(RES!A42,1)="*","*","")</f>
        <v>*</v>
      </c>
      <c r="B30" s="509" t="str">
        <f>IF(A30="*","",RES!B42)</f>
        <v/>
      </c>
      <c r="C30" s="21" t="str">
        <f>IF(A30="*","",RES!A42)</f>
        <v/>
      </c>
      <c r="D30" s="32" t="s">
        <v>924</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924</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924</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924</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924</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924</v>
      </c>
      <c r="E35" s="32" t="str">
        <f t="shared" si="3"/>
        <v>Pja</v>
      </c>
      <c r="F35" s="32" t="str">
        <f t="shared" si="4"/>
        <v>DAYNITE</v>
      </c>
      <c r="G35" s="32" t="str">
        <f t="shared" si="5"/>
        <v>DMD</v>
      </c>
    </row>
    <row r="36" spans="1:7">
      <c r="A36" s="21" t="str">
        <f>IF(LEFT(RES!A48,1)="*","*","")</f>
        <v>*</v>
      </c>
      <c r="B36" s="509" t="str">
        <f>IF(A36="*","",RES!B48)</f>
        <v/>
      </c>
      <c r="C36" s="21" t="str">
        <f>IF(A36="*","",RES!A48)</f>
        <v/>
      </c>
      <c r="D36" s="32" t="s">
        <v>924</v>
      </c>
      <c r="E36" s="32" t="str">
        <f t="shared" si="3"/>
        <v/>
      </c>
      <c r="F36" s="32" t="str">
        <f t="shared" si="4"/>
        <v/>
      </c>
      <c r="G36" s="32" t="str">
        <f t="shared" si="5"/>
        <v/>
      </c>
    </row>
    <row r="37" spans="1:7">
      <c r="A37" s="21" t="str">
        <f>IF(LEFT(RES!A49,1)="*","*","")</f>
        <v>*</v>
      </c>
      <c r="B37" s="509" t="str">
        <f>IF(A37="*","",RES!B49)</f>
        <v/>
      </c>
      <c r="C37" s="21" t="str">
        <f>IF(A37="*","",RES!A49)</f>
        <v/>
      </c>
      <c r="D37" s="32" t="s">
        <v>924</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924</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924</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924</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924</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924</v>
      </c>
      <c r="E42" s="32" t="str">
        <f t="shared" si="3"/>
        <v>Pja</v>
      </c>
      <c r="F42" s="32" t="str">
        <f t="shared" si="4"/>
        <v>DAYNITE</v>
      </c>
      <c r="G42" s="32" t="str">
        <f t="shared" si="5"/>
        <v>DMD</v>
      </c>
    </row>
    <row r="43" spans="1:7">
      <c r="A43" s="21" t="str">
        <f>IF(LEFT(RES!A55,1)="*","*","")</f>
        <v>*</v>
      </c>
      <c r="B43" s="509" t="str">
        <f>IF(A43="*","",RES!B55)</f>
        <v/>
      </c>
      <c r="C43" s="21" t="str">
        <f>IF(A43="*","",RES!A55)</f>
        <v/>
      </c>
      <c r="D43" s="32" t="s">
        <v>924</v>
      </c>
      <c r="E43" s="32" t="str">
        <f t="shared" si="3"/>
        <v/>
      </c>
      <c r="F43" s="32" t="str">
        <f t="shared" si="4"/>
        <v/>
      </c>
      <c r="G43" s="32" t="str">
        <f t="shared" si="5"/>
        <v/>
      </c>
    </row>
    <row r="44" spans="1:7">
      <c r="A44" s="21" t="str">
        <f>IF(LEFT(RES!A56,1)="*","*","")</f>
        <v>*</v>
      </c>
      <c r="B44" s="509" t="str">
        <f>IF(A44="*","",RES!B56)</f>
        <v/>
      </c>
      <c r="C44" s="21" t="str">
        <f>IF(A44="*","",RES!A56)</f>
        <v/>
      </c>
      <c r="D44" s="32" t="s">
        <v>924</v>
      </c>
      <c r="E44" s="32" t="str">
        <f t="shared" si="3"/>
        <v/>
      </c>
      <c r="F44" s="32" t="str">
        <f t="shared" si="4"/>
        <v/>
      </c>
      <c r="G44" s="32" t="str">
        <f t="shared" si="5"/>
        <v/>
      </c>
    </row>
    <row r="45" spans="1:7">
      <c r="A45" s="21" t="str">
        <f>IF(LEFT(RES!A57,1)="*","*","")</f>
        <v>*</v>
      </c>
      <c r="B45" s="509" t="str">
        <f>IF(A45="*","",RES!B57)</f>
        <v/>
      </c>
      <c r="C45" s="21" t="str">
        <f>IF(A45="*","",RES!A57)</f>
        <v/>
      </c>
      <c r="D45" s="32" t="s">
        <v>924</v>
      </c>
      <c r="E45" s="32" t="str">
        <f t="shared" si="3"/>
        <v/>
      </c>
      <c r="F45" s="32" t="str">
        <f t="shared" si="4"/>
        <v/>
      </c>
      <c r="G45" s="32" t="str">
        <f t="shared" si="5"/>
        <v/>
      </c>
    </row>
    <row r="46" spans="1:7">
      <c r="A46" s="21" t="str">
        <f>IF(LEFT(RES!A58,1)="*","*","")</f>
        <v>*</v>
      </c>
      <c r="B46" s="509" t="str">
        <f>IF(A46="*","",RES!B58)</f>
        <v/>
      </c>
      <c r="C46" s="21" t="str">
        <f>IF(A46="*","",RES!A58)</f>
        <v/>
      </c>
      <c r="D46" s="32" t="s">
        <v>924</v>
      </c>
      <c r="E46" s="32" t="str">
        <f t="shared" si="3"/>
        <v/>
      </c>
      <c r="F46" s="32" t="str">
        <f t="shared" si="4"/>
        <v/>
      </c>
      <c r="G46" s="32" t="str">
        <f t="shared" si="5"/>
        <v/>
      </c>
    </row>
    <row r="47" spans="1:7">
      <c r="A47" s="21" t="str">
        <f>IF(LEFT(RES!A59,1)="*","*","")</f>
        <v>*</v>
      </c>
      <c r="B47" s="509" t="str">
        <f>IF(A47="*","",RES!B59)</f>
        <v/>
      </c>
      <c r="C47" s="21" t="str">
        <f>IF(A47="*","",RES!A59)</f>
        <v/>
      </c>
      <c r="D47" s="32" t="s">
        <v>924</v>
      </c>
      <c r="E47" s="32" t="str">
        <f t="shared" si="3"/>
        <v/>
      </c>
      <c r="F47" s="32" t="str">
        <f t="shared" si="4"/>
        <v/>
      </c>
      <c r="G47" s="32" t="str">
        <f t="shared" si="5"/>
        <v/>
      </c>
    </row>
    <row r="48" spans="1:7">
      <c r="A48" s="21" t="str">
        <f>IF(LEFT(RES!A60,1)="*","*","")</f>
        <v>*</v>
      </c>
      <c r="B48" s="509" t="str">
        <f>IF(A48="*","",RES!B60)</f>
        <v/>
      </c>
      <c r="C48" s="21" t="str">
        <f>IF(A48="*","",RES!A60)</f>
        <v/>
      </c>
      <c r="D48" s="32" t="s">
        <v>924</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924</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924</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924</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924</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924</v>
      </c>
      <c r="E53" s="32" t="str">
        <f t="shared" si="3"/>
        <v>Pja</v>
      </c>
      <c r="F53" s="32" t="str">
        <f t="shared" si="4"/>
        <v>DAYNITE</v>
      </c>
      <c r="G53" s="32" t="str">
        <f t="shared" si="5"/>
        <v>DMD</v>
      </c>
    </row>
    <row r="54" spans="1:7">
      <c r="A54" s="21" t="str">
        <f>IF(LEFT(RES!A66,1)="*","*","")</f>
        <v>*</v>
      </c>
      <c r="B54" s="509" t="str">
        <f>IF(A54="*","",RES!B66)</f>
        <v/>
      </c>
      <c r="C54" s="21" t="str">
        <f>IF(A54="*","",RES!A66)</f>
        <v/>
      </c>
      <c r="D54" s="32" t="s">
        <v>924</v>
      </c>
      <c r="E54" s="32" t="str">
        <f t="shared" si="3"/>
        <v/>
      </c>
      <c r="F54" s="32" t="str">
        <f t="shared" si="4"/>
        <v/>
      </c>
      <c r="G54" s="32" t="str">
        <f t="shared" si="5"/>
        <v/>
      </c>
    </row>
    <row r="55" spans="1:7">
      <c r="A55" s="21" t="str">
        <f>IF(LEFT(RES!A67,1)="*","*","")</f>
        <v>*</v>
      </c>
      <c r="B55" s="509" t="str">
        <f>IF(A55="*","",RES!B67)</f>
        <v/>
      </c>
      <c r="C55" s="21" t="str">
        <f>IF(A55="*","",RES!A67)</f>
        <v/>
      </c>
      <c r="D55" s="32" t="s">
        <v>924</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924</v>
      </c>
      <c r="E56" s="32" t="str">
        <f t="shared" si="3"/>
        <v>Pja</v>
      </c>
      <c r="F56" s="32" t="str">
        <f t="shared" si="4"/>
        <v>DAYNITE</v>
      </c>
      <c r="G56" s="32" t="str">
        <f t="shared" si="5"/>
        <v>DMD</v>
      </c>
    </row>
    <row r="57" spans="1:7">
      <c r="A57" s="21" t="str">
        <f>IF(LEFT(RES!A69,1)="*","*","")</f>
        <v>*</v>
      </c>
      <c r="B57" s="509" t="str">
        <f>IF(A57="*","",RES!B69)</f>
        <v/>
      </c>
      <c r="C57" s="21" t="str">
        <f>IF(A57="*","",RES!A69)</f>
        <v/>
      </c>
      <c r="D57" s="32" t="s">
        <v>924</v>
      </c>
      <c r="E57" s="32" t="str">
        <f t="shared" si="3"/>
        <v/>
      </c>
      <c r="F57" s="32" t="str">
        <f t="shared" si="4"/>
        <v/>
      </c>
      <c r="G57" s="32" t="str">
        <f t="shared" si="5"/>
        <v/>
      </c>
    </row>
    <row r="58" spans="1:7">
      <c r="A58" s="21" t="str">
        <f>IF(LEFT(RES!A70,1)="*","*","")</f>
        <v>*</v>
      </c>
      <c r="B58" s="509" t="str">
        <f>IF(A58="*","",RES!B70)</f>
        <v/>
      </c>
      <c r="C58" s="21" t="str">
        <f>IF(A58="*","",RES!A70)</f>
        <v/>
      </c>
      <c r="D58" s="32" t="s">
        <v>924</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924</v>
      </c>
      <c r="E59" s="32" t="str">
        <f t="shared" si="3"/>
        <v>Pja</v>
      </c>
      <c r="F59" s="32" t="str">
        <f t="shared" si="4"/>
        <v>DAYNITE</v>
      </c>
      <c r="G59" s="32" t="str">
        <f t="shared" si="5"/>
        <v>DMD</v>
      </c>
    </row>
    <row r="60" spans="1:7">
      <c r="A60" s="21" t="str">
        <f>IF(LEFT(RES!A72,1)="*","*","")</f>
        <v>*</v>
      </c>
      <c r="B60" s="509" t="str">
        <f>IF(A60="*","",RES!B72)</f>
        <v/>
      </c>
      <c r="C60" s="21" t="str">
        <f>IF(A60="*","",RES!A72)</f>
        <v/>
      </c>
      <c r="D60" s="32" t="s">
        <v>924</v>
      </c>
      <c r="E60" s="32" t="str">
        <f t="shared" si="3"/>
        <v/>
      </c>
      <c r="F60" s="32" t="str">
        <f t="shared" si="4"/>
        <v/>
      </c>
      <c r="G60" s="32" t="str">
        <f t="shared" si="5"/>
        <v/>
      </c>
    </row>
    <row r="61" spans="1:7">
      <c r="A61" s="21" t="str">
        <f>IF(LEFT(RES!A73,1)="*","*","")</f>
        <v>*</v>
      </c>
      <c r="B61" s="509" t="str">
        <f>IF(A61="*","",RES!B73)</f>
        <v/>
      </c>
      <c r="C61" s="21" t="str">
        <f>IF(A61="*","",RES!A73)</f>
        <v/>
      </c>
      <c r="D61" s="32" t="s">
        <v>924</v>
      </c>
      <c r="E61" s="32" t="str">
        <f t="shared" si="3"/>
        <v/>
      </c>
      <c r="F61" s="32" t="str">
        <f t="shared" si="4"/>
        <v/>
      </c>
      <c r="G61" s="32" t="str">
        <f t="shared" si="5"/>
        <v/>
      </c>
    </row>
    <row r="62" spans="1:7">
      <c r="A62" s="21" t="str">
        <f>IF(LEFT(RES!A74,1)="*","*","")</f>
        <v>*</v>
      </c>
      <c r="B62" s="509" t="str">
        <f>IF(A62="*","",RES!B74)</f>
        <v/>
      </c>
      <c r="C62" s="21" t="str">
        <f>IF(A62="*","",RES!A74)</f>
        <v/>
      </c>
      <c r="D62" s="32" t="s">
        <v>924</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924</v>
      </c>
      <c r="E63" s="32" t="str">
        <f t="shared" si="3"/>
        <v>Pja</v>
      </c>
      <c r="F63" s="32" t="str">
        <f t="shared" si="4"/>
        <v>DAYNITE</v>
      </c>
      <c r="G63" s="32" t="str">
        <f t="shared" si="5"/>
        <v>DMD</v>
      </c>
    </row>
    <row r="64" spans="1:7" ht="14.6">
      <c r="A64" s="610"/>
      <c r="B64" s="509" t="str">
        <f>IF(A64="*","",RES!B76)</f>
        <v>RMELOKEOKE</v>
      </c>
      <c r="C64" s="21" t="str">
        <f>IF(A64="*","",RES!A76)</f>
        <v>Residential - Lighting - Middle Income  - Oil Paraffin - WICK - E</v>
      </c>
      <c r="D64" s="32" t="s">
        <v>924</v>
      </c>
      <c r="E64" s="32" t="str">
        <f t="shared" si="3"/>
        <v>Pja</v>
      </c>
      <c r="F64" s="32" t="str">
        <f t="shared" si="4"/>
        <v>DAYNITE</v>
      </c>
      <c r="G64" s="32" t="str">
        <f t="shared" si="5"/>
        <v>DMD</v>
      </c>
    </row>
    <row r="65" spans="1:7">
      <c r="A65" s="21" t="str">
        <f>IF(LEFT(RES!A77,1)="*","*","")</f>
        <v>*</v>
      </c>
      <c r="B65" s="509" t="str">
        <f>IF(A65="*","",RES!B77)</f>
        <v/>
      </c>
      <c r="C65" s="21" t="str">
        <f>IF(A65="*","",RES!A77)</f>
        <v/>
      </c>
      <c r="D65" s="32" t="s">
        <v>924</v>
      </c>
      <c r="E65" s="32" t="str">
        <f t="shared" si="3"/>
        <v/>
      </c>
      <c r="F65" s="32" t="str">
        <f t="shared" si="4"/>
        <v/>
      </c>
      <c r="G65" s="32" t="str">
        <f t="shared" si="5"/>
        <v/>
      </c>
    </row>
    <row r="66" spans="1:7">
      <c r="A66" s="21" t="str">
        <f>IF(LEFT(RES!A78,1)="*","*","")</f>
        <v>*</v>
      </c>
      <c r="B66" s="509" t="str">
        <f>IF(A66="*","",RES!B78)</f>
        <v/>
      </c>
      <c r="C66" s="21" t="str">
        <f>IF(A66="*","",RES!A78)</f>
        <v/>
      </c>
      <c r="D66" s="32" t="s">
        <v>924</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924</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924</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924</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924</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924</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924</v>
      </c>
      <c r="E72" s="32" t="str">
        <f t="shared" si="3"/>
        <v>Pja</v>
      </c>
      <c r="F72" s="32" t="str">
        <f t="shared" si="4"/>
        <v>DAYNITE</v>
      </c>
      <c r="G72" s="32" t="str">
        <f t="shared" si="5"/>
        <v>DMD</v>
      </c>
    </row>
    <row r="73" spans="1:7">
      <c r="A73" s="21" t="str">
        <f>IF(LEFT(RES!A85,1)="*","*","")</f>
        <v>*</v>
      </c>
      <c r="B73" s="509" t="str">
        <f>IF(A73="*","",RES!B85)</f>
        <v/>
      </c>
      <c r="C73" s="21" t="str">
        <f>IF(A73="*","",RES!A85)</f>
        <v/>
      </c>
      <c r="D73" s="32" t="s">
        <v>924</v>
      </c>
      <c r="E73" s="32" t="str">
        <f t="shared" si="3"/>
        <v/>
      </c>
      <c r="F73" s="32" t="str">
        <f t="shared" si="4"/>
        <v/>
      </c>
      <c r="G73" s="32" t="str">
        <f t="shared" si="5"/>
        <v/>
      </c>
    </row>
    <row r="74" spans="1:7">
      <c r="A74" s="21" t="str">
        <f>IF(LEFT(RES!A86,1)="*","*","")</f>
        <v>*</v>
      </c>
      <c r="B74" s="509" t="str">
        <f>IF(A74="*","",RES!B86)</f>
        <v/>
      </c>
      <c r="C74" s="21" t="str">
        <f>IF(A74="*","",RES!A86)</f>
        <v/>
      </c>
      <c r="D74" s="32" t="s">
        <v>924</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924</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924</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924</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924</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924</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924</v>
      </c>
      <c r="E80" s="32" t="str">
        <f t="shared" si="3"/>
        <v>Pja</v>
      </c>
      <c r="F80" s="32" t="str">
        <f t="shared" si="4"/>
        <v>DAYNITE</v>
      </c>
      <c r="G80" s="32" t="str">
        <f t="shared" si="5"/>
        <v>DMD</v>
      </c>
    </row>
    <row r="81" spans="1:7">
      <c r="A81" s="21" t="str">
        <f>IF(LEFT(RES!A93,1)="*","*","")</f>
        <v>*</v>
      </c>
      <c r="B81" s="509" t="str">
        <f>IF(A81="*","",RES!B93)</f>
        <v/>
      </c>
      <c r="C81" s="21" t="str">
        <f>IF(A81="*","",RES!A93)</f>
        <v/>
      </c>
      <c r="D81" s="32" t="s">
        <v>924</v>
      </c>
      <c r="E81" s="32" t="str">
        <f t="shared" si="3"/>
        <v/>
      </c>
      <c r="F81" s="32" t="str">
        <f t="shared" si="4"/>
        <v/>
      </c>
      <c r="G81" s="32" t="str">
        <f t="shared" si="5"/>
        <v/>
      </c>
    </row>
    <row r="82" spans="1:7">
      <c r="A82" s="21" t="str">
        <f>IF(LEFT(RES!A94,1)="*","*","")</f>
        <v>*</v>
      </c>
      <c r="B82" s="509" t="str">
        <f>IF(A82="*","",RES!B94)</f>
        <v/>
      </c>
      <c r="C82" s="21" t="str">
        <f>IF(A82="*","",RES!A94)</f>
        <v/>
      </c>
      <c r="D82" s="32" t="s">
        <v>924</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924</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924</v>
      </c>
      <c r="E84" s="32" t="str">
        <f t="shared" si="3"/>
        <v>Pja</v>
      </c>
      <c r="F84" s="32" t="str">
        <f t="shared" si="4"/>
        <v>DAYNITE</v>
      </c>
      <c r="G84" s="32" t="str">
        <f t="shared" si="5"/>
        <v>DMD</v>
      </c>
    </row>
    <row r="85" spans="1:7">
      <c r="A85" s="21" t="str">
        <f>IF(LEFT(RES!A97,1)="*","*","")</f>
        <v>*</v>
      </c>
      <c r="B85" s="509" t="str">
        <f>IF(A85="*","",RES!B97)</f>
        <v/>
      </c>
      <c r="C85" s="21" t="str">
        <f>IF(A85="*","",RES!A97)</f>
        <v/>
      </c>
      <c r="D85" s="32" t="s">
        <v>924</v>
      </c>
      <c r="E85" s="32" t="str">
        <f t="shared" si="3"/>
        <v/>
      </c>
      <c r="F85" s="32" t="str">
        <f t="shared" si="4"/>
        <v/>
      </c>
      <c r="G85" s="32" t="str">
        <f t="shared" si="5"/>
        <v/>
      </c>
    </row>
    <row r="86" spans="1:7">
      <c r="A86" s="21" t="str">
        <f>IF(LEFT(RES!A98,1)="*","*","")</f>
        <v>*</v>
      </c>
      <c r="B86" s="509" t="str">
        <f>IF(A86="*","",RES!B98)</f>
        <v/>
      </c>
      <c r="C86" s="21" t="str">
        <f>IF(A86="*","",RES!A98)</f>
        <v/>
      </c>
      <c r="D86" s="32" t="s">
        <v>924</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924</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924</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924</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924</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924</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924</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924</v>
      </c>
      <c r="E93" s="32" t="str">
        <f t="shared" si="6"/>
        <v/>
      </c>
      <c r="F93" s="32" t="str">
        <f t="shared" si="7"/>
        <v/>
      </c>
      <c r="G93" s="32" t="str">
        <f t="shared" si="8"/>
        <v/>
      </c>
    </row>
    <row r="94" spans="1:7">
      <c r="A94" s="21" t="str">
        <f>IF(LEFT(RES!A106,1)="*","*","")</f>
        <v>*</v>
      </c>
      <c r="B94" s="509" t="str">
        <f>IF(A94="*","",RES!B106)</f>
        <v/>
      </c>
      <c r="C94" s="21" t="str">
        <f>IF(A94="*","",RES!A106)</f>
        <v/>
      </c>
      <c r="D94" s="32" t="s">
        <v>924</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924</v>
      </c>
      <c r="E95" s="32" t="str">
        <f t="shared" si="6"/>
        <v>Pja</v>
      </c>
      <c r="F95" s="32" t="str">
        <f t="shared" si="7"/>
        <v>DAYNITE</v>
      </c>
      <c r="G95" s="32" t="str">
        <f t="shared" si="8"/>
        <v>DMD</v>
      </c>
    </row>
    <row r="96" spans="1:7">
      <c r="A96" s="21" t="str">
        <f>IF(LEFT(RES!A108,1)="*","*","")</f>
        <v>*</v>
      </c>
      <c r="B96" s="509" t="str">
        <f>IF(A96="*","",RES!B108)</f>
        <v/>
      </c>
      <c r="C96" s="21" t="str">
        <f>IF(A96="*","",RES!A108)</f>
        <v/>
      </c>
      <c r="D96" s="32" t="s">
        <v>924</v>
      </c>
      <c r="E96" s="32" t="str">
        <f t="shared" si="6"/>
        <v/>
      </c>
      <c r="F96" s="32" t="str">
        <f t="shared" si="7"/>
        <v/>
      </c>
      <c r="G96" s="32" t="str">
        <f t="shared" si="8"/>
        <v/>
      </c>
    </row>
    <row r="97" spans="1:7">
      <c r="A97" s="21" t="str">
        <f>IF(LEFT(RES!A109,1)="*","*","")</f>
        <v>*</v>
      </c>
      <c r="B97" s="509" t="str">
        <f>IF(A97="*","",RES!B109)</f>
        <v/>
      </c>
      <c r="C97" s="21" t="str">
        <f>IF(A97="*","",RES!A109)</f>
        <v/>
      </c>
      <c r="D97" s="32" t="s">
        <v>924</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924</v>
      </c>
      <c r="E98" s="32" t="str">
        <f t="shared" si="6"/>
        <v>Pja</v>
      </c>
      <c r="F98" s="32" t="str">
        <f t="shared" si="7"/>
        <v>DAYNITE</v>
      </c>
      <c r="G98" s="32" t="str">
        <f t="shared" si="8"/>
        <v>DMD</v>
      </c>
    </row>
    <row r="99" spans="1:7">
      <c r="A99" s="21" t="str">
        <f>IF(LEFT(RES!A111,1)="*","*","")</f>
        <v>*</v>
      </c>
      <c r="B99" s="509" t="str">
        <f>IF(A99="*","",RES!B111)</f>
        <v/>
      </c>
      <c r="C99" s="21" t="str">
        <f>IF(A99="*","",RES!A111)</f>
        <v/>
      </c>
      <c r="D99" s="32" t="s">
        <v>924</v>
      </c>
      <c r="E99" s="32" t="str">
        <f t="shared" si="6"/>
        <v/>
      </c>
      <c r="F99" s="32" t="str">
        <f t="shared" si="7"/>
        <v/>
      </c>
      <c r="G99" s="32" t="str">
        <f t="shared" si="8"/>
        <v/>
      </c>
    </row>
    <row r="100" spans="1:7">
      <c r="A100" s="21" t="str">
        <f>IF(LEFT(RES!A112,1)="*","*","")</f>
        <v>*</v>
      </c>
      <c r="B100" s="509" t="str">
        <f>IF(A100="*","",RES!B112)</f>
        <v/>
      </c>
      <c r="C100" s="21" t="str">
        <f>IF(A100="*","",RES!A112)</f>
        <v/>
      </c>
      <c r="D100" s="32" t="s">
        <v>924</v>
      </c>
      <c r="E100" s="32" t="str">
        <f t="shared" si="6"/>
        <v/>
      </c>
      <c r="F100" s="32" t="str">
        <f t="shared" si="7"/>
        <v/>
      </c>
      <c r="G100" s="32" t="str">
        <f t="shared" si="8"/>
        <v/>
      </c>
    </row>
    <row r="101" spans="1:7">
      <c r="A101" s="21" t="str">
        <f>IF(LEFT(RES!A113,1)="*","*","")</f>
        <v>*</v>
      </c>
      <c r="B101" s="509" t="str">
        <f>IF(A101="*","",RES!B113)</f>
        <v/>
      </c>
      <c r="C101" s="21" t="str">
        <f>IF(A101="*","",RES!A113)</f>
        <v/>
      </c>
      <c r="D101" s="32" t="s">
        <v>924</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924</v>
      </c>
      <c r="E102" s="32" t="str">
        <f t="shared" si="6"/>
        <v>Pja</v>
      </c>
      <c r="F102" s="32" t="str">
        <f t="shared" si="7"/>
        <v>DAYNITE</v>
      </c>
      <c r="G102" s="32" t="str">
        <f t="shared" si="8"/>
        <v>DMD</v>
      </c>
    </row>
    <row r="103" spans="1:7">
      <c r="A103" s="21" t="str">
        <f>IF(LEFT(RES!A115,1)="*","*","")</f>
        <v>*</v>
      </c>
      <c r="B103" s="509" t="str">
        <f>IF(A103="*","",RES!B115)</f>
        <v/>
      </c>
      <c r="C103" s="21" t="str">
        <f>IF(A103="*","",RES!A115)</f>
        <v/>
      </c>
      <c r="D103" s="32" t="s">
        <v>924</v>
      </c>
      <c r="E103" s="32" t="str">
        <f t="shared" si="6"/>
        <v/>
      </c>
      <c r="F103" s="32" t="str">
        <f t="shared" si="7"/>
        <v/>
      </c>
      <c r="G103" s="32" t="str">
        <f t="shared" si="8"/>
        <v/>
      </c>
    </row>
    <row r="104" spans="1:7">
      <c r="A104" s="21" t="str">
        <f>IF(LEFT(RES!A116,1)="*","*","")</f>
        <v>*</v>
      </c>
      <c r="B104" s="509" t="str">
        <f>IF(A104="*","",RES!B116)</f>
        <v/>
      </c>
      <c r="C104" s="21" t="str">
        <f>IF(A104="*","",RES!A116)</f>
        <v/>
      </c>
      <c r="D104" s="32" t="s">
        <v>924</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924</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924</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924</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924</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924</v>
      </c>
      <c r="E109" s="32" t="str">
        <f t="shared" si="6"/>
        <v>Pja</v>
      </c>
      <c r="F109" s="32" t="str">
        <f t="shared" si="7"/>
        <v>DAYNITE</v>
      </c>
      <c r="G109" s="32" t="str">
        <f t="shared" si="8"/>
        <v>DMD</v>
      </c>
    </row>
    <row r="110" spans="1:7">
      <c r="A110" s="21" t="str">
        <f>IF(LEFT(RES!A122,1)="*","*","")</f>
        <v>*</v>
      </c>
      <c r="B110" s="509" t="str">
        <f>IF(A110="*","",RES!B122)</f>
        <v/>
      </c>
      <c r="C110" s="21" t="str">
        <f>IF(A110="*","",RES!A122)</f>
        <v/>
      </c>
      <c r="D110" s="32" t="s">
        <v>924</v>
      </c>
      <c r="E110" s="32" t="str">
        <f t="shared" si="6"/>
        <v/>
      </c>
      <c r="F110" s="32" t="str">
        <f t="shared" si="7"/>
        <v/>
      </c>
      <c r="G110" s="32" t="str">
        <f t="shared" si="8"/>
        <v/>
      </c>
    </row>
    <row r="111" spans="1:7">
      <c r="A111" s="21" t="str">
        <f>IF(LEFT(RES!A123,1)="*","*","")</f>
        <v>*</v>
      </c>
      <c r="B111" s="509" t="str">
        <f>IF(A111="*","",RES!B123)</f>
        <v/>
      </c>
      <c r="C111" s="21" t="str">
        <f>IF(A111="*","",RES!A123)</f>
        <v/>
      </c>
      <c r="D111" s="32" t="s">
        <v>924</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924</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924</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924</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924</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924</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924</v>
      </c>
      <c r="E117" s="32" t="str">
        <f t="shared" si="6"/>
        <v>Pja</v>
      </c>
      <c r="F117" s="32" t="str">
        <f t="shared" si="7"/>
        <v>DAYNITE</v>
      </c>
      <c r="G117" s="32" t="str">
        <f t="shared" si="8"/>
        <v>DMD</v>
      </c>
    </row>
    <row r="118" spans="1:7">
      <c r="A118" s="21" t="str">
        <f>IF(LEFT(RES!A130,1)="*","*","")</f>
        <v>*</v>
      </c>
      <c r="B118" s="509" t="str">
        <f>IF(A118="*","",RES!B130)</f>
        <v/>
      </c>
      <c r="C118" s="21" t="str">
        <f>IF(A118="*","",RES!A130)</f>
        <v/>
      </c>
      <c r="D118" s="32" t="s">
        <v>924</v>
      </c>
      <c r="E118" s="32" t="str">
        <f t="shared" si="6"/>
        <v/>
      </c>
      <c r="F118" s="32" t="str">
        <f t="shared" si="7"/>
        <v/>
      </c>
      <c r="G118" s="32" t="str">
        <f t="shared" si="8"/>
        <v/>
      </c>
    </row>
    <row r="119" spans="1:7">
      <c r="A119" s="21" t="str">
        <f>IF(LEFT(RES!A131,1)="*","*","")</f>
        <v>*</v>
      </c>
      <c r="B119" s="509" t="str">
        <f>IF(A119="*","",RES!B131)</f>
        <v/>
      </c>
      <c r="C119" s="21" t="str">
        <f>IF(A119="*","",RES!A131)</f>
        <v/>
      </c>
      <c r="D119" s="32" t="s">
        <v>924</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924</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924</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924</v>
      </c>
      <c r="E122" s="32" t="str">
        <f t="shared" si="6"/>
        <v>Pja</v>
      </c>
      <c r="F122" s="32" t="str">
        <f t="shared" si="7"/>
        <v>DAYNITE</v>
      </c>
      <c r="G122" s="32" t="str">
        <f t="shared" si="8"/>
        <v>DMD</v>
      </c>
    </row>
    <row r="123" spans="1:7">
      <c r="A123" s="21" t="str">
        <f>IF(LEFT(RES!A135,1)="*","*","")</f>
        <v>*</v>
      </c>
      <c r="B123" s="509" t="str">
        <f>IF(A123="*","",RES!B135)</f>
        <v/>
      </c>
      <c r="C123" s="21" t="str">
        <f>IF(A123="*","",RES!A135)</f>
        <v/>
      </c>
      <c r="D123" s="32" t="s">
        <v>924</v>
      </c>
      <c r="E123" s="32" t="str">
        <f t="shared" si="6"/>
        <v/>
      </c>
      <c r="F123" s="32" t="str">
        <f t="shared" si="7"/>
        <v/>
      </c>
      <c r="G123" s="32" t="str">
        <f t="shared" si="8"/>
        <v/>
      </c>
    </row>
    <row r="124" spans="1:7">
      <c r="A124" s="21" t="str">
        <f>IF(LEFT(RES!A136,1)="*","*","")</f>
        <v>*</v>
      </c>
      <c r="B124" s="509" t="str">
        <f>IF(A124="*","",RES!B136)</f>
        <v/>
      </c>
      <c r="C124" s="21" t="str">
        <f>IF(A124="*","",RES!A136)</f>
        <v/>
      </c>
      <c r="D124" s="32" t="s">
        <v>924</v>
      </c>
      <c r="E124" s="32" t="str">
        <f t="shared" si="6"/>
        <v/>
      </c>
      <c r="F124" s="32" t="str">
        <f t="shared" si="7"/>
        <v/>
      </c>
      <c r="G124" s="32" t="str">
        <f t="shared" si="8"/>
        <v/>
      </c>
    </row>
    <row r="125" spans="1:7">
      <c r="A125" s="21" t="str">
        <f>IF(LEFT(RES!A137,1)="*","*","")</f>
        <v>*</v>
      </c>
      <c r="B125" s="509" t="str">
        <f>IF(A125="*","",RES!B137)</f>
        <v/>
      </c>
      <c r="C125" s="21" t="str">
        <f>IF(A125="*","",RES!A137)</f>
        <v/>
      </c>
      <c r="D125" s="32" t="s">
        <v>924</v>
      </c>
      <c r="E125" s="32" t="str">
        <f t="shared" si="6"/>
        <v/>
      </c>
      <c r="F125" s="32" t="str">
        <f t="shared" si="7"/>
        <v/>
      </c>
      <c r="G125" s="32" t="str">
        <f t="shared" si="8"/>
        <v/>
      </c>
    </row>
    <row r="126" spans="1:7">
      <c r="A126" s="21" t="str">
        <f>IF(LEFT(RES!A138,1)="*","*","")</f>
        <v>*</v>
      </c>
      <c r="B126" s="509" t="str">
        <f>IF(A126="*","",RES!B138)</f>
        <v/>
      </c>
      <c r="C126" s="21" t="str">
        <f>IF(A126="*","",RES!A138)</f>
        <v/>
      </c>
      <c r="D126" s="32" t="s">
        <v>924</v>
      </c>
      <c r="E126" s="32" t="str">
        <f t="shared" si="6"/>
        <v/>
      </c>
      <c r="F126" s="32" t="str">
        <f t="shared" si="7"/>
        <v/>
      </c>
      <c r="G126" s="32" t="str">
        <f t="shared" si="8"/>
        <v/>
      </c>
    </row>
    <row r="127" spans="1:7">
      <c r="A127" s="21" t="str">
        <f>IF(LEFT(RES!A139,1)="*","*","")</f>
        <v>*</v>
      </c>
      <c r="B127" s="509" t="str">
        <f>IF(A127="*","",RES!B139)</f>
        <v/>
      </c>
      <c r="C127" s="21" t="str">
        <f>IF(A127="*","",RES!A139)</f>
        <v/>
      </c>
      <c r="D127" s="32" t="s">
        <v>924</v>
      </c>
      <c r="E127" s="32" t="str">
        <f t="shared" si="6"/>
        <v/>
      </c>
      <c r="F127" s="32" t="str">
        <f t="shared" si="7"/>
        <v/>
      </c>
      <c r="G127" s="32" t="str">
        <f t="shared" si="8"/>
        <v/>
      </c>
    </row>
    <row r="128" spans="1:7" ht="14.6">
      <c r="A128" s="610"/>
      <c r="B128" s="509" t="str">
        <f>IF(A128="*","",RES!B140)</f>
        <v>RHERELCREF-E</v>
      </c>
      <c r="C128" s="21" t="str">
        <f>IF(A128="*","",RES!A140)</f>
        <v>Residential - Refrigeration - High Income  - Electricity - REF - E</v>
      </c>
      <c r="D128" s="32" t="s">
        <v>924</v>
      </c>
      <c r="E128" s="32" t="str">
        <f t="shared" si="6"/>
        <v>Pja</v>
      </c>
      <c r="F128" s="32" t="str">
        <f t="shared" si="7"/>
        <v>DAYNITE</v>
      </c>
      <c r="G128" s="32" t="str">
        <f t="shared" si="8"/>
        <v>DMD</v>
      </c>
    </row>
    <row r="129" spans="1:7">
      <c r="A129" s="21" t="str">
        <f>IF(LEFT(RES!A141,1)="*","*","")</f>
        <v>*</v>
      </c>
      <c r="B129" s="509" t="str">
        <f>IF(A129="*","",RES!B141)</f>
        <v/>
      </c>
      <c r="C129" s="21" t="str">
        <f>IF(A129="*","",RES!A141)</f>
        <v/>
      </c>
      <c r="D129" s="32" t="s">
        <v>924</v>
      </c>
      <c r="E129" s="32" t="str">
        <f t="shared" si="6"/>
        <v/>
      </c>
      <c r="F129" s="32" t="str">
        <f t="shared" si="7"/>
        <v/>
      </c>
      <c r="G129" s="32" t="str">
        <f t="shared" si="8"/>
        <v/>
      </c>
    </row>
    <row r="130" spans="1:7">
      <c r="A130" s="21" t="str">
        <f>IF(LEFT(RES!A142,1)="*","*","")</f>
        <v>*</v>
      </c>
      <c r="B130" s="509" t="str">
        <f>IF(A130="*","",RES!B142)</f>
        <v/>
      </c>
      <c r="C130" s="21" t="str">
        <f>IF(A130="*","",RES!A142)</f>
        <v/>
      </c>
      <c r="D130" s="32" t="s">
        <v>924</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924</v>
      </c>
      <c r="E131" s="32" t="str">
        <f t="shared" si="6"/>
        <v>Pja</v>
      </c>
      <c r="F131" s="32" t="str">
        <f t="shared" si="7"/>
        <v>DAYNITE</v>
      </c>
      <c r="G131" s="32" t="str">
        <f t="shared" si="8"/>
        <v>DMD</v>
      </c>
    </row>
    <row r="132" spans="1:7">
      <c r="A132" s="21" t="str">
        <f>IF(LEFT(RES!A144,1)="*","*","")</f>
        <v>*</v>
      </c>
      <c r="B132" s="509" t="str">
        <f>IF(A132="*","",RES!B144)</f>
        <v/>
      </c>
      <c r="C132" s="21" t="str">
        <f>IF(A132="*","",RES!A144)</f>
        <v/>
      </c>
      <c r="D132" s="32" t="s">
        <v>924</v>
      </c>
      <c r="E132" s="32" t="str">
        <f t="shared" si="6"/>
        <v/>
      </c>
      <c r="F132" s="32" t="str">
        <f t="shared" si="7"/>
        <v/>
      </c>
      <c r="G132" s="32" t="str">
        <f t="shared" si="8"/>
        <v/>
      </c>
    </row>
    <row r="133" spans="1:7">
      <c r="A133" s="21" t="str">
        <f>IF(LEFT(RES!A145,1)="*","*","")</f>
        <v>*</v>
      </c>
      <c r="B133" s="509" t="str">
        <f>IF(A133="*","",RES!B145)</f>
        <v/>
      </c>
      <c r="C133" s="21" t="str">
        <f>IF(A133="*","",RES!A145)</f>
        <v/>
      </c>
      <c r="D133" s="32" t="s">
        <v>924</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45"/>
    <row r="242" customFormat="1" ht="12.45"/>
    <row r="243" customFormat="1" ht="12.45"/>
    <row r="244" customFormat="1" ht="12.45"/>
    <row r="245" customFormat="1" ht="12.45"/>
    <row r="246" customFormat="1" ht="12.45"/>
    <row r="247" customFormat="1" ht="12.45"/>
    <row r="248" customFormat="1" ht="12.45"/>
    <row r="249" customFormat="1" ht="12.45"/>
    <row r="250" customFormat="1" ht="12.45"/>
    <row r="251" customFormat="1" ht="12.45"/>
    <row r="252" customFormat="1" ht="12.45"/>
    <row r="253" customFormat="1" ht="12.45"/>
    <row r="254" customFormat="1" ht="12.45"/>
    <row r="255" customFormat="1" ht="12.45"/>
    <row r="256" customFormat="1" ht="12.45"/>
    <row r="257" spans="4:5" customFormat="1" ht="12.45"/>
    <row r="258" spans="4:5" customFormat="1" ht="12.45"/>
    <row r="259" spans="4:5" customFormat="1" ht="12.45"/>
    <row r="260" spans="4:5" customFormat="1" ht="12.4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3828125" defaultRowHeight="10.3"/>
  <cols>
    <col min="1" max="1" width="12.3828125" style="21" customWidth="1"/>
    <col min="2" max="2" width="11" style="21" customWidth="1"/>
    <col min="3" max="3" width="27.3828125" style="21" customWidth="1"/>
    <col min="4" max="4" width="10.15234375" style="21" customWidth="1"/>
    <col min="5" max="5" width="28.69140625" style="21" customWidth="1"/>
    <col min="6" max="16384" width="11.3828125" style="21"/>
  </cols>
  <sheetData>
    <row r="1" spans="1:10">
      <c r="A1" s="20"/>
    </row>
    <row r="3" spans="1:10" ht="18.75" customHeight="1"/>
    <row r="4" spans="1:10">
      <c r="B4" s="21" t="s">
        <v>923</v>
      </c>
    </row>
    <row r="5" spans="1:10">
      <c r="B5" s="20" t="s">
        <v>914</v>
      </c>
      <c r="C5" s="20" t="s">
        <v>915</v>
      </c>
      <c r="D5" s="20" t="s">
        <v>916</v>
      </c>
      <c r="E5" s="20" t="s">
        <v>917</v>
      </c>
      <c r="F5" s="20" t="s">
        <v>918</v>
      </c>
      <c r="G5" s="21" t="s">
        <v>919</v>
      </c>
      <c r="H5" s="21" t="s">
        <v>920</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922</v>
      </c>
      <c r="F6" s="21" t="s">
        <v>921</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922</v>
      </c>
      <c r="F7" s="21" t="s">
        <v>921</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922</v>
      </c>
      <c r="F8" s="21" t="s">
        <v>921</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922</v>
      </c>
      <c r="F9" s="21" t="s">
        <v>921</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922</v>
      </c>
      <c r="F10" s="21" t="s">
        <v>921</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922</v>
      </c>
      <c r="F11" s="21" t="s">
        <v>921</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922</v>
      </c>
      <c r="F12" s="21" t="s">
        <v>921</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922</v>
      </c>
      <c r="F13" s="21" t="s">
        <v>921</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922</v>
      </c>
      <c r="F14" s="21" t="s">
        <v>921</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922</v>
      </c>
      <c r="F15" s="21" t="s">
        <v>921</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922</v>
      </c>
      <c r="F16" s="21" t="s">
        <v>921</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922</v>
      </c>
      <c r="F17" s="21" t="s">
        <v>921</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922</v>
      </c>
      <c r="F18" s="21" t="s">
        <v>921</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922</v>
      </c>
      <c r="F19" s="21" t="s">
        <v>921</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922</v>
      </c>
      <c r="F20" s="21" t="s">
        <v>921</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922</v>
      </c>
      <c r="F21" s="21" t="s">
        <v>921</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922</v>
      </c>
      <c r="F22" s="21" t="s">
        <v>921</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922</v>
      </c>
      <c r="F23" s="21" t="s">
        <v>921</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922</v>
      </c>
      <c r="F24" s="21" t="s">
        <v>921</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922</v>
      </c>
      <c r="F25" s="21" t="s">
        <v>921</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922</v>
      </c>
      <c r="F26" s="21" t="s">
        <v>921</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922</v>
      </c>
      <c r="F27" s="21" t="s">
        <v>921</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922</v>
      </c>
      <c r="F28" s="21" t="s">
        <v>921</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3828125" defaultRowHeight="10.3"/>
  <cols>
    <col min="1" max="1" width="12.15234375" style="580" customWidth="1"/>
    <col min="2" max="2" width="12" style="580" customWidth="1"/>
    <col min="3" max="3" width="11.3828125" style="580" customWidth="1"/>
    <col min="4" max="4" width="7.3828125" style="580" customWidth="1"/>
    <col min="5" max="16384" width="11.3828125" style="580"/>
  </cols>
  <sheetData>
    <row r="1" spans="1:5">
      <c r="A1" s="586" t="e">
        <v>#REF!</v>
      </c>
      <c r="B1" s="580" t="s">
        <v>1015</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1019</v>
      </c>
      <c r="C7" s="586" t="s">
        <v>914</v>
      </c>
      <c r="D7" s="585" t="s">
        <v>1018</v>
      </c>
      <c r="E7" s="580">
        <v>2017</v>
      </c>
    </row>
    <row r="8" spans="1:5">
      <c r="A8" s="580" t="str">
        <f t="shared" ref="A8:A37" si="0">IF(C8=0,"*","")</f>
        <v/>
      </c>
      <c r="B8" s="583" t="s">
        <v>1020</v>
      </c>
      <c r="C8" s="581" t="str">
        <f>RES!D39</f>
        <v>RLEL</v>
      </c>
      <c r="D8" s="582" t="s">
        <v>49</v>
      </c>
      <c r="E8" s="584">
        <f>SUMIF(Lighting!$E$25:$E$35,C8,Lighting!$P$25:$P$35)</f>
        <v>15.542686039399339</v>
      </c>
    </row>
    <row r="9" spans="1:5">
      <c r="A9" s="580" t="str">
        <f t="shared" si="0"/>
        <v/>
      </c>
      <c r="B9" s="583" t="s">
        <v>1020</v>
      </c>
      <c r="C9" s="581" t="s">
        <v>259</v>
      </c>
      <c r="D9" s="582" t="s">
        <v>49</v>
      </c>
      <c r="E9" s="584">
        <f>SUMIF(RES!$D$39:$D$300,C9,RES!$N$39:$N$300)</f>
        <v>3.6541482196776116E-2</v>
      </c>
    </row>
    <row r="10" spans="1:5">
      <c r="A10" s="580" t="str">
        <f t="shared" si="0"/>
        <v/>
      </c>
      <c r="B10" s="583" t="s">
        <v>1020</v>
      </c>
      <c r="C10" s="581" t="s">
        <v>243</v>
      </c>
      <c r="D10" s="582" t="s">
        <v>49</v>
      </c>
      <c r="E10" s="584">
        <f>SUMIF(RES!$D$39:$D$300,C10,RES!$N$39:$N$300)</f>
        <v>11.428450394710401</v>
      </c>
    </row>
    <row r="11" spans="1:5">
      <c r="A11" s="580" t="str">
        <f t="shared" si="0"/>
        <v/>
      </c>
      <c r="B11" s="583" t="s">
        <v>1020</v>
      </c>
      <c r="C11" s="581" t="s">
        <v>244</v>
      </c>
      <c r="D11" s="582" t="s">
        <v>49</v>
      </c>
      <c r="E11" s="584">
        <f>SUMIF(RES!$D$39:$D$300,C11,RES!$N$39:$N$300)</f>
        <v>9.2994915751840512</v>
      </c>
    </row>
    <row r="12" spans="1:5">
      <c r="A12" s="580" t="str">
        <f t="shared" si="0"/>
        <v/>
      </c>
      <c r="B12" s="583" t="s">
        <v>1020</v>
      </c>
      <c r="C12" s="581" t="s">
        <v>557</v>
      </c>
      <c r="D12" s="582" t="s">
        <v>49</v>
      </c>
      <c r="E12" s="584">
        <f>SUMIF(RES!$D$39:$D$300,C12,RES!$N$39:$N$300)</f>
        <v>0</v>
      </c>
    </row>
    <row r="13" spans="1:5">
      <c r="A13" s="580" t="str">
        <f t="shared" si="0"/>
        <v/>
      </c>
      <c r="B13" s="583" t="s">
        <v>1020</v>
      </c>
      <c r="C13" s="581" t="s">
        <v>245</v>
      </c>
      <c r="D13" s="582" t="s">
        <v>49</v>
      </c>
      <c r="E13" s="584">
        <f>SUMIF(RES!$D$39:$D$300,C13,RES!$N$39:$N$300)</f>
        <v>4.5736255741133904</v>
      </c>
    </row>
    <row r="14" spans="1:5">
      <c r="A14" s="580" t="str">
        <f t="shared" si="0"/>
        <v/>
      </c>
      <c r="B14" s="583" t="s">
        <v>1020</v>
      </c>
      <c r="C14" s="581" t="s">
        <v>246</v>
      </c>
      <c r="D14" s="582" t="s">
        <v>49</v>
      </c>
      <c r="E14" s="584">
        <f>SUMIF(RES!$D$39:$D$300,C14,RES!$N$39:$N$300)</f>
        <v>4.2534030449104945</v>
      </c>
    </row>
    <row r="15" spans="1:5">
      <c r="A15" s="580" t="str">
        <f t="shared" si="0"/>
        <v/>
      </c>
      <c r="B15" s="583" t="s">
        <v>1020</v>
      </c>
      <c r="C15" s="581" t="s">
        <v>247</v>
      </c>
      <c r="D15" s="582" t="s">
        <v>49</v>
      </c>
      <c r="E15" s="584">
        <f>SUMIF(RES!$D$39:$D$300,C15,RES!$N$39:$N$300)</f>
        <v>5.7452488569507176</v>
      </c>
    </row>
    <row r="16" spans="1:5">
      <c r="A16" s="580" t="str">
        <f t="shared" si="0"/>
        <v>*</v>
      </c>
      <c r="B16" s="583" t="s">
        <v>1020</v>
      </c>
      <c r="C16" s="581"/>
      <c r="D16" s="582" t="s">
        <v>49</v>
      </c>
      <c r="E16" s="584">
        <f>SUMIF(RES!$D$39:$D$300,C16,RES!$N$39:$N$300)</f>
        <v>0</v>
      </c>
    </row>
    <row r="17" spans="1:5">
      <c r="A17" s="580" t="str">
        <f t="shared" si="0"/>
        <v>*</v>
      </c>
      <c r="B17" s="583" t="s">
        <v>1020</v>
      </c>
      <c r="C17" s="581"/>
      <c r="D17" s="582" t="s">
        <v>49</v>
      </c>
      <c r="E17" s="584">
        <f>SUMIF(RES!$D$39:$D$300,C17,RES!$N$39:$N$300)</f>
        <v>0</v>
      </c>
    </row>
    <row r="18" spans="1:5">
      <c r="A18" s="580" t="str">
        <f t="shared" si="0"/>
        <v>*</v>
      </c>
      <c r="B18" s="583" t="s">
        <v>1020</v>
      </c>
      <c r="C18" s="581"/>
      <c r="D18" s="582" t="s">
        <v>49</v>
      </c>
      <c r="E18" s="584">
        <f>SUMIF(RES!$D$39:$D$300,C18,RES!$N$39:$N$300)</f>
        <v>0</v>
      </c>
    </row>
    <row r="19" spans="1:5">
      <c r="A19" s="580" t="str">
        <f t="shared" si="0"/>
        <v/>
      </c>
      <c r="B19" s="583" t="s">
        <v>1020</v>
      </c>
      <c r="C19" s="581" t="str">
        <f>ITEMS_Comm!B14</f>
        <v>RMEL</v>
      </c>
      <c r="D19" s="582" t="s">
        <v>49</v>
      </c>
      <c r="E19" s="584">
        <f>SUMIF(Lighting!$E$25:$E$35,C19,Lighting!$P$25:$P$35)</f>
        <v>14.579147778971207</v>
      </c>
    </row>
    <row r="20" spans="1:5">
      <c r="A20" s="580" t="str">
        <f t="shared" si="0"/>
        <v/>
      </c>
      <c r="B20" s="583" t="s">
        <v>1020</v>
      </c>
      <c r="C20" s="581" t="str">
        <f>ITEMS_Comm!B15</f>
        <v>RMNL</v>
      </c>
      <c r="D20" s="582" t="s">
        <v>49</v>
      </c>
      <c r="E20" s="584">
        <f>SUMIF(RES!$D$39:$D$300,C20,RES!$N$39:$N$300)</f>
        <v>7.1482186957706251E-2</v>
      </c>
    </row>
    <row r="21" spans="1:5">
      <c r="A21" s="580" t="str">
        <f t="shared" si="0"/>
        <v/>
      </c>
      <c r="B21" s="583" t="s">
        <v>1020</v>
      </c>
      <c r="C21" s="581" t="str">
        <f>ITEMS_Comm!B16</f>
        <v>RMEK</v>
      </c>
      <c r="D21" s="582" t="s">
        <v>49</v>
      </c>
      <c r="E21" s="584">
        <f>SUMIF(RES!$D$39:$D$300,C21,RES!$N$39:$N$300)</f>
        <v>10.272875852822654</v>
      </c>
    </row>
    <row r="22" spans="1:5">
      <c r="A22" s="580" t="str">
        <f t="shared" si="0"/>
        <v/>
      </c>
      <c r="B22" s="583" t="s">
        <v>1020</v>
      </c>
      <c r="C22" s="581" t="str">
        <f>ITEMS_Comm!B17</f>
        <v>RMEH</v>
      </c>
      <c r="D22" s="582" t="s">
        <v>49</v>
      </c>
      <c r="E22" s="584">
        <f>SUMIF(RES!$D$39:$D$300,C22,RES!$N$39:$N$300)</f>
        <v>9.6822001330816203</v>
      </c>
    </row>
    <row r="23" spans="1:5">
      <c r="A23" s="580" t="str">
        <f t="shared" si="0"/>
        <v/>
      </c>
      <c r="B23" s="583" t="s">
        <v>1020</v>
      </c>
      <c r="C23" s="581" t="str">
        <f>ITEMS_Comm!B18</f>
        <v>RMEW</v>
      </c>
      <c r="D23" s="582" t="s">
        <v>49</v>
      </c>
      <c r="E23" s="584">
        <f>SUMIF(RES!$D$39:$D$300,C23,RES!$N$39:$N$300)</f>
        <v>4.3678647382810798</v>
      </c>
    </row>
    <row r="24" spans="1:5">
      <c r="A24" s="580" t="str">
        <f t="shared" si="0"/>
        <v/>
      </c>
      <c r="B24" s="583" t="s">
        <v>1020</v>
      </c>
      <c r="C24" s="581" t="str">
        <f>ITEMS_Comm!B19</f>
        <v>RMEWG</v>
      </c>
      <c r="D24" s="582" t="s">
        <v>49</v>
      </c>
      <c r="E24" s="584">
        <f>SUMIF(RES!$D$39:$D$300,C24,RES!$N$39:$N$300)</f>
        <v>7.0312597139351638</v>
      </c>
    </row>
    <row r="25" spans="1:5">
      <c r="A25" s="580" t="str">
        <f t="shared" si="0"/>
        <v/>
      </c>
      <c r="B25" s="583" t="s">
        <v>1020</v>
      </c>
      <c r="C25" s="581" t="str">
        <f>ITEMS_Comm!B20</f>
        <v>RMER</v>
      </c>
      <c r="D25" s="582" t="s">
        <v>49</v>
      </c>
      <c r="E25" s="584">
        <f>SUMIF(RES!$D$39:$D$300,C25,RES!$N$39:$N$300)</f>
        <v>6.4871161947221347</v>
      </c>
    </row>
    <row r="26" spans="1:5">
      <c r="A26" s="580" t="str">
        <f t="shared" si="0"/>
        <v/>
      </c>
      <c r="B26" s="583" t="s">
        <v>1020</v>
      </c>
      <c r="C26" s="581" t="str">
        <f>ITEMS_Comm!B21</f>
        <v>RMEO</v>
      </c>
      <c r="D26" s="582" t="s">
        <v>49</v>
      </c>
      <c r="E26" s="584">
        <f>SUMIF(RES!$D$39:$D$300,C26,RES!$N$39:$N$300)</f>
        <v>7.7618829459684937</v>
      </c>
    </row>
    <row r="27" spans="1:5">
      <c r="A27" s="580" t="str">
        <f t="shared" si="0"/>
        <v>*</v>
      </c>
      <c r="B27" s="583" t="s">
        <v>1020</v>
      </c>
      <c r="C27" s="581"/>
      <c r="D27" s="582" t="s">
        <v>49</v>
      </c>
      <c r="E27" s="584">
        <f>SUMIF(RES!$D$39:$D$300,C27,RES!$N$39:$N$300)</f>
        <v>0</v>
      </c>
    </row>
    <row r="28" spans="1:5">
      <c r="A28" s="580" t="str">
        <f t="shared" si="0"/>
        <v>*</v>
      </c>
      <c r="B28" s="583" t="s">
        <v>1020</v>
      </c>
      <c r="C28" s="581"/>
      <c r="D28" s="582" t="s">
        <v>49</v>
      </c>
      <c r="E28" s="584">
        <f>SUMIF(RES!$D$39:$D$300,C28,RES!$N$39:$N$300)</f>
        <v>0</v>
      </c>
    </row>
    <row r="29" spans="1:5">
      <c r="A29" s="580" t="str">
        <f t="shared" si="0"/>
        <v>*</v>
      </c>
      <c r="B29" s="583" t="s">
        <v>1020</v>
      </c>
      <c r="C29" s="581"/>
      <c r="D29" s="582" t="s">
        <v>49</v>
      </c>
      <c r="E29" s="584">
        <f>SUMIF(RES!$D$39:$D$300,C29,RES!$N$39:$N$300)</f>
        <v>0</v>
      </c>
    </row>
    <row r="30" spans="1:5">
      <c r="A30" s="580" t="str">
        <f t="shared" si="0"/>
        <v/>
      </c>
      <c r="B30" s="583" t="s">
        <v>1020</v>
      </c>
      <c r="C30" s="581" t="str">
        <f>ITEMS_Comm!B22</f>
        <v>RHEL</v>
      </c>
      <c r="D30" s="582" t="s">
        <v>49</v>
      </c>
      <c r="E30" s="584">
        <f>SUMIF(Lighting!$E$25:$E$35,C30,Lighting!$P$25:$P$35)</f>
        <v>18.753897980536514</v>
      </c>
    </row>
    <row r="31" spans="1:5">
      <c r="A31" s="580" t="str">
        <f t="shared" si="0"/>
        <v/>
      </c>
      <c r="B31" s="583" t="s">
        <v>1020</v>
      </c>
      <c r="C31" s="581" t="str">
        <f>ITEMS_Comm!B23</f>
        <v>RHEK</v>
      </c>
      <c r="D31" s="582" t="s">
        <v>49</v>
      </c>
      <c r="E31" s="584">
        <f>SUMIF(RES!$D$39:$D$300,C31,RES!$N$39:$N$300)</f>
        <v>7.6194416260697446</v>
      </c>
    </row>
    <row r="32" spans="1:5">
      <c r="A32" s="580" t="str">
        <f t="shared" si="0"/>
        <v/>
      </c>
      <c r="B32" s="583" t="s">
        <v>1020</v>
      </c>
      <c r="C32" s="581" t="str">
        <f>ITEMS_Comm!B24</f>
        <v>RHEH</v>
      </c>
      <c r="D32" s="582" t="s">
        <v>49</v>
      </c>
      <c r="E32" s="584">
        <f>SUMIF(RES!$D$39:$D$300,C32,RES!$N$39:$N$300)</f>
        <v>5.1732793164602766</v>
      </c>
    </row>
    <row r="33" spans="1:8">
      <c r="A33" s="580" t="str">
        <f t="shared" si="0"/>
        <v/>
      </c>
      <c r="B33" s="583" t="s">
        <v>1020</v>
      </c>
      <c r="C33" s="581" t="str">
        <f>ITEMS_Comm!B25</f>
        <v>RHEW</v>
      </c>
      <c r="D33" s="582" t="s">
        <v>49</v>
      </c>
      <c r="E33" s="584">
        <f>SUMIF(RES!$D$39:$D$300,C33,RES!$N$39:$N$300)</f>
        <v>0</v>
      </c>
    </row>
    <row r="34" spans="1:8">
      <c r="A34" s="580" t="str">
        <f t="shared" si="0"/>
        <v/>
      </c>
      <c r="B34" s="583" t="s">
        <v>1020</v>
      </c>
      <c r="C34" s="581" t="str">
        <f>ITEMS_Comm!B26</f>
        <v>RHEWG</v>
      </c>
      <c r="D34" s="582" t="s">
        <v>49</v>
      </c>
      <c r="E34" s="584">
        <f>SUMIF(RES!$D$39:$D$300,C34,RES!$N$39:$N$300)</f>
        <v>45.414760497818975</v>
      </c>
    </row>
    <row r="35" spans="1:8">
      <c r="A35" s="580" t="str">
        <f t="shared" si="0"/>
        <v/>
      </c>
      <c r="B35" s="583" t="s">
        <v>1020</v>
      </c>
      <c r="C35" s="581" t="str">
        <f>ITEMS_Comm!B27</f>
        <v>RHER</v>
      </c>
      <c r="D35" s="582" t="s">
        <v>49</v>
      </c>
      <c r="E35" s="584">
        <f>SUMIF(RES!$D$39:$D$300,C35,RES!$N$39:$N$300)</f>
        <v>8.0408397122186752</v>
      </c>
    </row>
    <row r="36" spans="1:8">
      <c r="A36" s="580" t="str">
        <f t="shared" si="0"/>
        <v/>
      </c>
      <c r="B36" s="583" t="s">
        <v>1020</v>
      </c>
      <c r="C36" s="581" t="str">
        <f>ITEMS_Comm!B28</f>
        <v>RHEO</v>
      </c>
      <c r="D36" s="582" t="s">
        <v>49</v>
      </c>
      <c r="E36" s="584">
        <f>SUMIF(RES!$D$39:$D$300,C36,RES!$N$39:$N$300)</f>
        <v>14.275027367959954</v>
      </c>
    </row>
    <row r="37" spans="1:8">
      <c r="A37" s="580" t="str">
        <f t="shared" si="0"/>
        <v>*</v>
      </c>
      <c r="B37" s="583" t="s">
        <v>1020</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4375" defaultRowHeight="12.45"/>
  <cols>
    <col min="1" max="1" width="23.6914062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3828125" defaultRowHeight="12.45"/>
  <cols>
    <col min="1" max="1" width="14.3828125" customWidth="1"/>
  </cols>
  <sheetData>
    <row r="2" spans="1:4" ht="15.4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4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c r="A77" s="367" t="s">
        <v>749</v>
      </c>
    </row>
    <row r="79" spans="1:14">
      <c r="B79" t="s">
        <v>750</v>
      </c>
    </row>
    <row r="80" spans="1:14">
      <c r="I80" s="369" t="s">
        <v>49</v>
      </c>
    </row>
    <row r="81" spans="1:9">
      <c r="B81" s="632" t="s">
        <v>751</v>
      </c>
      <c r="C81" s="632"/>
      <c r="D81" s="632"/>
      <c r="E81" s="632"/>
      <c r="F81" s="632"/>
      <c r="G81" s="632"/>
      <c r="H81" s="368">
        <v>0.115</v>
      </c>
      <c r="I81" s="111">
        <f>H81*$D$16</f>
        <v>46.575000000000003</v>
      </c>
    </row>
    <row r="82" spans="1:9">
      <c r="B82" s="632" t="s">
        <v>752</v>
      </c>
      <c r="C82" s="632"/>
      <c r="D82" s="632"/>
      <c r="E82" s="632"/>
      <c r="F82" s="632"/>
      <c r="G82" s="632"/>
      <c r="H82" s="368">
        <v>4.5999999999999999E-2</v>
      </c>
      <c r="I82" s="111">
        <f t="shared" ref="I82:I85" si="0">H82*$D$16</f>
        <v>18.63</v>
      </c>
    </row>
    <row r="83" spans="1:9">
      <c r="B83" s="632" t="s">
        <v>753</v>
      </c>
      <c r="C83" s="632"/>
      <c r="D83" s="632"/>
      <c r="E83" s="632"/>
      <c r="F83" s="632"/>
      <c r="G83" s="632"/>
      <c r="H83" s="368">
        <v>0.03</v>
      </c>
      <c r="I83" s="111">
        <f t="shared" si="0"/>
        <v>12.15</v>
      </c>
    </row>
    <row r="84" spans="1:9">
      <c r="B84" s="632" t="s">
        <v>754</v>
      </c>
      <c r="C84" s="632"/>
      <c r="D84" s="632"/>
      <c r="E84" s="632"/>
      <c r="F84" s="632"/>
      <c r="G84" s="632"/>
      <c r="H84" s="368">
        <v>0.1</v>
      </c>
      <c r="I84" s="111">
        <f t="shared" si="0"/>
        <v>40.5</v>
      </c>
    </row>
    <row r="85" spans="1:9">
      <c r="B85" s="632" t="s">
        <v>755</v>
      </c>
      <c r="C85" s="632"/>
      <c r="D85" s="632"/>
      <c r="E85" s="632"/>
      <c r="F85" s="632"/>
      <c r="G85" s="632"/>
      <c r="H85" s="368">
        <v>0.04</v>
      </c>
      <c r="I85" s="111">
        <f t="shared" si="0"/>
        <v>16.2</v>
      </c>
    </row>
    <row r="87" spans="1:9">
      <c r="B87" s="5" t="s">
        <v>756</v>
      </c>
      <c r="C87" s="5"/>
      <c r="D87" s="24">
        <f>SUM(H81:H85)*D16</f>
        <v>134.05500000000001</v>
      </c>
      <c r="E87" s="5" t="s">
        <v>49</v>
      </c>
    </row>
    <row r="89" spans="1:9">
      <c r="E89" s="14"/>
    </row>
    <row r="90" spans="1:9">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Alison Hughes</cp:lastModifiedBy>
  <dcterms:created xsi:type="dcterms:W3CDTF">2011-08-29T12:07:49Z</dcterms:created>
  <dcterms:modified xsi:type="dcterms:W3CDTF">2023-09-21T03:25:54Z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