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Models\SATIMGE_Veda\SubRes_TMPL\"/>
    </mc:Choice>
  </mc:AlternateContent>
  <xr:revisionPtr revIDLastSave="0" documentId="13_ncr:1_{CE2FBB90-0538-4385-87A1-20E59908697D}" xr6:coauthVersionLast="47" xr6:coauthVersionMax="47" xr10:uidLastSave="{00000000-0000-0000-0000-000000000000}"/>
  <bookViews>
    <workbookView xWindow="9135" yWindow="3780" windowWidth="16440" windowHeight="11055" xr2:uid="{00000000-000D-0000-FFFF-FFFF00000000}"/>
    <workbookView xWindow="9480" yWindow="4125" windowWidth="16440" windowHeight="11055" xr2:uid="{DC2DED06-3C4E-4822-B6CB-2383E5736C95}"/>
  </bookViews>
  <sheets>
    <sheet name="Aviation Synfuel" sheetId="5" r:id="rId1"/>
  </sheets>
  <definedNames>
    <definedName name="__FDS_HYPERLINK_TOGGLE_STATE__" hidden="1">"ON"</definedName>
    <definedName name="_AMO_RefreshMultipleList" hidden="1">"'296899469 426988102 362274166 589584065 285770244'"</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l_Workbook_GUID" hidden="1">"E2D7SR7Q3BDXUD24G1M1SK63"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XLSIMSIM" hidden="1">{"Sim",3,"Output 1","'Reworked data'!$AI$84","Output 2","'Reworked data'!$AJ$84","Output 3","'Reworked data'!$AK$84","1","2","100","0"}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1" i="5" l="1"/>
  <c r="G81" i="5"/>
  <c r="E81" i="5"/>
  <c r="D81" i="5"/>
  <c r="I70" i="5"/>
  <c r="B81" i="5"/>
  <c r="B76" i="5"/>
  <c r="D29" i="5" l="1"/>
  <c r="C29" i="5"/>
  <c r="D49" i="5" l="1"/>
  <c r="D48" i="5"/>
  <c r="C49" i="5"/>
  <c r="B48" i="5"/>
  <c r="B49" i="5" s="1"/>
  <c r="B56" i="5" l="1"/>
  <c r="B57" i="5" s="1"/>
  <c r="C134" i="5"/>
  <c r="C123" i="5"/>
  <c r="H42" i="5" l="1"/>
  <c r="I92" i="5"/>
  <c r="J92" i="5" s="1"/>
  <c r="I93" i="5"/>
  <c r="J93" i="5" s="1"/>
  <c r="B95" i="5"/>
  <c r="G95" i="5"/>
  <c r="B96" i="5"/>
  <c r="G96" i="5"/>
  <c r="D99" i="5"/>
  <c r="I103" i="5"/>
  <c r="J103" i="5" s="1"/>
  <c r="J104" i="5" s="1"/>
  <c r="C116" i="5"/>
  <c r="D116" i="5"/>
  <c r="C144" i="5"/>
  <c r="C145" i="5" s="1"/>
  <c r="D123" i="5"/>
  <c r="D134" i="5"/>
  <c r="A139" i="5"/>
  <c r="A140" i="5" s="1"/>
  <c r="C151" i="5"/>
  <c r="C136" i="5" s="1"/>
  <c r="C155" i="5"/>
  <c r="C163" i="5" s="1"/>
  <c r="B165" i="5"/>
  <c r="B173" i="5"/>
  <c r="A174" i="5"/>
  <c r="D174" i="5"/>
  <c r="D182" i="5" s="1"/>
  <c r="D183" i="5" s="1"/>
  <c r="D184" i="5"/>
  <c r="E184" i="5"/>
  <c r="F184" i="5"/>
  <c r="C196" i="5"/>
  <c r="C197" i="5"/>
  <c r="C198" i="5"/>
  <c r="C199" i="5"/>
  <c r="V199" i="5"/>
  <c r="C135" i="5" s="1"/>
  <c r="R206" i="5"/>
  <c r="R207" i="5"/>
  <c r="R208" i="5"/>
  <c r="R209" i="5"/>
  <c r="R210" i="5"/>
  <c r="R211" i="5"/>
  <c r="R212" i="5"/>
  <c r="R213" i="5"/>
  <c r="R214" i="5"/>
  <c r="R215" i="5"/>
  <c r="R216" i="5"/>
  <c r="R217" i="5"/>
  <c r="O218" i="5"/>
  <c r="A175" i="5" l="1"/>
  <c r="D175" i="5" s="1"/>
  <c r="D176" i="5" s="1"/>
  <c r="D177" i="5" s="1"/>
  <c r="D180" i="5" s="1"/>
  <c r="E180" i="5" s="1"/>
  <c r="F180" i="5" s="1"/>
  <c r="F182" i="5" s="1"/>
  <c r="F183" i="5" s="1"/>
  <c r="F186" i="5" s="1"/>
  <c r="F187" i="5" s="1"/>
  <c r="G56" i="5" s="1"/>
  <c r="C147" i="5"/>
  <c r="C195" i="5"/>
  <c r="C161" i="5"/>
  <c r="C160" i="5"/>
  <c r="C148" i="5"/>
  <c r="D186" i="5"/>
  <c r="D187" i="5" s="1"/>
  <c r="C146" i="5"/>
  <c r="D92" i="5"/>
  <c r="K39" i="5" s="1"/>
  <c r="D93" i="5"/>
  <c r="K40" i="5" s="1"/>
  <c r="I91" i="5"/>
  <c r="D100" i="5" s="1"/>
  <c r="D56" i="5" l="1"/>
  <c r="D57" i="5" s="1"/>
  <c r="G57" i="5"/>
  <c r="H56" i="5"/>
  <c r="E182" i="5"/>
  <c r="E183" i="5" s="1"/>
  <c r="E186" i="5" s="1"/>
  <c r="E187" i="5" s="1"/>
  <c r="E56" i="5" s="1"/>
  <c r="K38" i="5"/>
  <c r="I96" i="5"/>
  <c r="F49" i="5" s="1"/>
  <c r="I95" i="5"/>
  <c r="D91" i="5"/>
  <c r="D95" i="5" s="1"/>
  <c r="I49" i="5" l="1"/>
  <c r="J49" i="5" s="1"/>
  <c r="G49" i="5"/>
  <c r="F48" i="5"/>
  <c r="I56" i="5"/>
  <c r="J56" i="5" s="1"/>
  <c r="E57" i="5"/>
  <c r="F56" i="5"/>
  <c r="C89" i="5"/>
  <c r="F95" i="5"/>
  <c r="F96" i="5"/>
  <c r="H89" i="5"/>
  <c r="H57" i="5"/>
  <c r="I57" i="5" s="1"/>
  <c r="J57" i="5" s="1"/>
  <c r="D96" i="5"/>
  <c r="I48" i="5" l="1"/>
  <c r="J48" i="5" s="1"/>
  <c r="G48" i="5"/>
  <c r="F5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tc={A8F79838-48CF-44EE-B774-5E70D78A5339}</author>
    <author>Maurizio Gargiulo</author>
    <author>Fadiel</author>
  </authors>
  <commentList>
    <comment ref="E20" authorId="0" shapeId="0" xr:uid="{A8F79838-48CF-44EE-B774-5E70D78A5339}">
      <text>
        <t>[Threaded comment]
Your version of Excel allows you to read this threaded comment; however, any edits to it will get removed if the file is opened in a newer version of Excel. Learn more: https://go.microsoft.com/fwlink/?linkid=870924
Comment:
    Modelled as Energy for now - as not sure whether efficiency equations apply to ENV/GHG commodities</t>
      </text>
    </comment>
    <comment ref="G27" authorId="1" shapeId="0" xr:uid="{00000000-0006-0000-0000-000009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7" authorId="1" shapeId="0" xr:uid="{00000000-0006-0000-0000-00000A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8" authorId="1" shapeId="0" xr:uid="{00000000-0006-0000-0000-00000B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L42" authorId="2" shapeId="0" xr:uid="{80838D66-21FC-45A4-9951-B0C4B98038AB}">
      <text>
        <r>
          <rPr>
            <b/>
            <sz val="9"/>
            <color indexed="81"/>
            <rFont val="Tahoma"/>
            <family val="2"/>
          </rPr>
          <t>Fadiel:</t>
        </r>
        <r>
          <rPr>
            <sz val="9"/>
            <color indexed="81"/>
            <rFont val="Tahoma"/>
            <family val="2"/>
          </rPr>
          <t xml:space="preserve">
From SATIM for new GTL
</t>
        </r>
      </text>
    </comment>
    <comment ref="L57" authorId="2" shapeId="0" xr:uid="{D4E6FC7A-9075-4E77-8A72-7C3972957340}">
      <text>
        <r>
          <rPr>
            <b/>
            <sz val="9"/>
            <color indexed="81"/>
            <rFont val="Tahoma"/>
            <family val="2"/>
          </rPr>
          <t>Fadiel:</t>
        </r>
        <r>
          <rPr>
            <sz val="9"/>
            <color indexed="81"/>
            <rFont val="Tahoma"/>
            <family val="2"/>
          </rPr>
          <t xml:space="preserve">
Marchese (2021); Campanario (2017)   ~4%</t>
        </r>
      </text>
    </comment>
    <comment ref="C110" authorId="2" shapeId="0" xr:uid="{3F8C1830-1BA5-4F7C-8D05-1CDFD10B87AA}">
      <text>
        <r>
          <rPr>
            <b/>
            <sz val="9"/>
            <color indexed="81"/>
            <rFont val="Tahoma"/>
            <family val="2"/>
          </rPr>
          <t xml:space="preserve">Fadiel:CASE 4
</t>
        </r>
        <r>
          <rPr>
            <sz val="9"/>
            <color indexed="81"/>
            <rFont val="Tahoma"/>
            <family val="2"/>
          </rPr>
          <t>Seems a better fit for current  SATIM setup
with no DAC and Gas recisrulated to RWGS</t>
        </r>
      </text>
    </comment>
    <comment ref="A121" authorId="2" shapeId="0" xr:uid="{77376628-426B-43E7-A7CC-FA2A2B3F8D4B}">
      <text>
        <r>
          <rPr>
            <b/>
            <sz val="9"/>
            <color indexed="81"/>
            <rFont val="Tahoma"/>
            <family val="2"/>
          </rPr>
          <t>Fadiel:</t>
        </r>
        <r>
          <rPr>
            <sz val="9"/>
            <color indexed="81"/>
            <rFont val="Tahoma"/>
            <family val="2"/>
          </rPr>
          <t xml:space="preserve">
JetFuel</t>
        </r>
      </text>
    </comment>
    <comment ref="A123" authorId="2" shapeId="0" xr:uid="{73C728B6-F449-4589-959D-5464C6DADFF2}">
      <text>
        <r>
          <rPr>
            <b/>
            <sz val="9"/>
            <color indexed="81"/>
            <rFont val="Tahoma"/>
            <family val="2"/>
          </rPr>
          <t>Fadiel:</t>
        </r>
        <r>
          <rPr>
            <sz val="9"/>
            <color indexed="81"/>
            <rFont val="Tahoma"/>
            <family val="2"/>
          </rPr>
          <t xml:space="preserve">
No DAC</t>
        </r>
      </text>
    </comment>
    <comment ref="A130" authorId="2" shapeId="0" xr:uid="{81FF0514-D35E-4462-863A-9469730E364D}">
      <text>
        <r>
          <rPr>
            <b/>
            <sz val="9"/>
            <color indexed="81"/>
            <rFont val="Tahoma"/>
            <family val="2"/>
          </rPr>
          <t>Fadiel:</t>
        </r>
        <r>
          <rPr>
            <sz val="9"/>
            <color indexed="81"/>
            <rFont val="Tahoma"/>
            <family val="2"/>
          </rPr>
          <t xml:space="preserve">
JetFuel</t>
        </r>
      </text>
    </comment>
    <comment ref="B130" authorId="2" shapeId="0" xr:uid="{EF9485C9-826B-4046-B6EB-555B5AAEC60B}">
      <text>
        <r>
          <rPr>
            <b/>
            <sz val="9"/>
            <color indexed="81"/>
            <rFont val="Tahoma"/>
            <family val="2"/>
          </rPr>
          <t>Fadiel:</t>
        </r>
        <r>
          <rPr>
            <sz val="9"/>
            <color indexed="81"/>
            <rFont val="Tahoma"/>
            <family val="2"/>
          </rPr>
          <t xml:space="preserve">
JetFuel</t>
        </r>
      </text>
    </comment>
    <comment ref="C130" authorId="2" shapeId="0" xr:uid="{B91FD728-1BFA-4A35-9E5F-D9FF792699A3}">
      <text>
        <r>
          <rPr>
            <b/>
            <sz val="9"/>
            <color indexed="81"/>
            <rFont val="Tahoma"/>
            <family val="2"/>
          </rPr>
          <t>Fadiel:</t>
        </r>
        <r>
          <rPr>
            <sz val="9"/>
            <color indexed="81"/>
            <rFont val="Tahoma"/>
            <family val="2"/>
          </rPr>
          <t xml:space="preserve">
https://sites.google.com/site/fractionaldistallation/carbon-chains-lengths</t>
        </r>
      </text>
    </comment>
    <comment ref="A153" authorId="2" shapeId="0" xr:uid="{351DC354-0ADB-4336-B9FE-A980AA839529}">
      <text>
        <r>
          <rPr>
            <b/>
            <sz val="9"/>
            <color indexed="81"/>
            <rFont val="Tahoma"/>
            <family val="2"/>
          </rPr>
          <t>Fadiel:</t>
        </r>
        <r>
          <rPr>
            <sz val="9"/>
            <color indexed="81"/>
            <rFont val="Tahoma"/>
            <family val="2"/>
          </rPr>
          <t xml:space="preserve">
JetFuel</t>
        </r>
      </text>
    </comment>
    <comment ref="A161" authorId="2" shapeId="0" xr:uid="{C8476D86-8EF6-4F85-992F-D01594F23919}">
      <text>
        <r>
          <rPr>
            <b/>
            <sz val="9"/>
            <color indexed="81"/>
            <rFont val="Tahoma"/>
            <family val="2"/>
          </rPr>
          <t>Fadiel:</t>
        </r>
        <r>
          <rPr>
            <sz val="9"/>
            <color indexed="81"/>
            <rFont val="Tahoma"/>
            <family val="2"/>
          </rPr>
          <t xml:space="preserve">
JetFuel</t>
        </r>
      </text>
    </comment>
    <comment ref="D173" authorId="2" shapeId="0" xr:uid="{ECFD87FA-B514-498A-A090-83A43396BF65}">
      <text>
        <r>
          <rPr>
            <b/>
            <sz val="9"/>
            <color indexed="81"/>
            <rFont val="Tahoma"/>
            <family val="2"/>
          </rPr>
          <t>Fadiel:</t>
        </r>
        <r>
          <rPr>
            <sz val="9"/>
            <color indexed="81"/>
            <rFont val="Tahoma"/>
            <family val="2"/>
          </rPr>
          <t xml:space="preserve">
Chem Eng Eco (1989)</t>
        </r>
      </text>
    </comment>
    <comment ref="T200" authorId="2" shapeId="0" xr:uid="{F389B0D0-0E53-47E1-90EF-3657D346F209}">
      <text>
        <r>
          <rPr>
            <b/>
            <sz val="9"/>
            <color indexed="81"/>
            <rFont val="Tahoma"/>
            <family val="2"/>
          </rPr>
          <t>Fadiel:</t>
        </r>
        <r>
          <rPr>
            <sz val="9"/>
            <color indexed="81"/>
            <rFont val="Tahoma"/>
            <family val="2"/>
          </rPr>
          <t xml:space="preserve">
Hydrogen, Fuel Cells and Fuel Cell Vehicles
Dell &amp; Rand (2014)</t>
        </r>
      </text>
    </comment>
    <comment ref="T201" authorId="2" shapeId="0" xr:uid="{D91AE749-48B8-46CD-A6D7-8CA3D067FC63}">
      <text>
        <r>
          <rPr>
            <b/>
            <sz val="9"/>
            <color indexed="81"/>
            <rFont val="Tahoma"/>
            <family val="2"/>
          </rPr>
          <t>Fadiel:</t>
        </r>
        <r>
          <rPr>
            <sz val="9"/>
            <color indexed="81"/>
            <rFont val="Tahoma"/>
            <family val="2"/>
          </rPr>
          <t xml:space="preserve">
Hydrogen, Fuel Cells and Fuel Cell Vehicles
Dell &amp; Rand (2014)</t>
        </r>
      </text>
    </comment>
  </commentList>
</comments>
</file>

<file path=xl/sharedStrings.xml><?xml version="1.0" encoding="utf-8"?>
<sst xmlns="http://schemas.openxmlformats.org/spreadsheetml/2006/main" count="309" uniqueCount="208">
  <si>
    <t>~FI_T</t>
  </si>
  <si>
    <t>TechName</t>
  </si>
  <si>
    <t>TechDesc</t>
  </si>
  <si>
    <t>Comm-IN</t>
  </si>
  <si>
    <t>Comm-OUT</t>
  </si>
  <si>
    <t>Life</t>
  </si>
  <si>
    <t>FIXOM</t>
  </si>
  <si>
    <t>CommName</t>
  </si>
  <si>
    <t>Csets</t>
  </si>
  <si>
    <t>CommDesc</t>
  </si>
  <si>
    <t>CTSLvl</t>
  </si>
  <si>
    <t>START</t>
  </si>
  <si>
    <t>Sets</t>
  </si>
  <si>
    <t>EFF</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</si>
  <si>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</si>
  <si>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</si>
  <si>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</si>
  <si>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</si>
  <si>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</si>
  <si>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</si>
  <si>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</si>
  <si>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</si>
  <si>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</si>
  <si>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</si>
  <si>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</si>
  <si>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</si>
  <si>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</si>
  <si>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</si>
  <si>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</si>
  <si>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Input Commodity</t>
  </si>
  <si>
    <t>Output Commodity</t>
  </si>
  <si>
    <t>CAP2ACT</t>
  </si>
  <si>
    <t>Annual Availability Factor</t>
  </si>
  <si>
    <t>Lifetime of Process</t>
  </si>
  <si>
    <t>Capacity to Activity Factor</t>
  </si>
  <si>
    <t>Starting Year</t>
  </si>
  <si>
    <t>INVCOST</t>
  </si>
  <si>
    <t>Ronald M. Dell, ... David A.J. Rand, 2014, Hydrogen, Fuel Cells and Fuel Cell Vehicles in Towards Sustainable Road Transport</t>
  </si>
  <si>
    <t>Campanario et al (2017) Techno-economic assessment of bio-oil aqueous phase-to-liquids via Fischer-Tropsch synthesis and based on supercritical water reforming</t>
  </si>
  <si>
    <t>Marchese et al 2021 CO2 from direct air capture as carbon feedstock for Fischer-Tropsch chemicals and fuels: Energy and economic analysis</t>
  </si>
  <si>
    <t>1989_Bookmatter_ChemicalEngineeringEconomics</t>
  </si>
  <si>
    <t>References:</t>
  </si>
  <si>
    <t>(3) An average for motor gasolines with RON between 91 and 95.</t>
  </si>
  <si>
    <t>(2) Assumes a mixture of 70% propane and 30% butane by mass.</t>
  </si>
  <si>
    <t>(1) For naphtha and heavier oils, the net calorific value is assumed to be 95% of gross.</t>
  </si>
  <si>
    <t>E85</t>
  </si>
  <si>
    <t>Ethanol</t>
  </si>
  <si>
    <r>
      <rPr>
        <i/>
        <sz val="11"/>
        <color rgb="FF212126"/>
        <rFont val="Calibri"/>
        <family val="2"/>
        <scheme val="minor"/>
      </rPr>
      <t>Fuel oil, high-sulphur</t>
    </r>
  </si>
  <si>
    <r>
      <rPr>
        <i/>
        <sz val="11"/>
        <color rgb="FF212126"/>
        <rFont val="Calibri"/>
        <family val="2"/>
        <scheme val="minor"/>
      </rPr>
      <t>Fuel oil, low-sulphur</t>
    </r>
  </si>
  <si>
    <r>
      <rPr>
        <i/>
        <sz val="11"/>
        <color rgb="FF212126"/>
        <rFont val="Calibri"/>
        <family val="2"/>
        <scheme val="minor"/>
      </rPr>
      <t>Gas/diesel oil</t>
    </r>
  </si>
  <si>
    <r>
      <rPr>
        <i/>
        <sz val="11"/>
        <color rgb="FF212126"/>
        <rFont val="Calibri"/>
        <family val="2"/>
        <scheme val="minor"/>
      </rPr>
      <t>Other kerosene</t>
    </r>
  </si>
  <si>
    <r>
      <rPr>
        <i/>
        <sz val="11"/>
        <color rgb="FF212126"/>
        <rFont val="Calibri"/>
        <family val="2"/>
        <scheme val="minor"/>
      </rPr>
      <t>Motor gasoline(3)</t>
    </r>
  </si>
  <si>
    <r>
      <rPr>
        <i/>
        <sz val="11"/>
        <color rgb="FF212126"/>
        <rFont val="Calibri"/>
        <family val="2"/>
        <scheme val="minor"/>
      </rPr>
      <t>Aviation turbine fuel</t>
    </r>
  </si>
  <si>
    <r>
      <rPr>
        <i/>
        <sz val="11"/>
        <color rgb="FF212126"/>
        <rFont val="Calibri"/>
        <family val="2"/>
        <scheme val="minor"/>
      </rPr>
      <t>Aviation gasoline</t>
    </r>
  </si>
  <si>
    <r>
      <rPr>
        <i/>
        <sz val="11"/>
        <color rgb="FF212126"/>
        <rFont val="Calibri"/>
        <family val="2"/>
        <scheme val="minor"/>
      </rPr>
      <t>Naphtha</t>
    </r>
  </si>
  <si>
    <r>
      <rPr>
        <i/>
        <sz val="11"/>
        <color rgb="FF212126"/>
        <rFont val="Calibri"/>
        <family val="2"/>
        <scheme val="minor"/>
      </rPr>
      <t>LPG(2)</t>
    </r>
  </si>
  <si>
    <r>
      <rPr>
        <i/>
        <sz val="11"/>
        <color rgb="FF212126"/>
        <rFont val="Calibri"/>
        <family val="2"/>
        <scheme val="minor"/>
      </rPr>
      <t>Butane</t>
    </r>
  </si>
  <si>
    <r>
      <rPr>
        <i/>
        <sz val="11"/>
        <color rgb="FF212126"/>
        <rFont val="Calibri"/>
        <family val="2"/>
        <scheme val="minor"/>
      </rPr>
      <t>Propane</t>
    </r>
  </si>
  <si>
    <r>
      <rPr>
        <i/>
        <sz val="11"/>
        <color rgb="FF212126"/>
        <rFont val="Calibri"/>
        <family val="2"/>
        <scheme val="minor"/>
      </rPr>
      <t>Ethane</t>
    </r>
  </si>
  <si>
    <t>Net calorific value
(MJ/litre)(1)</t>
  </si>
  <si>
    <r>
      <rPr>
        <i/>
        <sz val="11"/>
        <color rgb="FF212126"/>
        <rFont val="Calibri"/>
        <family val="2"/>
        <scheme val="minor"/>
      </rPr>
      <t>Net calorific value
(GJ/t)(1)</t>
    </r>
  </si>
  <si>
    <r>
      <rPr>
        <i/>
        <sz val="11"/>
        <color rgb="FF212126"/>
        <rFont val="Calibri"/>
        <family val="2"/>
        <scheme val="minor"/>
      </rPr>
      <t>Gross calorific value (GJ/t)</t>
    </r>
  </si>
  <si>
    <r>
      <rPr>
        <i/>
        <sz val="11"/>
        <color rgb="FF212126"/>
        <rFont val="Calibri"/>
        <family val="2"/>
        <scheme val="minor"/>
      </rPr>
      <t>Litres per tonne</t>
    </r>
  </si>
  <si>
    <r>
      <rPr>
        <i/>
        <sz val="11"/>
        <color rgb="FF212126"/>
        <rFont val="Calibri"/>
        <family val="2"/>
        <scheme val="minor"/>
      </rPr>
      <t>Density kg/m3</t>
    </r>
  </si>
  <si>
    <r>
      <rPr>
        <i/>
        <sz val="11"/>
        <color rgb="FF212126"/>
        <rFont val="Calibri"/>
        <family val="2"/>
        <scheme val="minor"/>
      </rPr>
      <t>Product</t>
    </r>
  </si>
  <si>
    <t>IEA Stats Manual Table A3.8 Typical Calorific Values for Selected Petroleum Products</t>
  </si>
  <si>
    <t>MJ/kg</t>
  </si>
  <si>
    <t>H2 LHV: high temp processes</t>
  </si>
  <si>
    <t>H2 HHV: low temp processess</t>
  </si>
  <si>
    <t>H2 Calorific Value</t>
  </si>
  <si>
    <t>M$</t>
  </si>
  <si>
    <t>MEUR</t>
  </si>
  <si>
    <t>M.EUR</t>
  </si>
  <si>
    <t>ZAR2015</t>
  </si>
  <si>
    <t>mR/PJ</t>
  </si>
  <si>
    <t>INVcost 2019 USD/kW</t>
  </si>
  <si>
    <t>average</t>
  </si>
  <si>
    <t>INVcost 2017 USD/kW</t>
  </si>
  <si>
    <t>IEA (2019) -annex</t>
  </si>
  <si>
    <t>Marchese (2021)</t>
  </si>
  <si>
    <t>INVcost 2019 EUR/kW</t>
  </si>
  <si>
    <t>per annum</t>
  </si>
  <si>
    <t>learning rate:</t>
  </si>
  <si>
    <t>ZAR2020</t>
  </si>
  <si>
    <t>mEUR/PJ</t>
  </si>
  <si>
    <t>J</t>
  </si>
  <si>
    <t>EUR/kW</t>
  </si>
  <si>
    <t>installed cost = purchase price x installation factor</t>
  </si>
  <si>
    <t>CAPACT</t>
  </si>
  <si>
    <t>https://www1.oanda.com/currency/converter/</t>
  </si>
  <si>
    <t>USD2019-&gt;ZAR2019</t>
  </si>
  <si>
    <t>EUR2019-&gt;USD2019</t>
  </si>
  <si>
    <t>https://www.inflationtool.com/us-dollar?amount=1&amp;year1=2017&amp;year2=2019</t>
  </si>
  <si>
    <t>USD2017-&gt;USD2019 IEA(2019)</t>
  </si>
  <si>
    <t>USD-&gt;EUR</t>
  </si>
  <si>
    <t>EUR2019-&gt;ZAR2019</t>
  </si>
  <si>
    <t>https://inflationcalc.co.za/</t>
  </si>
  <si>
    <t>ZAR 2020-&gt;2015</t>
  </si>
  <si>
    <t xml:space="preserve">(C20+) </t>
  </si>
  <si>
    <t>Other Product</t>
  </si>
  <si>
    <t xml:space="preserve">(C11-C20) </t>
  </si>
  <si>
    <t>(C5-C11)</t>
  </si>
  <si>
    <t>Aviation Fuel Product</t>
  </si>
  <si>
    <t>share:</t>
  </si>
  <si>
    <t>t</t>
  </si>
  <si>
    <t>Total</t>
  </si>
  <si>
    <t>output:</t>
  </si>
  <si>
    <t>kt/t</t>
  </si>
  <si>
    <t>CO2</t>
  </si>
  <si>
    <t>GJ/t</t>
  </si>
  <si>
    <t>Hydrogen</t>
  </si>
  <si>
    <t>Electricity</t>
  </si>
  <si>
    <t>GJ.hr</t>
  </si>
  <si>
    <t>MWh</t>
  </si>
  <si>
    <t>input:</t>
  </si>
  <si>
    <t>Net Efficiency Calc.</t>
  </si>
  <si>
    <t>PJ</t>
  </si>
  <si>
    <t>Jetfuel per annum @ 8000 hrs</t>
  </si>
  <si>
    <t>t.t</t>
  </si>
  <si>
    <t>H2</t>
  </si>
  <si>
    <t>t.hr</t>
  </si>
  <si>
    <t>kg/kg</t>
  </si>
  <si>
    <t>H2O-&gt; H2</t>
  </si>
  <si>
    <t>Other</t>
  </si>
  <si>
    <t>jetfuel C chain length C12-18</t>
  </si>
  <si>
    <t>Suitable for Jet fuel</t>
  </si>
  <si>
    <t>Suitable for Aviation gasoline</t>
  </si>
  <si>
    <t>FT compression</t>
  </si>
  <si>
    <t>Auxiliaries</t>
  </si>
  <si>
    <t>MW</t>
  </si>
  <si>
    <t>Liquid/Wax fraction</t>
  </si>
  <si>
    <t>Gas Fraction Recirculated</t>
  </si>
  <si>
    <t>Gas to Burner</t>
  </si>
  <si>
    <t>t/hr</t>
  </si>
  <si>
    <t>FT Products</t>
  </si>
  <si>
    <t>Absorber Solvent</t>
  </si>
  <si>
    <t>CO2-&gt; RWGS</t>
  </si>
  <si>
    <t>O2 electrolysis</t>
  </si>
  <si>
    <t>Condensed H2O</t>
  </si>
  <si>
    <t>H2O electrolysis</t>
  </si>
  <si>
    <t>CASE 5 (no CC and No Ngas)</t>
  </si>
  <si>
    <t>CASE 4 (No NGAS)</t>
  </si>
  <si>
    <t>Feedstock (t/hour)</t>
  </si>
  <si>
    <t>operation hours/year</t>
  </si>
  <si>
    <t>kt</t>
  </si>
  <si>
    <t>oth</t>
  </si>
  <si>
    <t>other product</t>
  </si>
  <si>
    <t>kt/PJ</t>
  </si>
  <si>
    <t>co2</t>
  </si>
  <si>
    <t>flo emmis</t>
  </si>
  <si>
    <t>%</t>
  </si>
  <si>
    <t>flo_shar</t>
  </si>
  <si>
    <t>GJ</t>
  </si>
  <si>
    <t>oke</t>
  </si>
  <si>
    <t>h2</t>
  </si>
  <si>
    <t>oag</t>
  </si>
  <si>
    <t>elc</t>
  </si>
  <si>
    <t>total</t>
  </si>
  <si>
    <t>annum</t>
  </si>
  <si>
    <t>hr</t>
  </si>
  <si>
    <t>output based:</t>
  </si>
  <si>
    <t>input based:</t>
  </si>
  <si>
    <t>flofunc</t>
  </si>
  <si>
    <t>NCAP_ILED</t>
  </si>
  <si>
    <t>UFTHGNCO2-N</t>
  </si>
  <si>
    <t>OKG</t>
  </si>
  <si>
    <t>OAG</t>
  </si>
  <si>
    <t>HGN</t>
  </si>
  <si>
    <t>UPSELC</t>
  </si>
  <si>
    <t>CO2CAPT</t>
  </si>
  <si>
    <t>PRC_ACTFLO</t>
  </si>
  <si>
    <t>CASE 4: exc. DAC</t>
  </si>
  <si>
    <t>CO2 from direct air capture as carbon feedstock for Fischer-Tropsch chemicals and fuels: Energy and economic analysis</t>
  </si>
  <si>
    <t>CO2 Captured</t>
  </si>
  <si>
    <t>ANNUAL</t>
  </si>
  <si>
    <t>OKE</t>
  </si>
  <si>
    <t>Synthetic Aviation Fuel from aircapture</t>
  </si>
  <si>
    <t>PRE</t>
  </si>
  <si>
    <t>~FI_Comm</t>
  </si>
  <si>
    <t>CommUnit</t>
  </si>
  <si>
    <t>* Sectoral commodities</t>
  </si>
  <si>
    <t>NRG</t>
  </si>
  <si>
    <t>XGOKE</t>
  </si>
  <si>
    <t>Green Kerosene to kerosene market</t>
  </si>
  <si>
    <t>AFA~LO</t>
  </si>
  <si>
    <t>AFA~UP</t>
  </si>
  <si>
    <t>attribute</t>
  </si>
  <si>
    <t>COSTS</t>
  </si>
  <si>
    <t>Parameters</t>
  </si>
  <si>
    <t>SHARE~LO</t>
  </si>
  <si>
    <t>Fuel output mix</t>
  </si>
  <si>
    <t>Commodity Definitions</t>
  </si>
  <si>
    <t xml:space="preserve">This probably should be revised. Not sure if this can be that flexible. </t>
  </si>
  <si>
    <t>Exports of green jet fuel</t>
  </si>
  <si>
    <t/>
  </si>
  <si>
    <t>Using deflator to adjust to 2022 Rands</t>
  </si>
  <si>
    <t>ZAR 2019-&gt;2022</t>
  </si>
  <si>
    <t>Process Definitions</t>
  </si>
  <si>
    <t>Green  fuel to local market</t>
  </si>
  <si>
    <t>Literature and calculations for this technology</t>
  </si>
  <si>
    <t>Green Jet Kerosene</t>
  </si>
  <si>
    <t>PJa</t>
  </si>
  <si>
    <t>EXP</t>
  </si>
  <si>
    <t>PEXGOKE</t>
  </si>
  <si>
    <t>ACTCOST</t>
  </si>
  <si>
    <t>Jet fuel import price R/GJ</t>
  </si>
  <si>
    <t xml:space="preserve">Premium on "green" jet fuel </t>
  </si>
  <si>
    <t xml:space="preserve">Copied pasted the import jet fuel IMPOKE from SUP on 28Sept2023.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</si>
</sst>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00"/>
    <numFmt numFmtId="165" formatCode="###0.000;###0.000"/>
    <numFmt numFmtId="166" formatCode="###0.0;###0.0"/>
    <numFmt numFmtId="167" formatCode="###0;###0"/>
    <numFmt numFmtId="168" formatCode="_(* #,##0_);_(* \(#,##0\);_(* &quot;-&quot;??_);_(@_)"/>
    <numFmt numFmtId="169" formatCode="_(* #,##0.00_);_(* \(#,##0.00\);_(* &quot;-&quot;??_);_(@_)"/>
    <numFmt numFmtId="170" formatCode="_-* #,##0_-;\-* #,##0_-;_-* &quot;-&quot;??_-;_-@_-"/>
    <numFmt numFmtId="171" formatCode="0.0%"/>
    <numFmt numFmtId="172" formatCode="0.0000"/>
    <numFmt numFmtId="173" formatCode="0.00000"/>
    <numFmt numFmtId="174" formatCode="0.000"/>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1"/>
      <color theme="1"/>
      <name val="Calibri"/>
      <family val="2"/>
      <scheme val="minor"/>
    </font>
    <font>
      <sz val="11"/>
      <color rgb="FF000000"/>
      <name val="Calibri"/>
      <family val="2"/>
      <scheme val="minor"/>
    </font>
    <font>
      <sz val="10"/>
      <color rgb="FF000000"/>
      <name val="Times New Roman"/>
      <family val="1"/>
    </font>
    <font>
      <sz val="11"/>
      <color rgb="FF212126"/>
      <name val="Calibri"/>
      <family val="2"/>
      <scheme val="minor"/>
    </font>
    <font>
      <i/>
      <sz val="11"/>
      <color rgb="FF212126"/>
      <name val="Calibri"/>
      <family val="2"/>
      <scheme val="minor"/>
    </font>
    <font>
      <u/>
      <sz val="10"/>
      <color indexed="12"/>
      <name val="Arial"/>
      <family val="2"/>
    </font>
    <font>
      <sz val="11"/>
      <color theme="9" tint="-0.249977111117893"/>
      <name val="Calibri"/>
      <family val="2"/>
      <scheme val="minor"/>
    </font>
    <font>
      <sz val="16"/>
      <color theme="1"/>
      <name val="Calibri"/>
      <family val="2"/>
      <scheme val="minor"/>
    </font>
    <font>
      <b/>
      <sz val="9"/>
      <color indexed="81"/>
      <name val="Tahoma"/>
      <family val="2"/>
    </font>
    <font>
      <sz val="9"/>
      <color indexed="81"/>
      <name val="Tahoma"/>
      <family val="2"/>
    </font>
    <font>
      <sz val="8"/>
      <name val="Arial"/>
      <family val="2"/>
    </font>
    <font>
      <b/>
      <sz val="9"/>
      <color indexed="20"/>
      <name val="Arial"/>
      <family val="2"/>
    </font>
    <font>
      <sz val="10"/>
      <color rgb="FF800080"/>
      <name val="Arial"/>
      <family val="2"/>
    </font>
    <font>
      <sz val="8"/>
      <color rgb="FF800080"/>
      <name val="Arial"/>
      <family val="2"/>
    </font>
    <font>
      <b/>
      <sz val="18"/>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FFFF"/>
      </patternFill>
    </fill>
    <fill>
      <patternFill patternType="solid">
        <fgColor rgb="FFF0F2DF"/>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s>
  <cellStyleXfs count="11">
    <xf numFmtId="0" fontId="0" fillId="0" borderId="0"/>
    <xf numFmtId="0" fontId="8" fillId="0" borderId="0"/>
    <xf numFmtId="0" fontId="6" fillId="0" borderId="0"/>
    <xf numFmtId="0" fontId="5" fillId="0" borderId="0"/>
    <xf numFmtId="0" fontId="14" fillId="0" borderId="0"/>
    <xf numFmtId="169" fontId="5" fillId="0" borderId="0" applyFont="0" applyFill="0" applyBorder="0" applyAlignment="0" applyProtection="0"/>
    <xf numFmtId="43" fontId="5" fillId="0" borderId="0" applyFont="0" applyFill="0" applyBorder="0" applyAlignment="0" applyProtection="0"/>
    <xf numFmtId="0" fontId="17"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0" fontId="8" fillId="0" borderId="0"/>
  </cellStyleXfs>
  <cellXfs count="97">
    <xf numFmtId="0" fontId="0" fillId="0" borderId="0" xfId="0"/>
    <xf numFmtId="0" fontId="7" fillId="0" borderId="0" xfId="0" applyFont="1"/>
    <xf numFmtId="0" fontId="8" fillId="0" borderId="0" xfId="0" applyFont="1"/>
    <xf numFmtId="0" fontId="10" fillId="2" borderId="2" xfId="0" applyFont="1" applyFill="1" applyBorder="1"/>
    <xf numFmtId="0" fontId="8" fillId="3" borderId="4" xfId="1" applyFill="1" applyBorder="1" applyAlignment="1">
      <alignment horizontal="left" wrapText="1"/>
    </xf>
    <xf numFmtId="0" fontId="10" fillId="2" borderId="3" xfId="0" applyFont="1" applyFill="1" applyBorder="1" applyAlignment="1">
      <alignment vertical="center"/>
    </xf>
    <xf numFmtId="0" fontId="8" fillId="3" borderId="1" xfId="1" applyFill="1" applyBorder="1" applyAlignment="1">
      <alignment horizontal="center" wrapText="1"/>
    </xf>
    <xf numFmtId="0" fontId="10" fillId="2" borderId="3" xfId="0" applyFont="1" applyFill="1" applyBorder="1" applyAlignment="1">
      <alignment horizontal="center" vertical="center" wrapText="1"/>
    </xf>
    <xf numFmtId="0" fontId="5" fillId="0" borderId="0" xfId="3"/>
    <xf numFmtId="0" fontId="13" fillId="0" borderId="0" xfId="3" applyFont="1"/>
    <xf numFmtId="0" fontId="12" fillId="0" borderId="0" xfId="3" applyFont="1"/>
    <xf numFmtId="0" fontId="14" fillId="0" borderId="0" xfId="4" applyAlignment="1">
      <alignment horizontal="left" vertical="top"/>
    </xf>
    <xf numFmtId="0" fontId="5" fillId="0" borderId="0" xfId="3" applyAlignment="1">
      <alignment horizontal="left" vertical="top"/>
    </xf>
    <xf numFmtId="164" fontId="15" fillId="4" borderId="5" xfId="3" applyNumberFormat="1" applyFont="1" applyFill="1" applyBorder="1" applyAlignment="1">
      <alignment horizontal="center" vertical="top" wrapText="1"/>
    </xf>
    <xf numFmtId="164" fontId="15" fillId="5" borderId="5" xfId="3" applyNumberFormat="1" applyFont="1" applyFill="1" applyBorder="1" applyAlignment="1">
      <alignment horizontal="center" vertical="top" wrapText="1"/>
    </xf>
    <xf numFmtId="165" fontId="15" fillId="5" borderId="5" xfId="3" applyNumberFormat="1" applyFont="1" applyFill="1" applyBorder="1" applyAlignment="1">
      <alignment horizontal="center" vertical="top" wrapText="1"/>
    </xf>
    <xf numFmtId="166" fontId="15" fillId="4" borderId="5" xfId="3" applyNumberFormat="1" applyFont="1" applyFill="1" applyBorder="1" applyAlignment="1">
      <alignment horizontal="center" vertical="top" wrapText="1"/>
    </xf>
    <xf numFmtId="0" fontId="16" fillId="5" borderId="5" xfId="3" applyFont="1" applyFill="1" applyBorder="1" applyAlignment="1">
      <alignment horizontal="left" vertical="top" wrapText="1"/>
    </xf>
    <xf numFmtId="167" fontId="15" fillId="5" borderId="5" xfId="3" applyNumberFormat="1" applyFont="1" applyFill="1" applyBorder="1" applyAlignment="1">
      <alignment horizontal="center" vertical="top" wrapText="1"/>
    </xf>
    <xf numFmtId="0" fontId="5" fillId="5" borderId="5" xfId="3" applyFill="1" applyBorder="1" applyAlignment="1">
      <alignment horizontal="left" vertical="top" wrapText="1"/>
    </xf>
    <xf numFmtId="0" fontId="16" fillId="4" borderId="5" xfId="3" applyFont="1" applyFill="1" applyBorder="1" applyAlignment="1">
      <alignment horizontal="center" vertical="top" wrapText="1"/>
    </xf>
    <xf numFmtId="0" fontId="5" fillId="5" borderId="5" xfId="3" applyFill="1" applyBorder="1" applyAlignment="1">
      <alignment horizontal="center" vertical="top" wrapText="1"/>
    </xf>
    <xf numFmtId="0" fontId="5" fillId="4" borderId="5" xfId="3" applyFill="1" applyBorder="1" applyAlignment="1">
      <alignment horizontal="left" vertical="top" wrapText="1"/>
    </xf>
    <xf numFmtId="0" fontId="5" fillId="6" borderId="0" xfId="3" applyFill="1"/>
    <xf numFmtId="0" fontId="5" fillId="7" borderId="6" xfId="3" applyFill="1" applyBorder="1"/>
    <xf numFmtId="0" fontId="5" fillId="0" borderId="6" xfId="3" applyBorder="1"/>
    <xf numFmtId="43" fontId="5" fillId="7" borderId="2" xfId="3" applyNumberFormat="1" applyFill="1" applyBorder="1"/>
    <xf numFmtId="0" fontId="5" fillId="7" borderId="7" xfId="3" applyFill="1" applyBorder="1"/>
    <xf numFmtId="168" fontId="5" fillId="7" borderId="8" xfId="3" applyNumberFormat="1" applyFill="1" applyBorder="1"/>
    <xf numFmtId="168" fontId="5" fillId="7" borderId="2" xfId="3" applyNumberFormat="1" applyFill="1" applyBorder="1"/>
    <xf numFmtId="168" fontId="0" fillId="8" borderId="9" xfId="5" applyNumberFormat="1" applyFont="1" applyFill="1" applyBorder="1"/>
    <xf numFmtId="168" fontId="0" fillId="8" borderId="6" xfId="5" applyNumberFormat="1" applyFont="1" applyFill="1" applyBorder="1"/>
    <xf numFmtId="0" fontId="5" fillId="8" borderId="10" xfId="3" applyFill="1" applyBorder="1"/>
    <xf numFmtId="43" fontId="5" fillId="0" borderId="0" xfId="3" applyNumberFormat="1" applyAlignment="1">
      <alignment horizontal="left"/>
    </xf>
    <xf numFmtId="168" fontId="0" fillId="8" borderId="11" xfId="5" applyNumberFormat="1" applyFont="1" applyFill="1" applyBorder="1"/>
    <xf numFmtId="168" fontId="0" fillId="8" borderId="0" xfId="5" applyNumberFormat="1" applyFont="1" applyFill="1" applyBorder="1"/>
    <xf numFmtId="0" fontId="5" fillId="8" borderId="12" xfId="3" applyFill="1" applyBorder="1"/>
    <xf numFmtId="43" fontId="5" fillId="0" borderId="0" xfId="3" applyNumberFormat="1"/>
    <xf numFmtId="0" fontId="5" fillId="0" borderId="0" xfId="3" applyAlignment="1">
      <alignment horizontal="left"/>
    </xf>
    <xf numFmtId="0" fontId="5" fillId="8" borderId="8" xfId="3" applyFill="1" applyBorder="1"/>
    <xf numFmtId="0" fontId="5" fillId="8" borderId="2" xfId="3" applyFill="1" applyBorder="1"/>
    <xf numFmtId="0" fontId="5" fillId="8" borderId="7" xfId="3" applyFill="1" applyBorder="1"/>
    <xf numFmtId="170" fontId="5" fillId="0" borderId="0" xfId="3" applyNumberFormat="1"/>
    <xf numFmtId="171" fontId="5" fillId="6" borderId="0" xfId="3" applyNumberFormat="1" applyFill="1"/>
    <xf numFmtId="170" fontId="0" fillId="0" borderId="0" xfId="6" applyNumberFormat="1" applyFont="1" applyFill="1"/>
    <xf numFmtId="0" fontId="5" fillId="8" borderId="0" xfId="3" applyFill="1" applyAlignment="1">
      <alignment horizontal="left"/>
    </xf>
    <xf numFmtId="0" fontId="5" fillId="8" borderId="0" xfId="3" applyFill="1" applyAlignment="1">
      <alignment horizontal="center"/>
    </xf>
    <xf numFmtId="172" fontId="5" fillId="9" borderId="5" xfId="3" applyNumberFormat="1" applyFill="1" applyBorder="1" applyAlignment="1">
      <alignment horizontal="center"/>
    </xf>
    <xf numFmtId="17" fontId="5" fillId="9" borderId="5" xfId="3" applyNumberFormat="1" applyFill="1" applyBorder="1" applyAlignment="1">
      <alignment horizontal="left"/>
    </xf>
    <xf numFmtId="172" fontId="5" fillId="9" borderId="0" xfId="3" applyNumberFormat="1" applyFill="1" applyAlignment="1">
      <alignment horizontal="center"/>
    </xf>
    <xf numFmtId="172" fontId="5" fillId="0" borderId="0" xfId="3" applyNumberFormat="1" applyAlignment="1">
      <alignment horizontal="center"/>
    </xf>
    <xf numFmtId="17" fontId="5" fillId="0" borderId="0" xfId="3" applyNumberFormat="1" applyAlignment="1">
      <alignment horizontal="left"/>
    </xf>
    <xf numFmtId="0" fontId="17" fillId="0" borderId="0" xfId="7" applyAlignment="1" applyProtection="1"/>
    <xf numFmtId="9" fontId="5" fillId="0" borderId="0" xfId="8" applyFont="1" applyFill="1" applyBorder="1"/>
    <xf numFmtId="2" fontId="5" fillId="0" borderId="0" xfId="8" applyNumberFormat="1" applyFont="1" applyFill="1" applyBorder="1"/>
    <xf numFmtId="173" fontId="5" fillId="0" borderId="6" xfId="3" applyNumberFormat="1" applyBorder="1"/>
    <xf numFmtId="0" fontId="12" fillId="0" borderId="6" xfId="3" applyFont="1" applyBorder="1"/>
    <xf numFmtId="173" fontId="5" fillId="0" borderId="0" xfId="3" applyNumberFormat="1"/>
    <xf numFmtId="1" fontId="5" fillId="0" borderId="0" xfId="3" applyNumberFormat="1"/>
    <xf numFmtId="2" fontId="5" fillId="0" borderId="0" xfId="3" applyNumberFormat="1"/>
    <xf numFmtId="174" fontId="5" fillId="0" borderId="0" xfId="3" applyNumberFormat="1"/>
    <xf numFmtId="172" fontId="5" fillId="0" borderId="0" xfId="3" applyNumberFormat="1"/>
    <xf numFmtId="0" fontId="5" fillId="10" borderId="0" xfId="3" applyFill="1"/>
    <xf numFmtId="0" fontId="5" fillId="11" borderId="6" xfId="3" applyFill="1" applyBorder="1"/>
    <xf numFmtId="0" fontId="5" fillId="11" borderId="0" xfId="3" applyFill="1"/>
    <xf numFmtId="0" fontId="5" fillId="11" borderId="3" xfId="3" applyFill="1" applyBorder="1"/>
    <xf numFmtId="0" fontId="5" fillId="12" borderId="9" xfId="3" applyFill="1" applyBorder="1"/>
    <xf numFmtId="0" fontId="5" fillId="12" borderId="6" xfId="3" applyFill="1" applyBorder="1"/>
    <xf numFmtId="0" fontId="5" fillId="12" borderId="10" xfId="3" applyFill="1" applyBorder="1"/>
    <xf numFmtId="0" fontId="5" fillId="12" borderId="11" xfId="3" applyFill="1" applyBorder="1"/>
    <xf numFmtId="0" fontId="5" fillId="12" borderId="0" xfId="3" applyFill="1"/>
    <xf numFmtId="0" fontId="5" fillId="12" borderId="12" xfId="3" applyFill="1" applyBorder="1"/>
    <xf numFmtId="1" fontId="5" fillId="12" borderId="0" xfId="3" applyNumberFormat="1" applyFill="1"/>
    <xf numFmtId="0" fontId="12" fillId="12" borderId="11" xfId="3" applyFont="1" applyFill="1" applyBorder="1"/>
    <xf numFmtId="0" fontId="12" fillId="12" borderId="0" xfId="3" applyFont="1" applyFill="1"/>
    <xf numFmtId="0" fontId="5" fillId="12" borderId="8" xfId="3" applyFill="1" applyBorder="1"/>
    <xf numFmtId="0" fontId="5" fillId="12" borderId="2" xfId="3" applyFill="1" applyBorder="1"/>
    <xf numFmtId="0" fontId="5" fillId="12" borderId="7" xfId="3" applyFill="1" applyBorder="1"/>
    <xf numFmtId="9" fontId="5" fillId="6" borderId="0" xfId="3" applyNumberFormat="1" applyFill="1"/>
    <xf numFmtId="170" fontId="18" fillId="0" borderId="0" xfId="3" applyNumberFormat="1" applyFont="1"/>
    <xf numFmtId="0" fontId="19" fillId="12" borderId="0" xfId="3" applyFont="1" applyFill="1"/>
    <xf numFmtId="0" fontId="10" fillId="2" borderId="0" xfId="0" applyFont="1" applyFill="1" applyAlignment="1">
      <alignment horizontal="center" vertical="center" wrapText="1"/>
    </xf>
    <xf numFmtId="174" fontId="0" fillId="0" borderId="0" xfId="0" applyNumberFormat="1"/>
    <xf numFmtId="0" fontId="22" fillId="0" borderId="0" xfId="3" applyFont="1"/>
    <xf numFmtId="0" fontId="23" fillId="0" borderId="0" xfId="9" applyFont="1"/>
    <xf numFmtId="0" fontId="22" fillId="0" borderId="0" xfId="10" applyFont="1"/>
    <xf numFmtId="0" fontId="22" fillId="0" borderId="0" xfId="9" applyFont="1"/>
    <xf numFmtId="0" fontId="24" fillId="0" borderId="0" xfId="3" applyFont="1"/>
    <xf numFmtId="0" fontId="25" fillId="0" borderId="0" xfId="3" applyFont="1"/>
    <xf numFmtId="0" fontId="4" fillId="0" borderId="0" xfId="3" applyFont="1"/>
    <xf numFmtId="0" fontId="26" fillId="0" borderId="0" xfId="3" applyFont="1"/>
    <xf numFmtId="0" fontId="3" fillId="0" borderId="0" xfId="3" applyFont="1"/>
    <xf numFmtId="0" fontId="27" fillId="0" borderId="0" xfId="3" applyFont="1"/>
    <xf numFmtId="17" fontId="3" fillId="9" borderId="5" xfId="3" applyNumberFormat="1" applyFont="1" applyFill="1" applyBorder="1" applyAlignment="1">
      <alignment horizontal="left"/>
    </xf>
    <xf numFmtId="0" fontId="2" fillId="0" borderId="0" xfId="3" applyFont="1"/>
    <xf numFmtId="9" fontId="5" fillId="0" borderId="0" xfId="3" applyNumberFormat="1"/>
    <xf numFmtId="0" fontId="1" fillId="0" borderId="0" xfId="3" applyFont="1"/>
  </cellXfs>
  <cellStyles count="11">
    <cellStyle name="Comma 2" xfId="5" xr:uid="{11733EFD-C53A-42F8-A6AF-E0DE771ED242}"/>
    <cellStyle name="Comma 2 3 3" xfId="6" xr:uid="{3F180670-E1B9-4DB1-A99A-DE5429BC5945}"/>
    <cellStyle name="Hyperlink" xfId="7" builtinId="8"/>
    <cellStyle name="Normal" xfId="0" builtinId="0"/>
    <cellStyle name="Normal 10" xfId="1" xr:uid="{00000000-0005-0000-0000-000001000000}"/>
    <cellStyle name="Normal 13" xfId="10" xr:uid="{44DFA7DA-8F5E-4202-9787-9B94B55CCB73}"/>
    <cellStyle name="Normal 2" xfId="3" xr:uid="{D645268A-9984-44B9-A210-DCA89D060481}"/>
    <cellStyle name="Normal 2 2 2" xfId="9" xr:uid="{9580A27B-E423-4FD2-870C-38A083174E99}"/>
    <cellStyle name="Normal 7 4 2" xfId="4" xr:uid="{FA9E177E-2D9F-46A2-969F-FD668459761B}"/>
    <cellStyle name="Normale_B2020" xfId="2" xr:uid="{00000000-0005-0000-0000-000002000000}"/>
    <cellStyle name="Percent 2" xfId="8" xr:uid="{06F735CD-022E-4EFB-B116-266B0B46A33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'Aviation Synfuel'!#REF!</c:f>
            </c:numRef>
          </c:xVal>
          <c:yVal>
            <c:numRef>
              <c:f>'Aviation Synfuel'!$D$56:$H$56</c:f>
              <c:numCache>
                <c:formatCode>_-* #,##0_-;\-* #,##0_-;_-* "-"??_-;_-@_-</c:formatCode>
                <c:ptCount val="5"/>
                <c:pt idx="0">
                  <c:v>655.25126084992087</c:v>
                </c:pt>
                <c:pt idx="1">
                  <c:v>561.67512262069863</c:v>
                </c:pt>
                <c:pt idx="2">
                  <c:v>508.02670361482046</c:v>
                </c:pt>
                <c:pt idx="3" formatCode="_(* #,##0.00_);_(* \(#,##0.00\);_(* &quot;-&quot;??_);_(@_)">
                  <c:v>454.37828460894235</c:v>
                </c:pt>
                <c:pt idx="4" formatCode="_(* #,##0.00_);_(* \(#,##0.00\);_(* &quot;-&quot;??_);_(@_)">
                  <c:v>390.64284357979682</c:v>
                </c:pt>
              </c:numCache>
            </c:numRef>
          </c:yVal>
          <c:smooth val="0"/>
          <c:extLst>
            <c:ext xmlns:c16="http://schemas.microsoft.com/office/drawing/2014/chart" uri="{C3380CC4-5D6E-409C-BE32-E72D297353CC}">
              <c16:uniqueId val="{00000000-4C59-4BFD-8786-B1655E26FD03}"/>
            </c:ext>
          </c:extLst>
        </c:ser>
        <c:dLbls>
          <c:showLegendKey val="0"/>
          <c:showVal val="0"/>
          <c:showCatName val="0"/>
          <c:showSerName val="0"/>
          <c:showPercent val="0"/>
          <c:showBubbleSize val="0"/>
        </c:dLbls>
        <c:axId val="594088336"/>
        <c:axId val="594091248"/>
      </c:scatterChart>
      <c:valAx>
        <c:axId val="59408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91248"/>
        <c:crosses val="autoZero"/>
        <c:crossBetween val="midCat"/>
      </c:valAx>
      <c:valAx>
        <c:axId val="5940912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88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351304</xdr:colOff>
      <xdr:row>215</xdr:row>
      <xdr:rowOff>322729</xdr:rowOff>
    </xdr:from>
    <xdr:ext cx="4714314" cy="3492270"/>
    <xdr:pic>
      <xdr:nvPicPr>
        <xdr:cNvPr id="2" name="Picture 1">
          <a:extLst>
            <a:ext uri="{FF2B5EF4-FFF2-40B4-BE49-F238E27FC236}">
              <a16:creationId xmlns:a16="http://schemas.microsoft.com/office/drawing/2014/main" id="{FD37D60F-D2CF-4532-BD12-05F7EDFFD1E4}"/>
            </a:ext>
          </a:extLst>
        </xdr:cNvPr>
        <xdr:cNvPicPr>
          <a:picLocks noChangeAspect="1"/>
        </xdr:cNvPicPr>
      </xdr:nvPicPr>
      <xdr:blipFill>
        <a:blip xmlns:r="http://schemas.openxmlformats.org/officeDocument/2006/relationships" r:embed="rId1"/>
        <a:stretch>
          <a:fillRect/>
        </a:stretch>
      </xdr:blipFill>
      <xdr:spPr>
        <a:xfrm>
          <a:off x="351304" y="31250404"/>
          <a:ext cx="4714314" cy="3492270"/>
        </a:xfrm>
        <a:prstGeom prst="rect">
          <a:avLst/>
        </a:prstGeom>
      </xdr:spPr>
    </xdr:pic>
    <xdr:clientData/>
  </xdr:oneCellAnchor>
  <xdr:twoCellAnchor>
    <xdr:from>
      <xdr:col>6</xdr:col>
      <xdr:colOff>100293</xdr:colOff>
      <xdr:row>177</xdr:row>
      <xdr:rowOff>95250</xdr:rowOff>
    </xdr:from>
    <xdr:to>
      <xdr:col>10</xdr:col>
      <xdr:colOff>466725</xdr:colOff>
      <xdr:row>187</xdr:row>
      <xdr:rowOff>1121</xdr:rowOff>
    </xdr:to>
    <xdr:graphicFrame macro="">
      <xdr:nvGraphicFramePr>
        <xdr:cNvPr id="3" name="Chart 2">
          <a:extLst>
            <a:ext uri="{FF2B5EF4-FFF2-40B4-BE49-F238E27FC236}">
              <a16:creationId xmlns:a16="http://schemas.microsoft.com/office/drawing/2014/main" id="{D733C584-E949-4E91-B17A-9AA71BD63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717176</xdr:colOff>
      <xdr:row>169</xdr:row>
      <xdr:rowOff>112059</xdr:rowOff>
    </xdr:from>
    <xdr:ext cx="8099613" cy="4753638"/>
    <xdr:pic>
      <xdr:nvPicPr>
        <xdr:cNvPr id="4" name="Picture 3">
          <a:extLst>
            <a:ext uri="{FF2B5EF4-FFF2-40B4-BE49-F238E27FC236}">
              <a16:creationId xmlns:a16="http://schemas.microsoft.com/office/drawing/2014/main" id="{4061AC85-2944-43F3-A6E8-2759527783EA}"/>
            </a:ext>
          </a:extLst>
        </xdr:cNvPr>
        <xdr:cNvPicPr>
          <a:picLocks noChangeAspect="1"/>
        </xdr:cNvPicPr>
      </xdr:nvPicPr>
      <xdr:blipFill>
        <a:blip xmlns:r="http://schemas.openxmlformats.org/officeDocument/2006/relationships" r:embed="rId3"/>
        <a:stretch>
          <a:fillRect/>
        </a:stretch>
      </xdr:blipFill>
      <xdr:spPr>
        <a:xfrm>
          <a:off x="6708401" y="20114559"/>
          <a:ext cx="8099613" cy="4753638"/>
        </a:xfrm>
        <a:prstGeom prst="rect">
          <a:avLst/>
        </a:prstGeom>
      </xdr:spPr>
    </xdr:pic>
    <xdr:clientData/>
  </xdr:oneCellAnchor>
  <xdr:twoCellAnchor>
    <xdr:from>
      <xdr:col>19</xdr:col>
      <xdr:colOff>2</xdr:colOff>
      <xdr:row>204</xdr:row>
      <xdr:rowOff>22414</xdr:rowOff>
    </xdr:from>
    <xdr:to>
      <xdr:col>31</xdr:col>
      <xdr:colOff>504267</xdr:colOff>
      <xdr:row>212</xdr:row>
      <xdr:rowOff>302560</xdr:rowOff>
    </xdr:to>
    <xdr:sp macro="" textlink="">
      <xdr:nvSpPr>
        <xdr:cNvPr id="5" name="TextBox 4">
          <a:extLst>
            <a:ext uri="{FF2B5EF4-FFF2-40B4-BE49-F238E27FC236}">
              <a16:creationId xmlns:a16="http://schemas.microsoft.com/office/drawing/2014/main" id="{72116B8D-2E3F-47D6-9E53-B1919C14C593}"/>
            </a:ext>
          </a:extLst>
        </xdr:cNvPr>
        <xdr:cNvSpPr txBox="1"/>
      </xdr:nvSpPr>
      <xdr:spPr>
        <a:xfrm>
          <a:off x="11582402" y="26692414"/>
          <a:ext cx="7819465" cy="16898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i="0" u="none" strike="noStrike">
              <a:solidFill>
                <a:schemeClr val="dk1"/>
              </a:solidFill>
              <a:effectLst/>
              <a:latin typeface="+mn-lt"/>
              <a:ea typeface="+mn-ea"/>
              <a:cs typeface="+mn-cs"/>
              <a:hlinkClick xmlns:r="http://schemas.openxmlformats.org/officeDocument/2006/relationships" r:id=""/>
            </a:rPr>
            <a:t>Hydrogen, Fuel Cells and Fuel Cell Vehicles</a:t>
          </a:r>
          <a:endParaRPr lang="en-ZA" sz="1100" b="0" i="0">
            <a:solidFill>
              <a:schemeClr val="dk1"/>
            </a:solidFill>
            <a:effectLst/>
            <a:latin typeface="+mn-lt"/>
            <a:ea typeface="+mn-ea"/>
            <a:cs typeface="+mn-cs"/>
          </a:endParaRPr>
        </a:p>
        <a:p>
          <a:r>
            <a:rPr lang="en-ZA" sz="1100" b="0" i="0">
              <a:solidFill>
                <a:schemeClr val="dk1"/>
              </a:solidFill>
              <a:effectLst/>
              <a:latin typeface="+mn-lt"/>
              <a:ea typeface="+mn-ea"/>
              <a:cs typeface="+mn-cs"/>
            </a:rPr>
            <a:t>Ronald M. Dell, ... David A.J. Rand, in </a:t>
          </a:r>
          <a:r>
            <a:rPr lang="en-ZA" sz="1100" b="0" i="0" u="none" strike="noStrike">
              <a:solidFill>
                <a:schemeClr val="dk1"/>
              </a:solidFill>
              <a:effectLst/>
              <a:latin typeface="+mn-lt"/>
              <a:ea typeface="+mn-ea"/>
              <a:cs typeface="+mn-cs"/>
              <a:hlinkClick xmlns:r="http://schemas.openxmlformats.org/officeDocument/2006/relationships" r:id=""/>
            </a:rPr>
            <a:t>Towards Sustainable Road Transport</a:t>
          </a:r>
          <a:r>
            <a:rPr lang="en-ZA" sz="1100" b="0" i="0">
              <a:solidFill>
                <a:schemeClr val="dk1"/>
              </a:solidFill>
              <a:effectLst/>
              <a:latin typeface="+mn-lt"/>
              <a:ea typeface="+mn-ea"/>
              <a:cs typeface="+mn-cs"/>
            </a:rPr>
            <a:t>, 2014</a:t>
          </a:r>
        </a:p>
        <a:p>
          <a:r>
            <a:rPr lang="en-ZA" sz="1100" b="0" i="0">
              <a:solidFill>
                <a:schemeClr val="dk1"/>
              </a:solidFill>
              <a:effectLst/>
              <a:latin typeface="+mn-lt"/>
              <a:ea typeface="+mn-ea"/>
              <a:cs typeface="+mn-cs"/>
            </a:rPr>
            <a:t>Fuel cell efficiency is a topic that has given rise to much confusion in the literature. One measure of efficiency is simply the practical cell-output voltage divided by the thermodynamically reversible voltage at the stated temperature and pressure of operation. This indicates how much free energy is lost by inefficiencies in operating the fuel cell stack, without regard to how much of the enthalpy of the reaction is liberated as heat (the </a:t>
          </a:r>
          <a:r>
            <a:rPr lang="en-ZA" sz="1100" b="0" i="1">
              <a:solidFill>
                <a:schemeClr val="dk1"/>
              </a:solidFill>
              <a:effectLst/>
              <a:latin typeface="+mn-lt"/>
              <a:ea typeface="+mn-ea"/>
              <a:cs typeface="+mn-cs"/>
            </a:rPr>
            <a:t>T</a:t>
          </a:r>
          <a:r>
            <a:rPr lang="el-GR" sz="1100" b="0" i="0">
              <a:solidFill>
                <a:schemeClr val="dk1"/>
              </a:solidFill>
              <a:effectLst/>
              <a:latin typeface="+mn-lt"/>
              <a:ea typeface="+mn-ea"/>
              <a:cs typeface="+mn-cs"/>
            </a:rPr>
            <a:t>Δ</a:t>
          </a:r>
          <a:r>
            <a:rPr lang="en-ZA" sz="1100" b="0" i="1">
              <a:solidFill>
                <a:schemeClr val="dk1"/>
              </a:solidFill>
              <a:effectLst/>
              <a:latin typeface="+mn-lt"/>
              <a:ea typeface="+mn-ea"/>
              <a:cs typeface="+mn-cs"/>
            </a:rPr>
            <a:t>S</a:t>
          </a:r>
          <a:r>
            <a:rPr lang="en-ZA" sz="1100" b="0" i="0">
              <a:solidFill>
                <a:schemeClr val="dk1"/>
              </a:solidFill>
              <a:effectLst/>
              <a:latin typeface="+mn-lt"/>
              <a:ea typeface="+mn-ea"/>
              <a:cs typeface="+mn-cs"/>
            </a:rPr>
            <a:t> term). For purposes of calculating overall energy efficiencies, it is necessary to compare the electrical output of the cell stack (in joules) with the enthalpy of the cell reaction, which for hydrogen fuel equates to the heat of formation of water. There are two values of this function: (i) a higher heating value (HHV), which corresponds to the product water being present as liquid; (ii) a lower heating value (LHV), which applies when the product water is present as uncondensed vapour or steam. The difference between the two values represents the latent heat of evaporation of water. For hydrogen, the HHV is approximately 18% greater than the LHV. In a low-temperature fuel cell, where the product is liquid water, the HHV should be employed in efficiency calculations, while for high-temperature fuel cells it may be permissible to use the LHV if the product steam is put to good use. Alternatively, the work done by the steam, for instance in driving a turbine, might be added to the electrical output and the combined figure compared with the HHV to calculate the overall efficiency. The resulting value will be 18% lower than that obtained when using the LHV for hydrogen.</a:t>
          </a:r>
        </a:p>
        <a:p>
          <a:endParaRPr lang="en-ZA" sz="1100"/>
        </a:p>
      </xdr:txBody>
    </xdr:sp>
    <xdr:clientData/>
  </xdr:twoCellAnchor>
  <xdr:twoCellAnchor>
    <xdr:from>
      <xdr:col>1</xdr:col>
      <xdr:colOff>1277470</xdr:colOff>
      <xdr:row>199</xdr:row>
      <xdr:rowOff>156882</xdr:rowOff>
    </xdr:from>
    <xdr:to>
      <xdr:col>8</xdr:col>
      <xdr:colOff>459441</xdr:colOff>
      <xdr:row>211</xdr:row>
      <xdr:rowOff>67236</xdr:rowOff>
    </xdr:to>
    <xdr:sp macro="" textlink="">
      <xdr:nvSpPr>
        <xdr:cNvPr id="6" name="TextBox 5">
          <a:extLst>
            <a:ext uri="{FF2B5EF4-FFF2-40B4-BE49-F238E27FC236}">
              <a16:creationId xmlns:a16="http://schemas.microsoft.com/office/drawing/2014/main" id="{80E5FB5E-2AA1-460A-81C4-358FCA594235}"/>
            </a:ext>
          </a:extLst>
        </xdr:cNvPr>
        <xdr:cNvSpPr txBox="1"/>
      </xdr:nvSpPr>
      <xdr:spPr>
        <a:xfrm>
          <a:off x="1220320" y="25874382"/>
          <a:ext cx="4115921" cy="219635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Marchese (2021)</a:t>
          </a:r>
        </a:p>
        <a:p>
          <a:endParaRPr lang="en-ZA" sz="1100"/>
        </a:p>
        <a:p>
          <a:r>
            <a:rPr lang="en-ZA" sz="1100"/>
            <a:t>Decker et al. [63] provided a linear cost function for the FT system, with a specific capital cost of </a:t>
          </a:r>
          <a:r>
            <a:rPr lang="en-ZA" sz="1100" b="1" u="sng">
              <a:solidFill>
                <a:schemeClr val="accent2">
                  <a:lumMod val="75000"/>
                </a:schemeClr>
              </a:solidFill>
            </a:rPr>
            <a:t>530 €/kW </a:t>
          </a:r>
          <a:r>
            <a:rPr lang="en-ZA" sz="1100"/>
            <a:t>and an installation factor equal to 2.		</a:t>
          </a:r>
        </a:p>
        <a:p>
          <a:r>
            <a:rPr lang="en-ZA" sz="1100"/>
            <a:t>				</a:t>
          </a:r>
        </a:p>
        <a:p>
          <a:r>
            <a:rPr lang="en-ZA" sz="1100"/>
            <a:t>The sum of the capital costs after contingencies and installation		</a:t>
          </a:r>
        </a:p>
        <a:p>
          <a:r>
            <a:rPr lang="en-ZA" sz="1100"/>
            <a:t>factors of the different sections represented the plant CAPEX, assuming a	</a:t>
          </a:r>
        </a:p>
        <a:p>
          <a:r>
            <a:rPr lang="en-ZA" sz="1100"/>
            <a:t>confidence range of the investment costs as ± 30 % [64].		</a:t>
          </a:r>
        </a:p>
        <a:p>
          <a:r>
            <a:rPr lang="en-ZA" sz="1100"/>
            <a:t>				</a:t>
          </a:r>
        </a:p>
        <a:p>
          <a:r>
            <a:rPr lang="en-ZA" sz="1100"/>
            <a:t>8,000 operating hours per year;				</a:t>
          </a:r>
        </a:p>
        <a:p>
          <a:r>
            <a:rPr lang="en-ZA" sz="1100"/>
            <a:t>• plant lifetime of 25 years;				</a:t>
          </a:r>
        </a:p>
        <a:p>
          <a:r>
            <a:rPr lang="en-ZA" sz="1100"/>
            <a:t>• 2019 as the year for cost estimations (Chemical Engineering Plant				</a:t>
          </a:r>
        </a:p>
        <a:p>
          <a:r>
            <a:rPr lang="en-ZA" sz="1100"/>
            <a:t>Cost Index, CEPCI: 619 [55]);				</a:t>
          </a:r>
        </a:p>
        <a:p>
          <a:r>
            <a:rPr lang="en-ZA" sz="1100"/>
            <a:t>• Costs in euros, at an exchange rate $/€ of 1.145 when applied;		</a:t>
          </a:r>
        </a:p>
        <a:p>
          <a:r>
            <a:rPr lang="en-ZA" sz="1100"/>
            <a:t>• no remuneration of invested capital;			</a:t>
          </a:r>
        </a:p>
        <a:p>
          <a:r>
            <a:rPr lang="en-ZA" sz="1100"/>
            <a:t>• nor depreciation nor taxes, to be as more site-independent as	possible.				</a:t>
          </a:r>
        </a:p>
        <a:p>
          <a:r>
            <a:rPr lang="en-ZA" sz="1100"/>
            <a:t>		</a:t>
          </a:r>
        </a:p>
      </xdr:txBody>
    </xdr:sp>
    <xdr:clientData/>
  </xdr:twoCellAnchor>
  <xdr:oneCellAnchor>
    <xdr:from>
      <xdr:col>5</xdr:col>
      <xdr:colOff>78439</xdr:colOff>
      <xdr:row>192</xdr:row>
      <xdr:rowOff>33618</xdr:rowOff>
    </xdr:from>
    <xdr:ext cx="4451475" cy="1434353"/>
    <xdr:pic>
      <xdr:nvPicPr>
        <xdr:cNvPr id="7" name="Picture 6">
          <a:extLst>
            <a:ext uri="{FF2B5EF4-FFF2-40B4-BE49-F238E27FC236}">
              <a16:creationId xmlns:a16="http://schemas.microsoft.com/office/drawing/2014/main" id="{B9BCC1D0-AE79-43FD-A1BA-FB884A97D4A0}"/>
            </a:ext>
          </a:extLst>
        </xdr:cNvPr>
        <xdr:cNvPicPr>
          <a:picLocks noChangeAspect="1"/>
        </xdr:cNvPicPr>
      </xdr:nvPicPr>
      <xdr:blipFill>
        <a:blip xmlns:r="http://schemas.openxmlformats.org/officeDocument/2006/relationships" r:embed="rId4"/>
        <a:stretch>
          <a:fillRect/>
        </a:stretch>
      </xdr:blipFill>
      <xdr:spPr>
        <a:xfrm>
          <a:off x="3126439" y="24417618"/>
          <a:ext cx="4451475" cy="1434353"/>
        </a:xfrm>
        <a:prstGeom prst="rect">
          <a:avLst/>
        </a:prstGeom>
      </xdr:spPr>
    </xdr:pic>
    <xdr:clientData/>
  </xdr:oneCellAnchor>
  <xdr:twoCellAnchor>
    <xdr:from>
      <xdr:col>1</xdr:col>
      <xdr:colOff>2802</xdr:colOff>
      <xdr:row>1</xdr:row>
      <xdr:rowOff>561</xdr:rowOff>
    </xdr:from>
    <xdr:to>
      <xdr:col>8</xdr:col>
      <xdr:colOff>694765</xdr:colOff>
      <xdr:row>8</xdr:row>
      <xdr:rowOff>56029</xdr:rowOff>
    </xdr:to>
    <xdr:sp macro="" textlink="">
      <xdr:nvSpPr>
        <xdr:cNvPr id="8" name="TextBox 7">
          <a:extLst>
            <a:ext uri="{FF2B5EF4-FFF2-40B4-BE49-F238E27FC236}">
              <a16:creationId xmlns:a16="http://schemas.microsoft.com/office/drawing/2014/main" id="{68414D5C-47CE-C347-E941-4E46465F27CC}"/>
            </a:ext>
          </a:extLst>
        </xdr:cNvPr>
        <xdr:cNvSpPr txBox="1"/>
      </xdr:nvSpPr>
      <xdr:spPr>
        <a:xfrm>
          <a:off x="1358714" y="191061"/>
          <a:ext cx="6855198" cy="1388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Bryce, 28Sept</a:t>
          </a:r>
          <a:r>
            <a:rPr lang="en-ZA" sz="1100" baseline="0"/>
            <a:t> 2023</a:t>
          </a:r>
          <a:endParaRPr lang="en-ZA" sz="1100"/>
        </a:p>
        <a:p>
          <a:endParaRPr lang="en-ZA" sz="1100"/>
        </a:p>
        <a:p>
          <a:r>
            <a:rPr lang="en-ZA" sz="1100"/>
            <a:t>I have</a:t>
          </a:r>
          <a:r>
            <a:rPr lang="en-ZA" sz="1100" baseline="0"/>
            <a:t> modified this model input sheet for new VEDA model based on the older ANSWER input file compiled by Fadiel Ahjum. </a:t>
          </a:r>
        </a:p>
        <a:p>
          <a:endParaRPr lang="en-ZA" sz="1100" baseline="0"/>
        </a:p>
        <a:p>
          <a:r>
            <a:rPr lang="en-ZA" sz="1100" baseline="0"/>
            <a:t>Appears to be based on Marchese (2021), case 4: excluding DAC.</a:t>
          </a:r>
        </a:p>
        <a:p>
          <a:r>
            <a:rPr lang="en-ZA" sz="1100" baseline="0"/>
            <a:t>Updated to 2022 rands</a:t>
          </a:r>
        </a:p>
        <a:p>
          <a:endParaRPr lang="en-ZA"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Bruno Merven" id="{4C962FA4-3676-4A73-BC5E-119E413685AC}" userId="Bruno Merven"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0" dT="2021-04-21T08:06:15.39" personId="{4C962FA4-3676-4A73-BC5E-119E413685AC}" id="{A8F79838-48CF-44EE-B774-5E70D78A5339}">
    <text>Modelled as Energy for now - as not sure whether efficiency equations apply to ENV/GHG commodities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1.oanda.com/currency/converter/"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354D-3315-4B65-B376-DF9DBA285B2F}">
  <sheetPr>
    <tabColor theme="6" tint="0.79998168889431442"/>
  </sheetPr>
  <dimension ref="A11:V238"/>
  <sheetViews>
    <sheetView tabSelected="1" topLeftCell="A69" zoomScale="85" zoomScaleNormal="85" workbookViewId="0">
      <selection activeCell="I81" sqref="I81"/>
    </sheetView>
    <sheetView tabSelected="1" workbookViewId="1"/>
  </sheetViews>
  <sheetFormatPr defaultRowHeight="15" x14ac:dyDescent="0.25"/>
  <cols>
    <col min="1" max="2" width="20.28515625" style="8" customWidth="1"/>
    <col min="3" max="3" width="16.140625" style="8" customWidth="1"/>
    <col min="4" max="4" width="12.28515625" style="8" customWidth="1"/>
    <col min="5" max="5" width="10.140625" style="8" customWidth="1"/>
    <col min="6" max="6" width="9.140625" style="8"/>
    <col min="7" max="10" width="12.28515625" style="8" bestFit="1" customWidth="1"/>
    <col min="11" max="11" width="9.28515625" style="8" customWidth="1"/>
    <col min="12" max="12" width="7" style="8" customWidth="1"/>
    <col min="13" max="16384" width="9.140625" style="8"/>
  </cols>
  <sheetData>
    <row r="11" spans="1:2" ht="24.75" customHeight="1" x14ac:dyDescent="0.35">
      <c r="A11" s="80" t="s">
        <v>172</v>
      </c>
    </row>
    <row r="12" spans="1:2" x14ac:dyDescent="0.25">
      <c r="A12" s="8" t="s">
        <v>79</v>
      </c>
      <c r="B12" s="8" t="s">
        <v>171</v>
      </c>
    </row>
    <row r="15" spans="1:2" ht="23.25" x14ac:dyDescent="0.35">
      <c r="A15" s="90" t="s">
        <v>191</v>
      </c>
    </row>
    <row r="16" spans="1:2" ht="23.25" x14ac:dyDescent="0.35">
      <c r="A16" s="90"/>
    </row>
    <row r="17" spans="1:9" x14ac:dyDescent="0.25">
      <c r="B17" s="1" t="s">
        <v>178</v>
      </c>
      <c r="C17" s="83"/>
      <c r="D17" s="83"/>
      <c r="E17" s="83"/>
      <c r="F17" s="83"/>
    </row>
    <row r="18" spans="1:9" x14ac:dyDescent="0.25">
      <c r="B18" s="3" t="s">
        <v>7</v>
      </c>
      <c r="C18" s="3" t="s">
        <v>9</v>
      </c>
      <c r="D18" s="3" t="s">
        <v>179</v>
      </c>
      <c r="E18" s="3" t="s">
        <v>8</v>
      </c>
      <c r="F18" s="3" t="s">
        <v>10</v>
      </c>
    </row>
    <row r="19" spans="1:9" x14ac:dyDescent="0.25">
      <c r="B19" s="84" t="s">
        <v>180</v>
      </c>
      <c r="C19" s="85"/>
      <c r="D19" s="85"/>
    </row>
    <row r="20" spans="1:9" x14ac:dyDescent="0.25">
      <c r="B20" s="86" t="s">
        <v>169</v>
      </c>
      <c r="C20" s="86" t="s">
        <v>173</v>
      </c>
      <c r="D20" s="87" t="s">
        <v>116</v>
      </c>
      <c r="E20" s="88" t="s">
        <v>181</v>
      </c>
      <c r="F20" s="88" t="s">
        <v>174</v>
      </c>
    </row>
    <row r="21" spans="1:9" x14ac:dyDescent="0.25">
      <c r="B21" s="2" t="s">
        <v>165</v>
      </c>
      <c r="C21" s="2" t="s">
        <v>200</v>
      </c>
      <c r="D21" s="2" t="s">
        <v>116</v>
      </c>
      <c r="E21" s="2" t="s">
        <v>181</v>
      </c>
      <c r="F21" s="2" t="s">
        <v>174</v>
      </c>
    </row>
    <row r="22" spans="1:9" x14ac:dyDescent="0.25">
      <c r="B22" s="2"/>
      <c r="C22" s="2"/>
      <c r="D22" s="2"/>
      <c r="E22" s="2"/>
      <c r="F22" s="2"/>
    </row>
    <row r="23" spans="1:9" x14ac:dyDescent="0.25">
      <c r="B23" s="2"/>
      <c r="C23" s="2"/>
      <c r="D23" s="2"/>
      <c r="E23" s="2"/>
      <c r="F23" s="2"/>
    </row>
    <row r="24" spans="1:9" ht="23.25" x14ac:dyDescent="0.35">
      <c r="A24" s="90" t="s">
        <v>197</v>
      </c>
      <c r="B24" s="2"/>
      <c r="C24" s="2"/>
      <c r="D24" s="2"/>
      <c r="E24" s="2"/>
      <c r="F24" s="2"/>
    </row>
    <row r="25" spans="1:9" x14ac:dyDescent="0.25">
      <c r="B25" s="2"/>
      <c r="C25" s="2"/>
      <c r="D25" s="2"/>
      <c r="E25" s="2"/>
      <c r="F25" s="2"/>
    </row>
    <row r="26" spans="1:9" x14ac:dyDescent="0.25">
      <c r="B26" s="1" t="s">
        <v>14</v>
      </c>
      <c r="C26" s="1"/>
      <c r="D26"/>
      <c r="E26"/>
      <c r="F26"/>
      <c r="G26"/>
      <c r="H26"/>
      <c r="I26"/>
    </row>
    <row r="27" spans="1:9" x14ac:dyDescent="0.25">
      <c r="B27" s="3" t="s">
        <v>12</v>
      </c>
      <c r="C27" s="3" t="s">
        <v>1</v>
      </c>
      <c r="D27" s="3" t="s">
        <v>2</v>
      </c>
      <c r="E27" s="3" t="s">
        <v>15</v>
      </c>
      <c r="F27" s="3" t="s">
        <v>16</v>
      </c>
      <c r="G27" s="3" t="s">
        <v>17</v>
      </c>
      <c r="H27" s="3" t="s">
        <v>18</v>
      </c>
      <c r="I27" s="3" t="s">
        <v>19</v>
      </c>
    </row>
    <row r="28" spans="1:9" ht="39.75" thickBot="1" x14ac:dyDescent="0.3">
      <c r="B28" s="4" t="s">
        <v>20</v>
      </c>
      <c r="C28" s="4" t="s">
        <v>21</v>
      </c>
      <c r="D28" s="4" t="s">
        <v>22</v>
      </c>
      <c r="E28" s="4" t="s">
        <v>23</v>
      </c>
      <c r="F28" s="4" t="s">
        <v>24</v>
      </c>
      <c r="G28" s="4" t="s">
        <v>25</v>
      </c>
      <c r="H28" s="4" t="s">
        <v>26</v>
      </c>
      <c r="I28" s="4" t="s">
        <v>27</v>
      </c>
    </row>
    <row r="29" spans="1:9" x14ac:dyDescent="0.25">
      <c r="B29" s="2" t="s">
        <v>177</v>
      </c>
      <c r="C29" s="2" t="str">
        <f>'Aviation Synfuel'!B38</f>
        <v>UFTHGNCO2-N</v>
      </c>
      <c r="D29" s="2" t="str">
        <f>'Aviation Synfuel'!C38</f>
        <v>Synthetic Aviation Fuel from aircapture</v>
      </c>
      <c r="E29" t="s">
        <v>116</v>
      </c>
      <c r="F29" t="s">
        <v>201</v>
      </c>
      <c r="G29"/>
      <c r="H29"/>
      <c r="I29"/>
    </row>
    <row r="30" spans="1:9" x14ac:dyDescent="0.25">
      <c r="B30" s="2" t="s">
        <v>177</v>
      </c>
      <c r="C30" s="2" t="s">
        <v>182</v>
      </c>
      <c r="D30" s="2" t="s">
        <v>183</v>
      </c>
      <c r="E30" t="s">
        <v>116</v>
      </c>
      <c r="F30" t="s">
        <v>201</v>
      </c>
      <c r="G30"/>
      <c r="H30"/>
      <c r="I30"/>
    </row>
    <row r="31" spans="1:9" x14ac:dyDescent="0.25">
      <c r="B31" s="2" t="s">
        <v>202</v>
      </c>
      <c r="C31" s="2" t="s">
        <v>203</v>
      </c>
      <c r="D31" s="2" t="s">
        <v>193</v>
      </c>
      <c r="E31" s="2" t="s">
        <v>116</v>
      </c>
      <c r="F31" s="2" t="s">
        <v>201</v>
      </c>
    </row>
    <row r="32" spans="1:9" x14ac:dyDescent="0.25">
      <c r="B32" s="2"/>
      <c r="C32" s="2"/>
      <c r="D32" s="2"/>
      <c r="E32" s="2"/>
      <c r="F32" s="2"/>
    </row>
    <row r="34" spans="1:18" ht="23.25" x14ac:dyDescent="0.35">
      <c r="A34" s="90" t="s">
        <v>188</v>
      </c>
    </row>
    <row r="35" spans="1:18" x14ac:dyDescent="0.25">
      <c r="B35" s="1" t="s">
        <v>0</v>
      </c>
      <c r="C35"/>
      <c r="D35"/>
      <c r="F35" s="1"/>
      <c r="G35" s="1"/>
      <c r="H35" s="1"/>
      <c r="I35" s="2"/>
      <c r="J35"/>
      <c r="K35"/>
      <c r="L35"/>
      <c r="N35"/>
      <c r="O35"/>
      <c r="P35"/>
      <c r="Q35"/>
    </row>
    <row r="36" spans="1:18" ht="25.5" x14ac:dyDescent="0.25">
      <c r="B36" s="5" t="s">
        <v>1</v>
      </c>
      <c r="C36" s="5" t="s">
        <v>2</v>
      </c>
      <c r="D36" s="5" t="s">
        <v>3</v>
      </c>
      <c r="E36" s="5" t="s">
        <v>4</v>
      </c>
      <c r="F36" s="5" t="s">
        <v>11</v>
      </c>
      <c r="G36" s="7" t="s">
        <v>184</v>
      </c>
      <c r="H36" s="7" t="s">
        <v>185</v>
      </c>
      <c r="I36" s="7" t="s">
        <v>5</v>
      </c>
      <c r="J36" s="7" t="s">
        <v>31</v>
      </c>
      <c r="K36" s="81" t="s">
        <v>170</v>
      </c>
      <c r="L36" s="81" t="s">
        <v>163</v>
      </c>
    </row>
    <row r="37" spans="1:18" ht="39.75" thickBot="1" x14ac:dyDescent="0.3">
      <c r="B37" s="6" t="s">
        <v>28</v>
      </c>
      <c r="C37" s="6" t="s">
        <v>22</v>
      </c>
      <c r="D37" s="6" t="s">
        <v>29</v>
      </c>
      <c r="E37" s="6" t="s">
        <v>30</v>
      </c>
      <c r="F37" s="6" t="s">
        <v>35</v>
      </c>
      <c r="G37" s="6" t="s">
        <v>32</v>
      </c>
      <c r="I37" s="6" t="s">
        <v>33</v>
      </c>
      <c r="J37" s="6" t="s">
        <v>34</v>
      </c>
      <c r="K37" s="2"/>
    </row>
    <row r="38" spans="1:18" x14ac:dyDescent="0.25">
      <c r="B38" s="8" t="s">
        <v>164</v>
      </c>
      <c r="C38" s="2" t="s">
        <v>176</v>
      </c>
      <c r="D38" s="2" t="s">
        <v>169</v>
      </c>
      <c r="E38"/>
      <c r="F38"/>
      <c r="G38"/>
      <c r="I38"/>
      <c r="J38"/>
      <c r="K38" s="59">
        <f>D100</f>
        <v>107.3755695536401</v>
      </c>
    </row>
    <row r="39" spans="1:18" x14ac:dyDescent="0.25">
      <c r="B39"/>
      <c r="C39"/>
      <c r="D39" s="8" t="s">
        <v>168</v>
      </c>
      <c r="E39"/>
      <c r="F39"/>
      <c r="G39"/>
      <c r="I39"/>
      <c r="J39"/>
      <c r="K39" s="82">
        <f>'Aviation Synfuel'!D92/1000</f>
        <v>0.21499200000000002</v>
      </c>
    </row>
    <row r="40" spans="1:18" x14ac:dyDescent="0.25">
      <c r="B40"/>
      <c r="C40"/>
      <c r="D40" s="8" t="s">
        <v>167</v>
      </c>
      <c r="E40"/>
      <c r="F40"/>
      <c r="G40"/>
      <c r="I40"/>
      <c r="J40"/>
      <c r="K40" s="82">
        <f>'Aviation Synfuel'!D93/1000</f>
        <v>2.5490109890109891</v>
      </c>
    </row>
    <row r="41" spans="1:18" x14ac:dyDescent="0.25">
      <c r="B41"/>
      <c r="C41"/>
      <c r="D41"/>
      <c r="E41" s="2" t="s">
        <v>166</v>
      </c>
      <c r="F41"/>
      <c r="G41"/>
      <c r="I41"/>
      <c r="J41"/>
      <c r="K41"/>
    </row>
    <row r="42" spans="1:18" x14ac:dyDescent="0.25">
      <c r="B42"/>
      <c r="C42"/>
      <c r="D42"/>
      <c r="E42" s="2" t="s">
        <v>165</v>
      </c>
      <c r="F42">
        <v>2030</v>
      </c>
      <c r="G42" s="59">
        <v>0.5</v>
      </c>
      <c r="H42" s="59">
        <f>C108/8760</f>
        <v>0.91324200913242004</v>
      </c>
      <c r="I42">
        <v>25</v>
      </c>
      <c r="J42">
        <v>1</v>
      </c>
      <c r="K42"/>
      <c r="L42" s="8">
        <v>-6</v>
      </c>
    </row>
    <row r="43" spans="1:18" ht="15.75" x14ac:dyDescent="0.25">
      <c r="A43" s="92" t="s">
        <v>190</v>
      </c>
      <c r="B43"/>
      <c r="C43"/>
      <c r="D43"/>
      <c r="E43"/>
      <c r="F43"/>
      <c r="G43"/>
      <c r="I43"/>
      <c r="J43"/>
      <c r="K43"/>
      <c r="L43"/>
      <c r="N43"/>
      <c r="O43"/>
      <c r="P43"/>
      <c r="Q43"/>
      <c r="R43"/>
    </row>
    <row r="44" spans="1:18" ht="15.75" x14ac:dyDescent="0.25">
      <c r="A44" s="92"/>
      <c r="B44"/>
      <c r="C44"/>
      <c r="D44"/>
      <c r="E44"/>
      <c r="F44"/>
      <c r="G44"/>
      <c r="I44"/>
      <c r="J44"/>
      <c r="K44"/>
      <c r="L44"/>
      <c r="N44"/>
      <c r="O44"/>
      <c r="P44"/>
      <c r="Q44"/>
      <c r="R44"/>
    </row>
    <row r="45" spans="1:18" ht="15.75" x14ac:dyDescent="0.25">
      <c r="A45" s="92"/>
      <c r="B45"/>
      <c r="C45"/>
      <c r="D45"/>
      <c r="E45"/>
      <c r="F45"/>
      <c r="G45"/>
      <c r="I45"/>
      <c r="J45"/>
      <c r="K45"/>
      <c r="L45"/>
      <c r="N45"/>
      <c r="O45"/>
      <c r="P45"/>
      <c r="Q45"/>
      <c r="R45"/>
    </row>
    <row r="46" spans="1:18" x14ac:dyDescent="0.25">
      <c r="B46" s="1" t="s">
        <v>0</v>
      </c>
      <c r="I46"/>
      <c r="J46"/>
      <c r="K46"/>
      <c r="L46"/>
      <c r="N46"/>
      <c r="O46"/>
      <c r="P46"/>
      <c r="Q46"/>
      <c r="R46"/>
    </row>
    <row r="47" spans="1:18" x14ac:dyDescent="0.25">
      <c r="B47" s="5" t="s">
        <v>1</v>
      </c>
      <c r="C47" s="5" t="s">
        <v>186</v>
      </c>
      <c r="D47" s="5" t="s">
        <v>4</v>
      </c>
      <c r="E47" s="5">
        <v>0</v>
      </c>
      <c r="F47" s="5">
        <v>2020</v>
      </c>
      <c r="G47" s="5">
        <v>2030</v>
      </c>
      <c r="H47" s="5">
        <v>2035</v>
      </c>
      <c r="I47" s="5">
        <v>2040</v>
      </c>
      <c r="J47" s="5">
        <v>2050</v>
      </c>
      <c r="K47"/>
      <c r="L47"/>
      <c r="N47"/>
      <c r="O47"/>
      <c r="P47"/>
      <c r="Q47"/>
      <c r="R47"/>
    </row>
    <row r="48" spans="1:18" x14ac:dyDescent="0.25">
      <c r="B48" s="8" t="str">
        <f>B38</f>
        <v>UFTHGNCO2-N</v>
      </c>
      <c r="C48" s="91" t="s">
        <v>189</v>
      </c>
      <c r="D48" s="2" t="str">
        <f>E41</f>
        <v>OAG</v>
      </c>
      <c r="E48" s="8">
        <v>3</v>
      </c>
      <c r="F48" s="61">
        <f>I95</f>
        <v>0.5118329249859862</v>
      </c>
      <c r="G48" s="61">
        <f>F48</f>
        <v>0.5118329249859862</v>
      </c>
      <c r="H48" s="61">
        <v>0</v>
      </c>
      <c r="I48" s="61">
        <f t="shared" ref="I48:J48" si="0">H48</f>
        <v>0</v>
      </c>
      <c r="J48" s="61">
        <f t="shared" si="0"/>
        <v>0</v>
      </c>
      <c r="K48"/>
      <c r="L48"/>
      <c r="N48" s="2" t="s">
        <v>192</v>
      </c>
      <c r="O48"/>
      <c r="P48"/>
      <c r="Q48"/>
      <c r="R48"/>
    </row>
    <row r="49" spans="1:18" x14ac:dyDescent="0.25">
      <c r="B49" s="8" t="str">
        <f>B48</f>
        <v>UFTHGNCO2-N</v>
      </c>
      <c r="C49" s="89" t="str">
        <f>C48</f>
        <v>SHARE~LO</v>
      </c>
      <c r="D49" s="2" t="str">
        <f>E42</f>
        <v>OKG</v>
      </c>
      <c r="E49" s="8">
        <v>3</v>
      </c>
      <c r="F49" s="61">
        <f>I96</f>
        <v>0.48816707501401374</v>
      </c>
      <c r="G49" s="61">
        <f>F49</f>
        <v>0.48816707501401374</v>
      </c>
      <c r="H49" s="61">
        <v>0</v>
      </c>
      <c r="I49" s="61">
        <f t="shared" ref="I49:J49" si="1">H49</f>
        <v>0</v>
      </c>
      <c r="J49" s="61">
        <f t="shared" si="1"/>
        <v>0</v>
      </c>
      <c r="K49"/>
      <c r="L49"/>
      <c r="N49"/>
      <c r="O49"/>
      <c r="P49"/>
      <c r="Q49"/>
      <c r="R49"/>
    </row>
    <row r="50" spans="1:18" x14ac:dyDescent="0.25">
      <c r="C50" s="89"/>
      <c r="D50" s="37"/>
      <c r="E50" s="37"/>
      <c r="F50" s="37"/>
      <c r="G50" s="37"/>
      <c r="H50" s="37"/>
      <c r="I50"/>
      <c r="J50"/>
      <c r="K50"/>
      <c r="L50"/>
      <c r="M50"/>
      <c r="N50"/>
      <c r="O50"/>
      <c r="P50"/>
      <c r="Q50"/>
      <c r="R50"/>
    </row>
    <row r="51" spans="1:18" x14ac:dyDescent="0.25">
      <c r="C51" s="89"/>
      <c r="D51" s="37"/>
      <c r="E51" s="37"/>
      <c r="F51" s="37"/>
      <c r="G51" s="37"/>
      <c r="H51" s="37"/>
      <c r="I51"/>
      <c r="J51"/>
      <c r="K51"/>
      <c r="L51"/>
      <c r="M51"/>
      <c r="N51"/>
      <c r="O51"/>
      <c r="P51"/>
      <c r="Q51"/>
      <c r="R51"/>
    </row>
    <row r="52" spans="1:18" ht="23.25" x14ac:dyDescent="0.35">
      <c r="A52" s="90" t="s">
        <v>187</v>
      </c>
    </row>
    <row r="54" spans="1:18" x14ac:dyDescent="0.25">
      <c r="B54" s="1" t="s">
        <v>0</v>
      </c>
    </row>
    <row r="55" spans="1:18" x14ac:dyDescent="0.25">
      <c r="B55" s="5" t="s">
        <v>1</v>
      </c>
      <c r="C55" s="5" t="s">
        <v>186</v>
      </c>
      <c r="D55" s="5">
        <v>2020</v>
      </c>
      <c r="E55" s="5">
        <v>2030</v>
      </c>
      <c r="F55" s="5">
        <v>2035</v>
      </c>
      <c r="G55" s="5">
        <v>2040</v>
      </c>
      <c r="H55" s="5">
        <v>2050</v>
      </c>
      <c r="I55" s="5">
        <v>2060</v>
      </c>
      <c r="J55" s="5">
        <v>2070</v>
      </c>
    </row>
    <row r="56" spans="1:18" x14ac:dyDescent="0.25">
      <c r="B56" s="8" t="str">
        <f>B38</f>
        <v>UFTHGNCO2-N</v>
      </c>
      <c r="C56" s="89" t="s">
        <v>36</v>
      </c>
      <c r="D56" s="42">
        <f>D187</f>
        <v>655.25126084992087</v>
      </c>
      <c r="E56" s="42">
        <f>E187</f>
        <v>561.67512262069863</v>
      </c>
      <c r="F56" s="79">
        <f>AVERAGE(E56,G56)</f>
        <v>508.02670361482046</v>
      </c>
      <c r="G56" s="37">
        <f>F187</f>
        <v>454.37828460894235</v>
      </c>
      <c r="H56" s="37">
        <f>G56 * (1-$D$179)^(H$55-G$55)</f>
        <v>390.64284357979682</v>
      </c>
      <c r="I56" s="37">
        <f>H56 * (1-$D$179)^(I$55-H$55)</f>
        <v>335.84754467622798</v>
      </c>
      <c r="J56" s="37">
        <f>I56 * (1-$D$179)^(J$55-I$55)</f>
        <v>288.73835811614077</v>
      </c>
    </row>
    <row r="57" spans="1:18" x14ac:dyDescent="0.25">
      <c r="B57" s="8" t="str">
        <f>B56</f>
        <v>UFTHGNCO2-N</v>
      </c>
      <c r="C57" s="8" t="s">
        <v>6</v>
      </c>
      <c r="D57" s="37">
        <f>$L$57*D56</f>
        <v>26.210050433996834</v>
      </c>
      <c r="E57" s="37">
        <f>$L$57*E56</f>
        <v>22.467004904827945</v>
      </c>
      <c r="F57" s="37">
        <f>$L$57*F56</f>
        <v>20.321068144592818</v>
      </c>
      <c r="G57" s="37">
        <f>$L$57*G56</f>
        <v>18.175131384357694</v>
      </c>
      <c r="H57" s="37">
        <f>$L$57*H56</f>
        <v>15.625713743191874</v>
      </c>
      <c r="I57" s="37">
        <f>H57</f>
        <v>15.625713743191874</v>
      </c>
      <c r="J57" s="37">
        <f>I57</f>
        <v>15.625713743191874</v>
      </c>
      <c r="L57" s="78">
        <v>0.04</v>
      </c>
    </row>
    <row r="60" spans="1:18" ht="23.25" x14ac:dyDescent="0.35">
      <c r="A60" s="90" t="s">
        <v>198</v>
      </c>
    </row>
    <row r="61" spans="1:18" ht="23.25" x14ac:dyDescent="0.35">
      <c r="A61" s="90"/>
    </row>
    <row r="62" spans="1:18" x14ac:dyDescent="0.25">
      <c r="B62" s="1" t="s">
        <v>0</v>
      </c>
      <c r="C62"/>
      <c r="D62" s="1"/>
      <c r="E62" s="1"/>
      <c r="F62" s="1"/>
    </row>
    <row r="63" spans="1:18" ht="25.5" x14ac:dyDescent="0.25">
      <c r="B63" s="5" t="s">
        <v>1</v>
      </c>
      <c r="C63" s="5" t="s">
        <v>3</v>
      </c>
      <c r="D63" s="5" t="s">
        <v>4</v>
      </c>
      <c r="E63" s="5" t="s">
        <v>13</v>
      </c>
      <c r="F63" s="7" t="s">
        <v>36</v>
      </c>
    </row>
    <row r="64" spans="1:18" x14ac:dyDescent="0.25">
      <c r="B64" s="2" t="s">
        <v>182</v>
      </c>
      <c r="C64" s="2" t="s">
        <v>165</v>
      </c>
      <c r="D64" s="2" t="s">
        <v>175</v>
      </c>
      <c r="E64">
        <v>1</v>
      </c>
      <c r="F64">
        <v>1</v>
      </c>
    </row>
    <row r="65" spans="1:19" x14ac:dyDescent="0.25">
      <c r="B65" s="91"/>
    </row>
    <row r="68" spans="1:19" ht="23.25" x14ac:dyDescent="0.35">
      <c r="A68" s="90" t="s">
        <v>193</v>
      </c>
    </row>
    <row r="69" spans="1:19" x14ac:dyDescent="0.25">
      <c r="D69" s="8">
        <v>2021</v>
      </c>
      <c r="E69" s="8">
        <v>2030</v>
      </c>
      <c r="F69" s="8">
        <v>2040</v>
      </c>
      <c r="G69" s="8">
        <v>2050</v>
      </c>
      <c r="H69" s="8">
        <v>2060</v>
      </c>
      <c r="I69" s="8">
        <v>2070</v>
      </c>
    </row>
    <row r="70" spans="1:19" x14ac:dyDescent="0.25">
      <c r="B70" s="96" t="s">
        <v>205</v>
      </c>
      <c r="D70" s="8">
        <v>250.76740309449676</v>
      </c>
      <c r="E70" s="8">
        <v>231.22467020790273</v>
      </c>
      <c r="F70" s="59"/>
      <c r="G70" s="8">
        <v>291.00244139042559</v>
      </c>
      <c r="H70" s="59"/>
      <c r="I70" s="59">
        <f>G70</f>
        <v>291.00244139042559</v>
      </c>
      <c r="N70" s="96" t="s">
        <v>207</v>
      </c>
    </row>
    <row r="71" spans="1:19" x14ac:dyDescent="0.25">
      <c r="B71" s="94" t="s">
        <v>206</v>
      </c>
      <c r="D71" s="95">
        <v>0.5</v>
      </c>
      <c r="E71" s="95">
        <v>0.5</v>
      </c>
      <c r="F71" s="95">
        <v>0.5</v>
      </c>
      <c r="G71" s="95">
        <v>0.5</v>
      </c>
      <c r="H71" s="95">
        <v>0.5</v>
      </c>
      <c r="I71" s="95">
        <v>0.5</v>
      </c>
    </row>
    <row r="74" spans="1:19" x14ac:dyDescent="0.25">
      <c r="B74" s="1" t="s">
        <v>0</v>
      </c>
      <c r="C74"/>
      <c r="D74" s="1"/>
      <c r="E74" s="1"/>
      <c r="F74" s="1"/>
    </row>
    <row r="75" spans="1:19" x14ac:dyDescent="0.25">
      <c r="B75" s="5" t="s">
        <v>1</v>
      </c>
      <c r="C75" s="5" t="s">
        <v>3</v>
      </c>
      <c r="D75" s="5" t="s">
        <v>13</v>
      </c>
      <c r="E75" s="7" t="s">
        <v>36</v>
      </c>
    </row>
    <row r="76" spans="1:19" x14ac:dyDescent="0.25">
      <c r="B76" s="8" t="str">
        <f>C31</f>
        <v>PEXGOKE</v>
      </c>
      <c r="C76" s="2" t="s">
        <v>165</v>
      </c>
      <c r="D76">
        <v>1</v>
      </c>
      <c r="E76">
        <v>1</v>
      </c>
    </row>
    <row r="79" spans="1:19" x14ac:dyDescent="0.25">
      <c r="B79" s="1" t="s">
        <v>0</v>
      </c>
      <c r="S79" s="8" t="s">
        <v>194</v>
      </c>
    </row>
    <row r="80" spans="1:19" x14ac:dyDescent="0.25">
      <c r="B80" s="5" t="s">
        <v>1</v>
      </c>
      <c r="C80" s="5" t="s">
        <v>186</v>
      </c>
      <c r="D80" s="5">
        <v>2021</v>
      </c>
      <c r="E80" s="5">
        <v>2030</v>
      </c>
      <c r="F80" s="5">
        <v>2040</v>
      </c>
      <c r="G80" s="5">
        <v>2050</v>
      </c>
      <c r="H80" s="5">
        <v>2060</v>
      </c>
      <c r="I80" s="5">
        <v>2070</v>
      </c>
    </row>
    <row r="81" spans="1:14" x14ac:dyDescent="0.25">
      <c r="B81" s="8" t="str">
        <f>B76</f>
        <v>PEXGOKE</v>
      </c>
      <c r="C81" s="91" t="s">
        <v>204</v>
      </c>
      <c r="D81" s="8">
        <f>-D70*(1+D71)</f>
        <v>-376.15110464174512</v>
      </c>
      <c r="E81" s="8">
        <f>-E70*(1+E71)</f>
        <v>-346.83700531185411</v>
      </c>
      <c r="G81" s="8">
        <f>-G70*(1+G71)</f>
        <v>-436.50366208563838</v>
      </c>
      <c r="I81" s="8">
        <f>-I70*(1+I71)</f>
        <v>-436.50366208563838</v>
      </c>
      <c r="N81" s="91"/>
    </row>
    <row r="85" spans="1:14" x14ac:dyDescent="0.25">
      <c r="H85" s="59"/>
      <c r="I85" s="59"/>
      <c r="J85" s="59"/>
      <c r="K85" s="59"/>
      <c r="L85" s="59"/>
      <c r="M85" s="59"/>
    </row>
    <row r="86" spans="1:14" ht="23.25" x14ac:dyDescent="0.35">
      <c r="A86" s="90" t="s">
        <v>199</v>
      </c>
    </row>
    <row r="87" spans="1:14" ht="16.5" customHeight="1" x14ac:dyDescent="0.35">
      <c r="A87" s="90"/>
    </row>
    <row r="89" spans="1:14" x14ac:dyDescent="0.25">
      <c r="A89" s="77" t="s">
        <v>162</v>
      </c>
      <c r="B89" s="76" t="s">
        <v>161</v>
      </c>
      <c r="C89" s="76">
        <f>D91/I91</f>
        <v>3.1606644855486539</v>
      </c>
      <c r="D89" s="76"/>
      <c r="E89" s="76"/>
      <c r="F89" s="76"/>
      <c r="G89" s="76" t="s">
        <v>160</v>
      </c>
      <c r="H89" s="76">
        <f>I91/D91</f>
        <v>0.31638916581378673</v>
      </c>
      <c r="I89" s="76"/>
      <c r="J89" s="75"/>
    </row>
    <row r="90" spans="1:14" x14ac:dyDescent="0.25">
      <c r="A90" s="71"/>
      <c r="B90" s="70"/>
      <c r="C90" s="70"/>
      <c r="D90" s="70" t="s">
        <v>159</v>
      </c>
      <c r="E90" s="70" t="s">
        <v>158</v>
      </c>
      <c r="F90" s="70"/>
      <c r="G90" s="70"/>
      <c r="H90" s="70"/>
      <c r="I90" s="70" t="s">
        <v>159</v>
      </c>
      <c r="J90" s="69" t="s">
        <v>158</v>
      </c>
    </row>
    <row r="91" spans="1:14" x14ac:dyDescent="0.25">
      <c r="A91" s="71"/>
      <c r="B91" s="74" t="s">
        <v>157</v>
      </c>
      <c r="C91" s="74" t="s">
        <v>152</v>
      </c>
      <c r="D91" s="74">
        <f>SUM(D92:D93)</f>
        <v>2764.0029890109895</v>
      </c>
      <c r="E91" s="74"/>
      <c r="F91" s="74"/>
      <c r="G91" s="74" t="s">
        <v>157</v>
      </c>
      <c r="H91" s="74" t="s">
        <v>152</v>
      </c>
      <c r="I91" s="74">
        <f>SUM(I92:I93)</f>
        <v>874.50060000000008</v>
      </c>
      <c r="J91" s="73"/>
    </row>
    <row r="92" spans="1:14" x14ac:dyDescent="0.25">
      <c r="A92" s="71"/>
      <c r="B92" s="70" t="s">
        <v>156</v>
      </c>
      <c r="C92" s="70" t="s">
        <v>152</v>
      </c>
      <c r="D92" s="70">
        <f>C145</f>
        <v>214.99200000000002</v>
      </c>
      <c r="E92" s="70"/>
      <c r="F92" s="70"/>
      <c r="G92" s="70" t="s">
        <v>155</v>
      </c>
      <c r="H92" s="70" t="s">
        <v>152</v>
      </c>
      <c r="I92" s="70">
        <f>C152*Q211</f>
        <v>447.59819999999996</v>
      </c>
      <c r="J92" s="69">
        <f>I92*8760</f>
        <v>3920960.2319999998</v>
      </c>
    </row>
    <row r="93" spans="1:14" x14ac:dyDescent="0.25">
      <c r="A93" s="71"/>
      <c r="B93" s="70" t="s">
        <v>154</v>
      </c>
      <c r="C93" s="70" t="s">
        <v>152</v>
      </c>
      <c r="D93" s="72">
        <f>C135</f>
        <v>2549.0109890109893</v>
      </c>
      <c r="E93" s="70"/>
      <c r="F93" s="70"/>
      <c r="G93" s="70" t="s">
        <v>153</v>
      </c>
      <c r="H93" s="70" t="s">
        <v>152</v>
      </c>
      <c r="I93" s="70">
        <f>C153*Q212</f>
        <v>426.90240000000006</v>
      </c>
      <c r="J93" s="69">
        <f>I93*8760</f>
        <v>3739665.0240000007</v>
      </c>
    </row>
    <row r="94" spans="1:14" x14ac:dyDescent="0.25">
      <c r="A94" s="68" t="s">
        <v>151</v>
      </c>
      <c r="B94" s="67"/>
      <c r="C94" s="67"/>
      <c r="D94" s="67"/>
      <c r="E94" s="67"/>
      <c r="F94" s="67"/>
      <c r="G94" s="67"/>
      <c r="H94" s="67"/>
      <c r="I94" s="67"/>
      <c r="J94" s="66"/>
    </row>
    <row r="95" spans="1:14" x14ac:dyDescent="0.25">
      <c r="A95" s="71"/>
      <c r="B95" s="70" t="str">
        <f>B92</f>
        <v>elc</v>
      </c>
      <c r="C95" s="70" t="s">
        <v>150</v>
      </c>
      <c r="D95" s="70">
        <f>D92/$D$91</f>
        <v>7.7782839184601632E-2</v>
      </c>
      <c r="E95" s="70"/>
      <c r="F95" s="70">
        <f>F92/$D$91</f>
        <v>0</v>
      </c>
      <c r="G95" s="70" t="str">
        <f>G92</f>
        <v>oag</v>
      </c>
      <c r="H95" s="70" t="s">
        <v>150</v>
      </c>
      <c r="I95" s="70">
        <f>I92/$I$91</f>
        <v>0.5118329249859862</v>
      </c>
      <c r="J95" s="69"/>
    </row>
    <row r="96" spans="1:14" x14ac:dyDescent="0.25">
      <c r="A96" s="71"/>
      <c r="B96" s="70" t="str">
        <f>B93</f>
        <v>h2</v>
      </c>
      <c r="C96" s="70" t="s">
        <v>150</v>
      </c>
      <c r="D96" s="70">
        <f>D93/$D$91</f>
        <v>0.92221716081539828</v>
      </c>
      <c r="E96" s="70"/>
      <c r="F96" s="70">
        <f>F93/$D$91</f>
        <v>0</v>
      </c>
      <c r="G96" s="70" t="str">
        <f>G93</f>
        <v>oke</v>
      </c>
      <c r="H96" s="70" t="s">
        <v>150</v>
      </c>
      <c r="I96" s="70">
        <f>I93/$I$91</f>
        <v>0.48816707501401374</v>
      </c>
      <c r="J96" s="69"/>
    </row>
    <row r="97" spans="1:10" x14ac:dyDescent="0.25">
      <c r="A97" s="71"/>
      <c r="B97" s="70"/>
      <c r="C97" s="70"/>
      <c r="D97" s="70"/>
      <c r="E97" s="70"/>
      <c r="F97" s="70"/>
      <c r="G97" s="70"/>
      <c r="H97" s="70"/>
      <c r="I97" s="70"/>
      <c r="J97" s="69"/>
    </row>
    <row r="98" spans="1:10" x14ac:dyDescent="0.25">
      <c r="A98" s="68" t="s">
        <v>149</v>
      </c>
      <c r="B98" s="67"/>
      <c r="C98" s="67"/>
      <c r="D98" s="67"/>
      <c r="E98" s="67"/>
      <c r="F98" s="67"/>
      <c r="G98" s="67"/>
      <c r="H98" s="67"/>
      <c r="I98" s="67"/>
      <c r="J98" s="66"/>
    </row>
    <row r="99" spans="1:10" x14ac:dyDescent="0.25">
      <c r="A99" s="71"/>
      <c r="B99" s="70" t="s">
        <v>148</v>
      </c>
      <c r="C99" s="70" t="s">
        <v>104</v>
      </c>
      <c r="D99" s="70">
        <f>C114</f>
        <v>93.9</v>
      </c>
      <c r="E99" s="70"/>
      <c r="F99" s="70"/>
      <c r="G99" s="70"/>
      <c r="H99" s="70"/>
      <c r="I99" s="70"/>
      <c r="J99" s="69"/>
    </row>
    <row r="100" spans="1:10" x14ac:dyDescent="0.25">
      <c r="A100" s="71"/>
      <c r="B100" s="70"/>
      <c r="C100" s="70" t="s">
        <v>147</v>
      </c>
      <c r="D100" s="70">
        <f>D99/(I91*0.001)</f>
        <v>107.3755695536401</v>
      </c>
      <c r="E100" s="70"/>
      <c r="F100" s="70"/>
      <c r="G100" s="70"/>
      <c r="H100" s="70"/>
      <c r="I100" s="70"/>
      <c r="J100" s="69"/>
    </row>
    <row r="101" spans="1:10" x14ac:dyDescent="0.25">
      <c r="A101" s="71"/>
      <c r="B101" s="70"/>
      <c r="C101" s="70"/>
      <c r="D101" s="70"/>
      <c r="E101" s="70"/>
      <c r="F101" s="70"/>
      <c r="G101" s="70"/>
      <c r="H101" s="70"/>
      <c r="I101" s="70"/>
      <c r="J101" s="69"/>
    </row>
    <row r="102" spans="1:10" x14ac:dyDescent="0.25">
      <c r="A102" s="68" t="s">
        <v>146</v>
      </c>
      <c r="B102" s="67"/>
      <c r="C102" s="67"/>
      <c r="D102" s="67"/>
      <c r="E102" s="67"/>
      <c r="F102" s="67"/>
      <c r="G102" s="67"/>
      <c r="H102" s="67"/>
      <c r="I102" s="67"/>
      <c r="J102" s="66"/>
    </row>
    <row r="103" spans="1:10" x14ac:dyDescent="0.25">
      <c r="A103" s="71"/>
      <c r="B103" s="70"/>
      <c r="C103" s="70"/>
      <c r="D103" s="70"/>
      <c r="E103" s="70"/>
      <c r="F103" s="70"/>
      <c r="G103" s="70" t="s">
        <v>145</v>
      </c>
      <c r="H103" s="70" t="s">
        <v>104</v>
      </c>
      <c r="I103" s="70">
        <f>C156</f>
        <v>6.94</v>
      </c>
      <c r="J103" s="69">
        <f>I103*8760</f>
        <v>60794.400000000001</v>
      </c>
    </row>
    <row r="104" spans="1:10" x14ac:dyDescent="0.25">
      <c r="A104" s="68"/>
      <c r="B104" s="67"/>
      <c r="C104" s="67"/>
      <c r="D104" s="67"/>
      <c r="E104" s="67"/>
      <c r="F104" s="67"/>
      <c r="G104" s="67"/>
      <c r="H104" s="67" t="s">
        <v>144</v>
      </c>
      <c r="I104" s="67"/>
      <c r="J104" s="66">
        <f>J103/1000</f>
        <v>60.794400000000003</v>
      </c>
    </row>
    <row r="108" spans="1:10" x14ac:dyDescent="0.25">
      <c r="A108" s="8" t="s">
        <v>79</v>
      </c>
      <c r="B108" s="8" t="s">
        <v>143</v>
      </c>
      <c r="C108" s="8">
        <v>8000</v>
      </c>
    </row>
    <row r="110" spans="1:10" x14ac:dyDescent="0.25">
      <c r="A110" s="8" t="s">
        <v>142</v>
      </c>
      <c r="C110" s="8" t="s">
        <v>141</v>
      </c>
      <c r="D110" s="8" t="s">
        <v>140</v>
      </c>
    </row>
    <row r="111" spans="1:10" x14ac:dyDescent="0.25">
      <c r="A111" s="8" t="s">
        <v>139</v>
      </c>
      <c r="B111" s="8" t="s">
        <v>133</v>
      </c>
      <c r="C111" s="8">
        <v>193.3</v>
      </c>
      <c r="D111" s="8">
        <v>256.5</v>
      </c>
    </row>
    <row r="112" spans="1:10" x14ac:dyDescent="0.25">
      <c r="A112" s="8" t="s">
        <v>138</v>
      </c>
      <c r="B112" s="8" t="s">
        <v>133</v>
      </c>
      <c r="C112" s="8">
        <v>74.5</v>
      </c>
      <c r="D112" s="8">
        <v>994.3</v>
      </c>
    </row>
    <row r="113" spans="1:4" x14ac:dyDescent="0.25">
      <c r="A113" s="8" t="s">
        <v>137</v>
      </c>
      <c r="B113" s="8" t="s">
        <v>133</v>
      </c>
      <c r="C113" s="8">
        <v>103.4</v>
      </c>
      <c r="D113" s="8">
        <v>137.19999999999999</v>
      </c>
    </row>
    <row r="114" spans="1:4" x14ac:dyDescent="0.25">
      <c r="A114" s="8" t="s">
        <v>136</v>
      </c>
      <c r="B114" s="8" t="s">
        <v>133</v>
      </c>
      <c r="C114" s="8">
        <v>93.9</v>
      </c>
      <c r="D114" s="8">
        <v>142.4</v>
      </c>
    </row>
    <row r="115" spans="1:4" x14ac:dyDescent="0.25">
      <c r="A115" s="25" t="s">
        <v>135</v>
      </c>
      <c r="B115" s="25" t="s">
        <v>133</v>
      </c>
      <c r="C115" s="25">
        <v>0</v>
      </c>
      <c r="D115" s="25">
        <v>0</v>
      </c>
    </row>
    <row r="116" spans="1:4" x14ac:dyDescent="0.25">
      <c r="A116" s="25" t="s">
        <v>134</v>
      </c>
      <c r="B116" s="25" t="s">
        <v>133</v>
      </c>
      <c r="C116" s="25">
        <f>SUM(C117:C122)</f>
        <v>114.49999999999999</v>
      </c>
      <c r="D116" s="25">
        <f>SUM(D117:D122)</f>
        <v>163.14000000000001</v>
      </c>
    </row>
    <row r="117" spans="1:4" x14ac:dyDescent="0.25">
      <c r="A117" s="65" t="s">
        <v>132</v>
      </c>
      <c r="B117" s="65"/>
      <c r="C117" s="65">
        <v>5.8</v>
      </c>
      <c r="D117" s="65">
        <v>8.3000000000000007</v>
      </c>
    </row>
    <row r="118" spans="1:4" x14ac:dyDescent="0.25">
      <c r="A118" s="64" t="s">
        <v>131</v>
      </c>
      <c r="B118" s="64"/>
      <c r="C118" s="64">
        <v>82.1</v>
      </c>
      <c r="D118" s="64">
        <v>128.6</v>
      </c>
    </row>
    <row r="119" spans="1:4" x14ac:dyDescent="0.25">
      <c r="A119" s="64" t="s">
        <v>130</v>
      </c>
      <c r="B119" s="64"/>
      <c r="C119" s="64"/>
      <c r="D119" s="64"/>
    </row>
    <row r="120" spans="1:4" x14ac:dyDescent="0.25">
      <c r="A120" s="64" t="s">
        <v>101</v>
      </c>
      <c r="B120" s="64"/>
      <c r="C120" s="64">
        <v>9.94</v>
      </c>
      <c r="D120" s="64">
        <v>9.75</v>
      </c>
    </row>
    <row r="121" spans="1:4" x14ac:dyDescent="0.25">
      <c r="A121" s="64" t="s">
        <v>100</v>
      </c>
      <c r="B121" s="64"/>
      <c r="C121" s="64">
        <v>9.7200000000000006</v>
      </c>
      <c r="D121" s="64">
        <v>9.66</v>
      </c>
    </row>
    <row r="122" spans="1:4" x14ac:dyDescent="0.25">
      <c r="A122" s="63" t="s">
        <v>98</v>
      </c>
      <c r="B122" s="63"/>
      <c r="C122" s="63">
        <v>6.94</v>
      </c>
      <c r="D122" s="63">
        <v>6.83</v>
      </c>
    </row>
    <row r="123" spans="1:4" x14ac:dyDescent="0.25">
      <c r="A123" s="25" t="s">
        <v>111</v>
      </c>
      <c r="B123" s="25" t="s">
        <v>129</v>
      </c>
      <c r="C123" s="25">
        <f>SUM(C124:C127)</f>
        <v>59.720000000000006</v>
      </c>
      <c r="D123" s="25">
        <f>SUM(D124:D127)</f>
        <v>67.08</v>
      </c>
    </row>
    <row r="124" spans="1:4" x14ac:dyDescent="0.25">
      <c r="A124" s="64" t="s">
        <v>128</v>
      </c>
      <c r="B124" s="64"/>
      <c r="C124" s="64">
        <v>0.63</v>
      </c>
      <c r="D124" s="64">
        <v>0.83</v>
      </c>
    </row>
    <row r="125" spans="1:4" x14ac:dyDescent="0.25">
      <c r="A125" s="64" t="s">
        <v>127</v>
      </c>
      <c r="B125" s="64"/>
      <c r="C125" s="64">
        <v>59.09</v>
      </c>
      <c r="D125" s="64">
        <v>66.25</v>
      </c>
    </row>
    <row r="126" spans="1:4" x14ac:dyDescent="0.25">
      <c r="A126" s="64"/>
      <c r="B126" s="64"/>
      <c r="C126" s="64"/>
      <c r="D126" s="64"/>
    </row>
    <row r="127" spans="1:4" x14ac:dyDescent="0.25">
      <c r="A127" s="63"/>
      <c r="B127" s="63"/>
      <c r="C127" s="63"/>
      <c r="D127" s="63"/>
    </row>
    <row r="129" spans="1:4" x14ac:dyDescent="0.25">
      <c r="A129" s="62" t="s">
        <v>101</v>
      </c>
      <c r="B129" s="62" t="s">
        <v>126</v>
      </c>
    </row>
    <row r="130" spans="1:4" x14ac:dyDescent="0.25">
      <c r="A130" s="62" t="s">
        <v>100</v>
      </c>
      <c r="B130" s="62" t="s">
        <v>125</v>
      </c>
      <c r="C130" s="8" t="s">
        <v>124</v>
      </c>
    </row>
    <row r="131" spans="1:4" x14ac:dyDescent="0.25">
      <c r="A131" s="62" t="s">
        <v>98</v>
      </c>
      <c r="B131" s="62" t="s">
        <v>123</v>
      </c>
    </row>
    <row r="133" spans="1:4" x14ac:dyDescent="0.25">
      <c r="A133" s="8" t="s">
        <v>122</v>
      </c>
      <c r="B133" s="8" t="s">
        <v>121</v>
      </c>
      <c r="C133" s="8">
        <v>9.1</v>
      </c>
    </row>
    <row r="134" spans="1:4" x14ac:dyDescent="0.25">
      <c r="A134" s="8" t="s">
        <v>119</v>
      </c>
      <c r="B134" s="8" t="s">
        <v>120</v>
      </c>
      <c r="C134" s="61">
        <f>C111/$C$133</f>
        <v>21.241758241758244</v>
      </c>
      <c r="D134" s="61">
        <f>D111/$C$133</f>
        <v>28.186813186813186</v>
      </c>
    </row>
    <row r="135" spans="1:4" x14ac:dyDescent="0.25">
      <c r="A135" s="8" t="s">
        <v>119</v>
      </c>
      <c r="B135" s="8" t="s">
        <v>112</v>
      </c>
      <c r="C135" s="58">
        <f>C134*V199</f>
        <v>2549.0109890109893</v>
      </c>
      <c r="D135" s="61"/>
    </row>
    <row r="136" spans="1:4" x14ac:dyDescent="0.25">
      <c r="A136" s="8" t="s">
        <v>119</v>
      </c>
      <c r="B136" s="8" t="s">
        <v>118</v>
      </c>
      <c r="C136" s="60">
        <f>C134/C151</f>
        <v>1.0804556582786493</v>
      </c>
    </row>
    <row r="138" spans="1:4" x14ac:dyDescent="0.25">
      <c r="A138" s="42" t="s">
        <v>117</v>
      </c>
      <c r="B138" s="42"/>
    </row>
    <row r="139" spans="1:4" x14ac:dyDescent="0.25">
      <c r="A139" s="8">
        <f>C153*C108</f>
        <v>77760</v>
      </c>
      <c r="B139" s="8" t="s">
        <v>104</v>
      </c>
    </row>
    <row r="140" spans="1:4" x14ac:dyDescent="0.25">
      <c r="A140" s="59">
        <f>A139*Q212*0.000001</f>
        <v>3.4152192000000001</v>
      </c>
      <c r="B140" s="8" t="s">
        <v>116</v>
      </c>
    </row>
    <row r="142" spans="1:4" x14ac:dyDescent="0.25">
      <c r="A142" s="8" t="s">
        <v>115</v>
      </c>
    </row>
    <row r="143" spans="1:4" x14ac:dyDescent="0.25">
      <c r="C143" s="8" t="s">
        <v>114</v>
      </c>
    </row>
    <row r="144" spans="1:4" x14ac:dyDescent="0.25">
      <c r="A144" s="10" t="s">
        <v>111</v>
      </c>
      <c r="B144" s="10" t="s">
        <v>113</v>
      </c>
      <c r="C144" s="10">
        <f>C123*1</f>
        <v>59.720000000000006</v>
      </c>
    </row>
    <row r="145" spans="1:3" x14ac:dyDescent="0.25">
      <c r="A145" s="8" t="s">
        <v>111</v>
      </c>
      <c r="B145" s="8" t="s">
        <v>112</v>
      </c>
      <c r="C145" s="8">
        <f>C144*3.6</f>
        <v>214.99200000000002</v>
      </c>
    </row>
    <row r="146" spans="1:3" x14ac:dyDescent="0.25">
      <c r="A146" s="10" t="s">
        <v>111</v>
      </c>
      <c r="B146" s="8" t="s">
        <v>109</v>
      </c>
      <c r="C146" s="59">
        <f>C145/C151</f>
        <v>10.935503560528995</v>
      </c>
    </row>
    <row r="147" spans="1:3" x14ac:dyDescent="0.25">
      <c r="A147" s="10" t="s">
        <v>110</v>
      </c>
      <c r="B147" s="8" t="s">
        <v>109</v>
      </c>
      <c r="C147" s="58">
        <f>C135/C151</f>
        <v>129.6546789934379</v>
      </c>
    </row>
    <row r="148" spans="1:3" x14ac:dyDescent="0.25">
      <c r="A148" s="10" t="s">
        <v>108</v>
      </c>
      <c r="B148" s="8" t="s">
        <v>107</v>
      </c>
      <c r="C148" s="57">
        <f>(C114*0.001)/C151</f>
        <v>4.7761953204476099E-3</v>
      </c>
    </row>
    <row r="149" spans="1:3" x14ac:dyDescent="0.25">
      <c r="A149" s="56"/>
      <c r="B149" s="25"/>
      <c r="C149" s="55"/>
    </row>
    <row r="150" spans="1:3" x14ac:dyDescent="0.25">
      <c r="A150" s="10" t="s">
        <v>102</v>
      </c>
      <c r="B150" s="10"/>
      <c r="C150" s="10" t="s">
        <v>106</v>
      </c>
    </row>
    <row r="151" spans="1:3" x14ac:dyDescent="0.25">
      <c r="A151" s="10" t="s">
        <v>105</v>
      </c>
      <c r="B151" s="10" t="s">
        <v>104</v>
      </c>
      <c r="C151" s="10">
        <f>SUM(C152:C153)</f>
        <v>19.66</v>
      </c>
    </row>
    <row r="152" spans="1:3" x14ac:dyDescent="0.25">
      <c r="A152" s="8" t="s">
        <v>101</v>
      </c>
      <c r="B152" s="8" t="s">
        <v>104</v>
      </c>
      <c r="C152" s="8">
        <v>9.94</v>
      </c>
    </row>
    <row r="153" spans="1:3" x14ac:dyDescent="0.25">
      <c r="A153" s="8" t="s">
        <v>100</v>
      </c>
      <c r="B153" s="8" t="s">
        <v>104</v>
      </c>
      <c r="C153" s="8">
        <v>9.7200000000000006</v>
      </c>
    </row>
    <row r="154" spans="1:3" x14ac:dyDescent="0.25">
      <c r="A154" s="10" t="s">
        <v>99</v>
      </c>
    </row>
    <row r="155" spans="1:3" x14ac:dyDescent="0.25">
      <c r="A155" s="10" t="s">
        <v>105</v>
      </c>
      <c r="B155" s="10" t="s">
        <v>104</v>
      </c>
      <c r="C155" s="10">
        <f>SUM(C156:C157)</f>
        <v>6.94</v>
      </c>
    </row>
    <row r="156" spans="1:3" x14ac:dyDescent="0.25">
      <c r="A156" s="8" t="s">
        <v>98</v>
      </c>
      <c r="B156" s="8" t="s">
        <v>104</v>
      </c>
      <c r="C156" s="8">
        <v>6.94</v>
      </c>
    </row>
    <row r="158" spans="1:3" x14ac:dyDescent="0.25">
      <c r="A158" s="10" t="s">
        <v>103</v>
      </c>
    </row>
    <row r="159" spans="1:3" x14ac:dyDescent="0.25">
      <c r="A159" s="10" t="s">
        <v>102</v>
      </c>
    </row>
    <row r="160" spans="1:3" x14ac:dyDescent="0.25">
      <c r="A160" s="8" t="s">
        <v>101</v>
      </c>
      <c r="C160" s="54">
        <f>C152/$C$151</f>
        <v>0.50559511698880977</v>
      </c>
    </row>
    <row r="161" spans="1:6" x14ac:dyDescent="0.25">
      <c r="A161" s="8" t="s">
        <v>100</v>
      </c>
      <c r="C161" s="54">
        <f>C153/$C$151</f>
        <v>0.49440488301119029</v>
      </c>
    </row>
    <row r="162" spans="1:6" x14ac:dyDescent="0.25">
      <c r="A162" s="10" t="s">
        <v>99</v>
      </c>
      <c r="C162" s="53"/>
    </row>
    <row r="163" spans="1:6" x14ac:dyDescent="0.25">
      <c r="A163" s="8" t="s">
        <v>98</v>
      </c>
      <c r="C163" s="53">
        <f>C156/$C$155</f>
        <v>1</v>
      </c>
    </row>
    <row r="165" spans="1:6" x14ac:dyDescent="0.25">
      <c r="A165" s="48" t="s">
        <v>97</v>
      </c>
      <c r="B165" s="47">
        <f>1/1.2</f>
        <v>0.83333333333333337</v>
      </c>
      <c r="C165" s="8" t="s">
        <v>96</v>
      </c>
    </row>
    <row r="166" spans="1:6" x14ac:dyDescent="0.25">
      <c r="A166" s="48" t="s">
        <v>95</v>
      </c>
      <c r="B166" s="47">
        <v>15.7</v>
      </c>
      <c r="C166" s="52" t="s">
        <v>89</v>
      </c>
    </row>
    <row r="167" spans="1:6" x14ac:dyDescent="0.25">
      <c r="A167" s="47" t="s">
        <v>94</v>
      </c>
      <c r="B167" s="47">
        <v>1.145</v>
      </c>
      <c r="C167" s="8" t="s">
        <v>79</v>
      </c>
    </row>
    <row r="168" spans="1:6" x14ac:dyDescent="0.25">
      <c r="A168" s="47" t="s">
        <v>93</v>
      </c>
      <c r="B168" s="47">
        <v>1.04</v>
      </c>
      <c r="C168" s="8" t="s">
        <v>92</v>
      </c>
      <c r="D168" s="51"/>
      <c r="E168" s="50"/>
    </row>
    <row r="169" spans="1:6" x14ac:dyDescent="0.25">
      <c r="A169" s="49" t="s">
        <v>91</v>
      </c>
      <c r="B169" s="47">
        <v>1.1200000000000001</v>
      </c>
      <c r="C169" s="8" t="s">
        <v>89</v>
      </c>
    </row>
    <row r="170" spans="1:6" x14ac:dyDescent="0.25">
      <c r="A170" s="93" t="s">
        <v>196</v>
      </c>
      <c r="B170" s="47">
        <v>1.1524982174688057</v>
      </c>
      <c r="C170" s="91" t="s">
        <v>195</v>
      </c>
    </row>
    <row r="171" spans="1:6" x14ac:dyDescent="0.25">
      <c r="A171" s="48" t="s">
        <v>90</v>
      </c>
      <c r="B171" s="47">
        <v>15.5</v>
      </c>
      <c r="C171" s="8" t="s">
        <v>89</v>
      </c>
    </row>
    <row r="173" spans="1:6" x14ac:dyDescent="0.25">
      <c r="A173" s="46" t="s">
        <v>88</v>
      </c>
      <c r="B173" s="46">
        <f>C108</f>
        <v>8000</v>
      </c>
      <c r="C173" s="8" t="s">
        <v>79</v>
      </c>
      <c r="D173" s="8" t="s">
        <v>87</v>
      </c>
    </row>
    <row r="174" spans="1:6" x14ac:dyDescent="0.25">
      <c r="A174" s="46">
        <f>8760*3600</f>
        <v>31536000</v>
      </c>
      <c r="B174" s="45" t="s">
        <v>85</v>
      </c>
      <c r="C174" s="8" t="s">
        <v>79</v>
      </c>
      <c r="D174" s="44">
        <f>530*F174</f>
        <v>1060</v>
      </c>
      <c r="E174" s="8" t="s">
        <v>86</v>
      </c>
      <c r="F174" s="8">
        <v>2</v>
      </c>
    </row>
    <row r="175" spans="1:6" x14ac:dyDescent="0.25">
      <c r="A175" s="46">
        <f>A174*B173/8760</f>
        <v>28800000</v>
      </c>
      <c r="B175" s="45" t="s">
        <v>85</v>
      </c>
      <c r="C175" s="8" t="s">
        <v>79</v>
      </c>
      <c r="D175" s="44">
        <f>D174/A175 *1000000</f>
        <v>36.805555555555557</v>
      </c>
      <c r="E175" s="8" t="s">
        <v>84</v>
      </c>
      <c r="F175" s="37"/>
    </row>
    <row r="176" spans="1:6" x14ac:dyDescent="0.25">
      <c r="C176" s="8" t="s">
        <v>79</v>
      </c>
      <c r="D176" s="44">
        <f>D175*B166</f>
        <v>577.84722222222217</v>
      </c>
      <c r="E176" s="8" t="s">
        <v>83</v>
      </c>
    </row>
    <row r="177" spans="1:6" x14ac:dyDescent="0.25">
      <c r="C177" s="8" t="s">
        <v>79</v>
      </c>
      <c r="D177" s="44">
        <f>D176*B165</f>
        <v>481.53935185185185</v>
      </c>
      <c r="E177" s="8" t="s">
        <v>73</v>
      </c>
    </row>
    <row r="179" spans="1:6" x14ac:dyDescent="0.25">
      <c r="C179" s="8" t="s">
        <v>82</v>
      </c>
      <c r="D179" s="43">
        <v>1.4999999999999999E-2</v>
      </c>
      <c r="E179" s="8" t="s">
        <v>81</v>
      </c>
    </row>
    <row r="180" spans="1:6" x14ac:dyDescent="0.25">
      <c r="B180" s="38" t="s">
        <v>79</v>
      </c>
      <c r="D180" s="42">
        <f>D177</f>
        <v>481.53935185185185</v>
      </c>
      <c r="E180" s="37">
        <f>D180 * (1-$D$179)^($F$181-$E$181)</f>
        <v>413.99403993277372</v>
      </c>
      <c r="F180" s="37">
        <f>E180 * (1-$D$179)^($E$181-$D$181)</f>
        <v>355.92327904405289</v>
      </c>
    </row>
    <row r="181" spans="1:6" x14ac:dyDescent="0.25">
      <c r="C181" s="41"/>
      <c r="D181" s="40">
        <v>2020</v>
      </c>
      <c r="E181" s="40">
        <v>2030</v>
      </c>
      <c r="F181" s="39">
        <v>2040</v>
      </c>
    </row>
    <row r="182" spans="1:6" x14ac:dyDescent="0.25">
      <c r="A182" s="37"/>
      <c r="B182" s="38" t="s">
        <v>79</v>
      </c>
      <c r="C182" s="36" t="s">
        <v>80</v>
      </c>
      <c r="D182" s="35">
        <f>D174</f>
        <v>1060</v>
      </c>
      <c r="E182" s="35">
        <f>E180/$D$180*$D$182</f>
        <v>911.31426879469166</v>
      </c>
      <c r="F182" s="35">
        <f>F180/$D$180*$D$182</f>
        <v>783.48461934792783</v>
      </c>
    </row>
    <row r="183" spans="1:6" x14ac:dyDescent="0.25">
      <c r="A183" s="37"/>
      <c r="B183" s="38" t="s">
        <v>79</v>
      </c>
      <c r="C183" s="36" t="s">
        <v>75</v>
      </c>
      <c r="D183" s="35">
        <f>D182*$B$169</f>
        <v>1187.2</v>
      </c>
      <c r="E183" s="35">
        <f>E182*$B$169</f>
        <v>1020.6719810500548</v>
      </c>
      <c r="F183" s="34">
        <f>F182*$B$169</f>
        <v>877.5027736696793</v>
      </c>
    </row>
    <row r="184" spans="1:6" x14ac:dyDescent="0.25">
      <c r="A184" s="37"/>
      <c r="B184" s="33" t="s">
        <v>78</v>
      </c>
      <c r="C184" s="36" t="s">
        <v>75</v>
      </c>
      <c r="D184" s="35">
        <f>D185*$B$168</f>
        <v>925.6</v>
      </c>
      <c r="E184" s="35">
        <f>E185*$B$168</f>
        <v>790.4</v>
      </c>
      <c r="F184" s="34">
        <f>F185*$B$168</f>
        <v>587.6</v>
      </c>
    </row>
    <row r="185" spans="1:6" x14ac:dyDescent="0.25">
      <c r="B185" s="33" t="s">
        <v>78</v>
      </c>
      <c r="C185" s="32" t="s">
        <v>77</v>
      </c>
      <c r="D185" s="31">
        <v>890</v>
      </c>
      <c r="E185" s="31">
        <v>760</v>
      </c>
      <c r="F185" s="30">
        <v>565</v>
      </c>
    </row>
    <row r="186" spans="1:6" x14ac:dyDescent="0.25">
      <c r="B186" s="10" t="s">
        <v>76</v>
      </c>
      <c r="C186" s="27" t="s">
        <v>75</v>
      </c>
      <c r="D186" s="29">
        <f>AVERAGE(D183:D184)</f>
        <v>1056.4000000000001</v>
      </c>
      <c r="E186" s="29">
        <f>AVERAGE(E183:E184)</f>
        <v>905.53599052502739</v>
      </c>
      <c r="F186" s="28">
        <f>AVERAGE(F183:F184)</f>
        <v>732.5513868348396</v>
      </c>
    </row>
    <row r="187" spans="1:6" x14ac:dyDescent="0.25">
      <c r="B187" s="8" t="s">
        <v>74</v>
      </c>
      <c r="C187" s="27" t="s">
        <v>73</v>
      </c>
      <c r="D187" s="26">
        <f>D186/$A$175 *1000000 *($B$171*$B$170)</f>
        <v>655.25126084992087</v>
      </c>
      <c r="E187" s="26">
        <f>E186/$A$175 *1000000 *($B$171*$B$170)</f>
        <v>561.67512262069863</v>
      </c>
      <c r="F187" s="26">
        <f>F186/$A$175 *1000000 *($B$171*$B$170)</f>
        <v>454.37828460894235</v>
      </c>
    </row>
    <row r="195" spans="3:22" x14ac:dyDescent="0.25">
      <c r="C195" s="25">
        <f>SUM(C196:C199)</f>
        <v>39.935850000000002</v>
      </c>
      <c r="D195" s="8" t="s">
        <v>72</v>
      </c>
      <c r="E195" s="25"/>
    </row>
    <row r="196" spans="3:22" x14ac:dyDescent="0.25">
      <c r="C196" s="8">
        <f>D196</f>
        <v>1.97</v>
      </c>
      <c r="D196" s="8">
        <v>1.97</v>
      </c>
      <c r="E196" s="8" t="s">
        <v>71</v>
      </c>
    </row>
    <row r="197" spans="3:22" x14ac:dyDescent="0.25">
      <c r="C197" s="8">
        <f>D197</f>
        <v>0.49</v>
      </c>
      <c r="D197" s="8">
        <v>0.49</v>
      </c>
      <c r="E197" s="8" t="s">
        <v>71</v>
      </c>
    </row>
    <row r="198" spans="3:22" x14ac:dyDescent="0.25">
      <c r="C198" s="8">
        <f>D198*$B$167</f>
        <v>0.83584999999999998</v>
      </c>
      <c r="D198" s="8">
        <v>0.73</v>
      </c>
      <c r="E198" s="8" t="s">
        <v>70</v>
      </c>
    </row>
    <row r="199" spans="3:22" x14ac:dyDescent="0.25">
      <c r="C199" s="8">
        <f>D199*$B$167</f>
        <v>36.64</v>
      </c>
      <c r="D199" s="8">
        <v>32</v>
      </c>
      <c r="E199" s="8" t="s">
        <v>70</v>
      </c>
      <c r="T199" s="24" t="s">
        <v>69</v>
      </c>
      <c r="U199" s="24" t="s">
        <v>66</v>
      </c>
      <c r="V199" s="24">
        <f>V201</f>
        <v>120</v>
      </c>
    </row>
    <row r="200" spans="3:22" x14ac:dyDescent="0.25">
      <c r="T200" s="23" t="s">
        <v>68</v>
      </c>
      <c r="U200" s="23" t="s">
        <v>66</v>
      </c>
      <c r="V200" s="23">
        <v>140</v>
      </c>
    </row>
    <row r="201" spans="3:22" x14ac:dyDescent="0.25">
      <c r="T201" s="23" t="s">
        <v>67</v>
      </c>
      <c r="U201" s="23" t="s">
        <v>66</v>
      </c>
      <c r="V201" s="23">
        <v>120</v>
      </c>
    </row>
    <row r="203" spans="3:22" x14ac:dyDescent="0.25">
      <c r="M203" s="10" t="s">
        <v>65</v>
      </c>
    </row>
    <row r="205" spans="3:22" ht="75" x14ac:dyDescent="0.25">
      <c r="M205" s="19" t="s">
        <v>64</v>
      </c>
      <c r="N205" s="22" t="s">
        <v>63</v>
      </c>
      <c r="O205" s="19" t="s">
        <v>62</v>
      </c>
      <c r="P205" s="22" t="s">
        <v>61</v>
      </c>
      <c r="Q205" s="21" t="s">
        <v>60</v>
      </c>
      <c r="R205" s="20" t="s">
        <v>59</v>
      </c>
      <c r="T205" s="11"/>
    </row>
    <row r="206" spans="3:22" x14ac:dyDescent="0.25">
      <c r="M206" s="19" t="s">
        <v>58</v>
      </c>
      <c r="N206" s="16">
        <v>366.3</v>
      </c>
      <c r="O206" s="18">
        <v>2730</v>
      </c>
      <c r="P206" s="13">
        <v>51.9</v>
      </c>
      <c r="Q206" s="14">
        <v>47.51</v>
      </c>
      <c r="R206" s="13">
        <f t="shared" ref="R206:R217" si="2">Q206/O206*1000</f>
        <v>17.402930402930401</v>
      </c>
      <c r="T206" s="11"/>
    </row>
    <row r="207" spans="3:22" x14ac:dyDescent="0.25">
      <c r="M207" s="19" t="s">
        <v>57</v>
      </c>
      <c r="N207" s="16">
        <v>507.6</v>
      </c>
      <c r="O207" s="18">
        <v>1970</v>
      </c>
      <c r="P207" s="13">
        <v>50.32</v>
      </c>
      <c r="Q207" s="14">
        <v>46.33</v>
      </c>
      <c r="R207" s="13">
        <f t="shared" si="2"/>
        <v>23.517766497461928</v>
      </c>
      <c r="T207" s="11"/>
    </row>
    <row r="208" spans="3:22" x14ac:dyDescent="0.25">
      <c r="M208" s="19" t="s">
        <v>56</v>
      </c>
      <c r="N208" s="16">
        <v>572.70000000000005</v>
      </c>
      <c r="O208" s="18">
        <v>1746</v>
      </c>
      <c r="P208" s="13">
        <v>49.51</v>
      </c>
      <c r="Q208" s="14">
        <v>45.72</v>
      </c>
      <c r="R208" s="13">
        <f t="shared" si="2"/>
        <v>26.185567010309278</v>
      </c>
    </row>
    <row r="209" spans="13:20" x14ac:dyDescent="0.25">
      <c r="M209" s="19" t="s">
        <v>55</v>
      </c>
      <c r="N209" s="16">
        <v>522.20000000000005</v>
      </c>
      <c r="O209" s="18">
        <v>1915</v>
      </c>
      <c r="P209" s="13">
        <v>50.08</v>
      </c>
      <c r="Q209" s="14">
        <v>46.15</v>
      </c>
      <c r="R209" s="13">
        <f t="shared" si="2"/>
        <v>24.099216710182766</v>
      </c>
    </row>
    <row r="210" spans="13:20" x14ac:dyDescent="0.25">
      <c r="M210" s="19" t="s">
        <v>54</v>
      </c>
      <c r="N210" s="16">
        <v>690.6</v>
      </c>
      <c r="O210" s="18">
        <v>1448</v>
      </c>
      <c r="P210" s="13">
        <v>47.73</v>
      </c>
      <c r="Q210" s="14">
        <v>45.34</v>
      </c>
      <c r="R210" s="13">
        <f t="shared" si="2"/>
        <v>31.312154696132598</v>
      </c>
    </row>
    <row r="211" spans="13:20" ht="30" x14ac:dyDescent="0.25">
      <c r="M211" s="19" t="s">
        <v>53</v>
      </c>
      <c r="N211" s="16">
        <v>716.8</v>
      </c>
      <c r="O211" s="18">
        <v>1395</v>
      </c>
      <c r="P211" s="13">
        <v>47.4</v>
      </c>
      <c r="Q211" s="14">
        <v>45.03</v>
      </c>
      <c r="R211" s="13">
        <f t="shared" si="2"/>
        <v>32.27956989247312</v>
      </c>
    </row>
    <row r="212" spans="13:20" ht="45" x14ac:dyDescent="0.25">
      <c r="M212" s="19" t="s">
        <v>52</v>
      </c>
      <c r="N212" s="16">
        <v>802.6</v>
      </c>
      <c r="O212" s="18">
        <v>1246</v>
      </c>
      <c r="P212" s="13">
        <v>46.23</v>
      </c>
      <c r="Q212" s="14">
        <v>43.92</v>
      </c>
      <c r="R212" s="13">
        <f t="shared" si="2"/>
        <v>35.24879614767255</v>
      </c>
    </row>
    <row r="213" spans="13:20" ht="45" x14ac:dyDescent="0.25">
      <c r="M213" s="19" t="s">
        <v>51</v>
      </c>
      <c r="N213" s="16">
        <v>740.7</v>
      </c>
      <c r="O213" s="18">
        <v>1350</v>
      </c>
      <c r="P213" s="13">
        <v>47.1</v>
      </c>
      <c r="Q213" s="14">
        <v>44.75</v>
      </c>
      <c r="R213" s="13">
        <f t="shared" si="2"/>
        <v>33.148148148148152</v>
      </c>
    </row>
    <row r="214" spans="13:20" ht="30" x14ac:dyDescent="0.25">
      <c r="M214" s="19" t="s">
        <v>50</v>
      </c>
      <c r="N214" s="16">
        <v>802.6</v>
      </c>
      <c r="O214" s="18">
        <v>1246</v>
      </c>
      <c r="P214" s="13">
        <v>46.23</v>
      </c>
      <c r="Q214" s="14">
        <v>43.92</v>
      </c>
      <c r="R214" s="13">
        <f t="shared" si="2"/>
        <v>35.24879614767255</v>
      </c>
    </row>
    <row r="215" spans="13:20" ht="30" x14ac:dyDescent="0.25">
      <c r="M215" s="19" t="s">
        <v>49</v>
      </c>
      <c r="N215" s="16">
        <v>843.9</v>
      </c>
      <c r="O215" s="18">
        <v>1185</v>
      </c>
      <c r="P215" s="13">
        <v>45.66</v>
      </c>
      <c r="Q215" s="14">
        <v>43.38</v>
      </c>
      <c r="R215" s="13">
        <f t="shared" si="2"/>
        <v>36.607594936708864</v>
      </c>
    </row>
    <row r="216" spans="13:20" ht="45" x14ac:dyDescent="0.25">
      <c r="M216" s="19" t="s">
        <v>48</v>
      </c>
      <c r="N216" s="16">
        <v>925.1</v>
      </c>
      <c r="O216" s="18">
        <v>1081</v>
      </c>
      <c r="P216" s="13">
        <v>44.4</v>
      </c>
      <c r="Q216" s="14">
        <v>42.18</v>
      </c>
      <c r="R216" s="13">
        <f t="shared" si="2"/>
        <v>39.01942645698427</v>
      </c>
    </row>
    <row r="217" spans="13:20" ht="45" x14ac:dyDescent="0.25">
      <c r="M217" s="19" t="s">
        <v>47</v>
      </c>
      <c r="N217" s="16">
        <v>963.4</v>
      </c>
      <c r="O217" s="18">
        <v>1038</v>
      </c>
      <c r="P217" s="13">
        <v>43.76</v>
      </c>
      <c r="Q217" s="14">
        <v>41.57</v>
      </c>
      <c r="R217" s="13">
        <f t="shared" si="2"/>
        <v>40.048169556840072</v>
      </c>
    </row>
    <row r="218" spans="13:20" x14ac:dyDescent="0.25">
      <c r="M218" s="17" t="s">
        <v>46</v>
      </c>
      <c r="N218" s="16"/>
      <c r="O218" s="18">
        <f>1000/0.789</f>
        <v>1267.4271229404308</v>
      </c>
      <c r="P218" s="13"/>
      <c r="Q218" s="14"/>
      <c r="R218" s="13">
        <v>23.399999869999998</v>
      </c>
      <c r="S218" s="11"/>
      <c r="T218" s="11"/>
    </row>
    <row r="219" spans="13:20" x14ac:dyDescent="0.25">
      <c r="M219" s="17" t="s">
        <v>45</v>
      </c>
      <c r="N219" s="16"/>
      <c r="O219" s="15"/>
      <c r="P219" s="13"/>
      <c r="Q219" s="14"/>
      <c r="R219" s="13">
        <v>23.000259429209784</v>
      </c>
      <c r="S219" s="11"/>
      <c r="T219" s="11"/>
    </row>
    <row r="220" spans="13:20" x14ac:dyDescent="0.25">
      <c r="M220" s="11"/>
      <c r="N220" s="12" t="s">
        <v>44</v>
      </c>
      <c r="O220" s="12"/>
      <c r="P220" s="12"/>
      <c r="Q220" s="12"/>
      <c r="R220" s="12"/>
      <c r="S220" s="11"/>
      <c r="T220" s="11"/>
    </row>
    <row r="221" spans="13:20" x14ac:dyDescent="0.25">
      <c r="M221" s="11"/>
      <c r="N221" s="8" t="s">
        <v>43</v>
      </c>
      <c r="S221" s="12"/>
    </row>
    <row r="222" spans="13:20" x14ac:dyDescent="0.25">
      <c r="M222" s="11"/>
      <c r="N222" s="8" t="s">
        <v>42</v>
      </c>
    </row>
    <row r="234" spans="1:1" x14ac:dyDescent="0.25">
      <c r="A234" s="10" t="s">
        <v>41</v>
      </c>
    </row>
    <row r="235" spans="1:1" x14ac:dyDescent="0.25">
      <c r="A235" s="8" t="s">
        <v>40</v>
      </c>
    </row>
    <row r="236" spans="1:1" x14ac:dyDescent="0.25">
      <c r="A236" s="8" t="s">
        <v>39</v>
      </c>
    </row>
    <row r="237" spans="1:1" x14ac:dyDescent="0.25">
      <c r="A237" s="8" t="s">
        <v>38</v>
      </c>
    </row>
    <row r="238" spans="1:1" x14ac:dyDescent="0.25">
      <c r="A238" s="9" t="s">
        <v>37</v>
      </c>
    </row>
  </sheetData>
  <dataConsolidate/>
  <phoneticPr fontId="22" type="noConversion"/>
  <hyperlinks>
    <hyperlink ref="C166" r:id="rId1" xr:uid="{B424D5C3-81C4-4196-AE0F-E513B10172B8}"/>
  </hyperlinks>
  <pageMargins left="0.7" right="0.7" top="0.75" bottom="0.75" header="0.3" footer="0.3"/>
  <pageSetup paperSize="9" orientation="portrait" verticalDpi="0" r:id="rId2"/>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Aviation Synfuel</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Bryce Mc Call</cp:lastModifiedBy>
  <dcterms:created xsi:type="dcterms:W3CDTF">2005-06-03T09:41:13Z</dcterms:created>
  <dcterms:modified xsi:type="dcterms:W3CDTF">2023-10-04T15:07:53Z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116207301616668</vt:r8>
  </property>
</Properties>
</file>