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omments1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12.xml" ContentType="application/vnd.openxmlformats-officedocument.spreadsheetml.comments+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drawings/drawing12.xml" ContentType="application/vnd.openxmlformats-officedocument.drawing+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7BF333DA-15BD-491F-AD8F-CA9D860CAD6C}" xr6:coauthVersionLast="47" xr6:coauthVersionMax="47" xr10:uidLastSave="{00000000-0000-0000-0000-000000000000}"/>
  <bookViews>
    <workbookView xWindow="-120" yWindow="-120" windowWidth="20730" windowHeight="11160" firstSheet="9" activeTab="10" xr2:uid="{41A69D62-E330-44FA-BBDD-ADAE802C69AB}"/>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Vehicle eff data 2023" sheetId="8" r:id="rId10"/>
    <sheet name="CostProjections" sheetId="21" r:id="rId11"/>
    <sheet name="IEACostData_passengervehs" sheetId="24" r:id="rId12"/>
    <sheet name="IEAWEO2023 cost data" sheetId="23" r:id="rId13"/>
    <sheet name="NREL_HCVs" sheetId="25" r:id="rId14"/>
    <sheet name="NREL_LCVs" sheetId="26" r:id="rId15"/>
    <sheet name="AEA2012_ZAR2022" sheetId="6" r:id="rId16"/>
    <sheet name="Vehicle data " sheetId="7" r:id="rId17"/>
    <sheet name="AEA2012 summary" sheetId="17" r:id="rId18"/>
    <sheet name="FuelCell" sheetId="9" r:id="rId19"/>
    <sheet name="Vehicle data-NDC2020" sheetId="20" r:id="rId20"/>
    <sheet name="old_guy_stuff" sheetId="22" r:id="rId21"/>
    <sheet name="Calib_old" sheetId="3" r:id="rId22"/>
  </sheets>
  <externalReferences>
    <externalReference r:id="rId23"/>
    <externalReference r:id="rId2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0" hidden="1">CostProjections!$A$8:$AF$91</definedName>
    <definedName name="base.year">[1]NT_TRP!$A$2</definedName>
    <definedName name="ComTechs">TRP!$B$115</definedName>
    <definedName name="cv.diesel.hhv.MJL">[1]Units.CV!$C$9</definedName>
    <definedName name="cv.diesel.lhv.MJL">#REF!</definedName>
    <definedName name="CV.LHV.E85">#REF!</definedName>
    <definedName name="cv.petrol.hhv.MJL">[1]Units.CV!$C$13</definedName>
    <definedName name="CVV_DIESEL">#REF!</definedName>
    <definedName name="CVV_Petrol">#REF!</definedName>
    <definedName name="DieselLHV">[1]Units.CV!$F$46</definedName>
    <definedName name="EB.year">#REF!</definedName>
    <definedName name="emissions_data">#REF!</definedName>
    <definedName name="emissions_data_parameters">#REF!</definedName>
    <definedName name="emissions_start">#REF!</definedName>
    <definedName name="emissions_types">#REF!</definedName>
    <definedName name="eMode">[1]Scenarios!$B$21</definedName>
    <definedName name="eps">#REF!</definedName>
    <definedName name="ERC.Efficiency">[1]Scenarios!$B$16</definedName>
    <definedName name="EV.Battery">[1]Scenarios!$B$28</definedName>
    <definedName name="flagPenetrationOnly">[1]Scenarios!$B$3</definedName>
    <definedName name="fuel_types">#REF!</definedName>
    <definedName name="FuelNames">#REF!</definedName>
    <definedName name="GasolineLHV">#REF!</definedName>
    <definedName name="NTECH_ROW1">NT_TRP!$B$18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#REF!</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#REF!</definedName>
    <definedName name="solver_adj" localSheetId="5" hidden="1">Calib_2017!$H$96,Calib_2017!$K$118,Calib_2017!$J$87,Calib_2017!$H$102,Calib_2017!$H$101,Calib_2017!$H$104:$J$104,Calib_2017!$H$113:$K$113</definedName>
    <definedName name="solver_adj" localSheetId="21" hidden="1">Calib_old!$H$96,Calib_old!$K$118,Calib_old!$J$87,Calib_old!$H$102,Calib_old!$H$101,Calib_old!$H$104:$J$104,Calib_old!$H$113:$K$113</definedName>
    <definedName name="solver_cvg" localSheetId="5" hidden="1">0.0001</definedName>
    <definedName name="solver_cvg" localSheetId="21" hidden="1">0.0001</definedName>
    <definedName name="solver_drv" localSheetId="5" hidden="1">1</definedName>
    <definedName name="solver_drv" localSheetId="21" hidden="1">1</definedName>
    <definedName name="solver_eng" localSheetId="5" hidden="1">1</definedName>
    <definedName name="solver_eng" localSheetId="21" hidden="1">1</definedName>
    <definedName name="solver_est" localSheetId="5" hidden="1">1</definedName>
    <definedName name="solver_est" localSheetId="21" hidden="1">1</definedName>
    <definedName name="solver_itr" localSheetId="5" hidden="1">100</definedName>
    <definedName name="solver_itr" localSheetId="21" hidden="1">100</definedName>
    <definedName name="solver_lin" localSheetId="5" hidden="1">2</definedName>
    <definedName name="solver_lin" localSheetId="21" hidden="1">2</definedName>
    <definedName name="solver_mip" localSheetId="5" hidden="1">2147483647</definedName>
    <definedName name="solver_mip" localSheetId="21" hidden="1">2147483647</definedName>
    <definedName name="solver_mni" localSheetId="5" hidden="1">30</definedName>
    <definedName name="solver_mni" localSheetId="21" hidden="1">30</definedName>
    <definedName name="solver_mrt" localSheetId="5" hidden="1">0.075</definedName>
    <definedName name="solver_mrt" localSheetId="21" hidden="1">0.075</definedName>
    <definedName name="solver_msl" localSheetId="5" hidden="1">2</definedName>
    <definedName name="solver_msl" localSheetId="21" hidden="1">2</definedName>
    <definedName name="solver_neg" localSheetId="5" hidden="1">2</definedName>
    <definedName name="solver_neg" localSheetId="21" hidden="1">2</definedName>
    <definedName name="solver_nod" localSheetId="5" hidden="1">2147483647</definedName>
    <definedName name="solver_nod" localSheetId="21" hidden="1">2147483647</definedName>
    <definedName name="solver_num" localSheetId="5" hidden="1">0</definedName>
    <definedName name="solver_num" localSheetId="21" hidden="1">0</definedName>
    <definedName name="solver_nwt" localSheetId="5" hidden="1">1</definedName>
    <definedName name="solver_nwt" localSheetId="21" hidden="1">1</definedName>
    <definedName name="solver_opt" localSheetId="5" hidden="1">Calib_2017!$N$120</definedName>
    <definedName name="solver_opt" localSheetId="21" hidden="1">Calib_old!$N$120</definedName>
    <definedName name="solver_pre" localSheetId="5" hidden="1">0.000001</definedName>
    <definedName name="solver_pre" localSheetId="21" hidden="1">0.000001</definedName>
    <definedName name="solver_rbv" localSheetId="5" hidden="1">1</definedName>
    <definedName name="solver_rbv" localSheetId="21" hidden="1">1</definedName>
    <definedName name="solver_rlx" localSheetId="5" hidden="1">1</definedName>
    <definedName name="solver_rlx" localSheetId="21" hidden="1">1</definedName>
    <definedName name="solver_rsd" localSheetId="5" hidden="1">0</definedName>
    <definedName name="solver_rsd" localSheetId="21" hidden="1">0</definedName>
    <definedName name="solver_scl" localSheetId="5" hidden="1">2</definedName>
    <definedName name="solver_scl" localSheetId="21" hidden="1">2</definedName>
    <definedName name="solver_sho" localSheetId="5" hidden="1">2</definedName>
    <definedName name="solver_sho" localSheetId="21" hidden="1">2</definedName>
    <definedName name="solver_ssz" localSheetId="5" hidden="1">100</definedName>
    <definedName name="solver_ssz" localSheetId="21" hidden="1">100</definedName>
    <definedName name="solver_tim" localSheetId="5" hidden="1">100</definedName>
    <definedName name="solver_tim" localSheetId="21" hidden="1">100</definedName>
    <definedName name="solver_tol" localSheetId="5" hidden="1">0.05</definedName>
    <definedName name="solver_tol" localSheetId="21" hidden="1">0.05</definedName>
    <definedName name="solver_typ" localSheetId="5" hidden="1">2</definedName>
    <definedName name="solver_typ" localSheetId="21" hidden="1">2</definedName>
    <definedName name="solver_val" localSheetId="5" hidden="1">0</definedName>
    <definedName name="solver_val" localSheetId="21" hidden="1">0</definedName>
    <definedName name="solver_ver" localSheetId="5" hidden="1">3</definedName>
    <definedName name="solver_ver" localSheetId="21" hidden="1">3</definedName>
    <definedName name="TRA.freight.capex">[1]Scenarios!$B$18</definedName>
    <definedName name="XLSIMSIM" localSheetId="17" hidden="1">{"Sim",3,"Output 1","'Reworked data'!$AI$84","Output 2","'Reworked data'!$AJ$84","Output 3","'Reworked data'!$AK$84","1","2","100","0"}</definedName>
    <definedName name="XLSIMSIM" localSheetId="15" hidden="1">{"Sim",3,"Output 1","'Reworked data'!$AI$84","Output 2","'Reworked data'!$AJ$84","Output 3","'Reworked data'!$AK$84","1","2","100","0"}</definedName>
    <definedName name="XLSIMSIM" localSheetId="18" hidden="1">{"Sim",3,"Output 1","'Reworked data'!$AI$84","Output 2","'Reworked data'!$AJ$84","Output 3","'Reworked data'!$AK$84","1","2","100","0"}</definedName>
    <definedName name="XLSIMSIM" hidden="1">{"Sim",3,"Output 1","'Reworked data'!$AI$84","Output 2","'Reworked data'!$AJ$84","Output 3","'Reworked data'!$AK$84","1","2","100","0"}</definedName>
    <definedName name="xvalues">NREL_LCVs!$X$9:$AC$9</definedName>
    <definedName name="zar.2010">#REF!</definedName>
    <definedName name="zar.2012">#REF!</definedName>
    <definedName name="zar.2015">#REF!</definedName>
    <definedName name="zar.base">#REF!</definedName>
  </definedNames>
  <calcPr calcId="191029"/>
  <pivotCaches>
    <pivotCache cacheId="6" r:id="rId25"/>
    <pivotCache cacheId="7" r:id="rId2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1" i="21" l="1"/>
  <c r="V51" i="21"/>
  <c r="U51" i="21"/>
  <c r="T51" i="21"/>
  <c r="S51" i="21"/>
  <c r="R51" i="21"/>
  <c r="Q51" i="21"/>
  <c r="X50" i="21"/>
  <c r="S50" i="21" a="1"/>
  <c r="S50" i="21" s="1"/>
  <c r="R50" i="21" a="1"/>
  <c r="R50" i="21" s="1"/>
  <c r="Q50" i="21" a="1"/>
  <c r="Q50" i="21" s="1"/>
  <c r="X49" i="21"/>
  <c r="Q49" i="21" a="1"/>
  <c r="Q49" i="21" s="1"/>
  <c r="X48" i="21"/>
  <c r="S48" i="21" a="1"/>
  <c r="S48" i="21" s="1"/>
  <c r="R48" i="21" a="1"/>
  <c r="R48" i="21" s="1"/>
  <c r="Q48" i="21" a="1"/>
  <c r="Q48" i="21" s="1"/>
  <c r="R102" i="6"/>
  <c r="Q102" i="6"/>
  <c r="P102" i="6"/>
  <c r="O102" i="6"/>
  <c r="N102" i="6"/>
  <c r="M102" i="6"/>
  <c r="L102" i="6"/>
  <c r="U52" i="21"/>
  <c r="T52" i="21"/>
  <c r="S52" i="21"/>
  <c r="R52" i="21"/>
  <c r="Q52" i="21"/>
  <c r="V52" i="21"/>
  <c r="W52" i="21"/>
  <c r="V24" i="26"/>
  <c r="U24" i="26"/>
  <c r="T24" i="26"/>
  <c r="S24" i="26"/>
  <c r="R24" i="26"/>
  <c r="Q24" i="26"/>
  <c r="P24" i="26"/>
  <c r="W78" i="21" a="1"/>
  <c r="W78" i="21" s="1"/>
  <c r="V78" i="21" a="1"/>
  <c r="V78" i="21" s="1"/>
  <c r="U78" i="21" a="1"/>
  <c r="U78" i="21" s="1"/>
  <c r="T78" i="21" a="1"/>
  <c r="T78" i="21" s="1"/>
  <c r="S78" i="21" a="1"/>
  <c r="S78" i="21" s="1"/>
  <c r="R78" i="21" a="1"/>
  <c r="R78" i="21" s="1"/>
  <c r="Q78" i="21" a="1"/>
  <c r="Q78" i="21" s="1"/>
  <c r="W77" i="21" a="1"/>
  <c r="W77" i="21" s="1"/>
  <c r="V77" i="21" a="1"/>
  <c r="V77" i="21" s="1"/>
  <c r="U77" i="21" a="1"/>
  <c r="U77" i="21" s="1"/>
  <c r="T77" i="21" a="1"/>
  <c r="T77" i="21" s="1"/>
  <c r="S77" i="21" a="1"/>
  <c r="S77" i="21" s="1"/>
  <c r="R77" i="21" a="1"/>
  <c r="R77" i="21" s="1"/>
  <c r="Q77" i="21" a="1"/>
  <c r="Q77" i="21" s="1"/>
  <c r="W76" i="21" a="1"/>
  <c r="W76" i="21" s="1"/>
  <c r="W79" i="21" s="1"/>
  <c r="V76" i="21" a="1"/>
  <c r="V76" i="21" s="1"/>
  <c r="V79" i="21" s="1"/>
  <c r="U76" i="21" a="1"/>
  <c r="U76" i="21" s="1"/>
  <c r="U79" i="21" s="1"/>
  <c r="T76" i="21" a="1"/>
  <c r="T76" i="21" s="1"/>
  <c r="T79" i="21" s="1"/>
  <c r="S76" i="21" a="1"/>
  <c r="S76" i="21" s="1"/>
  <c r="S79" i="21" s="1"/>
  <c r="R76" i="21" a="1"/>
  <c r="R76" i="21" s="1"/>
  <c r="R79" i="21" s="1"/>
  <c r="Q76" i="21" a="1"/>
  <c r="Q76" i="21" s="1"/>
  <c r="Q79" i="21" s="1"/>
  <c r="U22" i="25"/>
  <c r="U21" i="25"/>
  <c r="U19" i="25"/>
  <c r="U17" i="25"/>
  <c r="U16" i="25"/>
  <c r="U14" i="25"/>
  <c r="U12" i="25"/>
  <c r="U11" i="25"/>
  <c r="U9" i="25"/>
  <c r="W48" i="21" l="1"/>
  <c r="V48" i="21"/>
  <c r="U48" i="21"/>
  <c r="T48" i="21"/>
  <c r="W49" i="21"/>
  <c r="V49" i="21"/>
  <c r="U49" i="21"/>
  <c r="T49" i="21"/>
  <c r="S49" i="21"/>
  <c r="R49" i="21"/>
  <c r="W50" i="21"/>
  <c r="V50" i="21"/>
  <c r="U50" i="21"/>
  <c r="T50" i="21"/>
  <c r="T22" i="25"/>
  <c r="T21" i="25"/>
  <c r="T19" i="25"/>
  <c r="T17" i="25"/>
  <c r="T16" i="25"/>
  <c r="T14" i="25"/>
  <c r="T12" i="25"/>
  <c r="T11" i="25"/>
  <c r="T9" i="25"/>
  <c r="S22" i="25"/>
  <c r="S21" i="25"/>
  <c r="S19" i="25"/>
  <c r="S17" i="25"/>
  <c r="S16" i="25"/>
  <c r="S14" i="25"/>
  <c r="S12" i="25"/>
  <c r="S11" i="25"/>
  <c r="S9" i="25"/>
  <c r="R22" i="25"/>
  <c r="R21" i="25"/>
  <c r="R19" i="25"/>
  <c r="R17" i="25"/>
  <c r="R16" i="25"/>
  <c r="R14" i="25"/>
  <c r="R12" i="25"/>
  <c r="R11" i="25"/>
  <c r="R9" i="25"/>
  <c r="Q22" i="25"/>
  <c r="Q21" i="25"/>
  <c r="Q19" i="25"/>
  <c r="Q17" i="25"/>
  <c r="Q16" i="25"/>
  <c r="Q14" i="25"/>
  <c r="Q12" i="25"/>
  <c r="Q11" i="25"/>
  <c r="Q9" i="25"/>
  <c r="P22" i="25"/>
  <c r="P21" i="25"/>
  <c r="P19" i="25"/>
  <c r="P17" i="25"/>
  <c r="P16" i="25"/>
  <c r="P14" i="25"/>
  <c r="P12" i="25"/>
  <c r="P11" i="25"/>
  <c r="P9" i="25"/>
  <c r="O22" i="25"/>
  <c r="O21" i="25"/>
  <c r="O19" i="25"/>
  <c r="O17" i="25"/>
  <c r="O16" i="25"/>
  <c r="O14" i="25"/>
  <c r="O12" i="25"/>
  <c r="O11" i="25"/>
  <c r="O9" i="25"/>
  <c r="S10" i="25"/>
  <c r="W54" i="21"/>
  <c r="V54" i="21"/>
  <c r="U54" i="21"/>
  <c r="T54" i="21"/>
  <c r="S54" i="21"/>
  <c r="R54" i="21"/>
  <c r="Q54" i="21"/>
  <c r="W33" i="21"/>
  <c r="V33" i="21"/>
  <c r="U33" i="21"/>
  <c r="T33" i="21"/>
  <c r="S33" i="21"/>
  <c r="R33" i="21"/>
  <c r="Q33" i="21"/>
  <c r="W32" i="21"/>
  <c r="V32" i="21"/>
  <c r="U32" i="21"/>
  <c r="T32" i="21"/>
  <c r="S32" i="21"/>
  <c r="R32" i="21"/>
  <c r="Q32" i="21"/>
  <c r="Q31" i="21"/>
  <c r="F20" i="24"/>
  <c r="Q16" i="21"/>
  <c r="F19" i="24"/>
  <c r="D20" i="24"/>
  <c r="D19" i="24"/>
  <c r="B19" i="24"/>
  <c r="L9" i="24"/>
  <c r="M9" i="24"/>
  <c r="N9" i="24"/>
  <c r="O9" i="24"/>
  <c r="P9" i="24"/>
  <c r="L10" i="24"/>
  <c r="M10" i="24"/>
  <c r="N10" i="24"/>
  <c r="O10" i="24"/>
  <c r="P10" i="24"/>
  <c r="R25" i="21"/>
  <c r="X14" i="26" a="1"/>
  <c r="X14" i="26"/>
  <c r="Y14" i="26"/>
  <c r="Z14" i="26"/>
  <c r="AC11" i="26"/>
  <c r="AB11" i="26"/>
  <c r="AA11" i="26"/>
  <c r="Z11" i="26"/>
  <c r="Y11" i="26"/>
  <c r="X11" i="26"/>
  <c r="AC10" i="26"/>
  <c r="AB10" i="26"/>
  <c r="AA10" i="26"/>
  <c r="Z10" i="26"/>
  <c r="Y10" i="26"/>
  <c r="X10" i="26"/>
  <c r="X15" i="7" a="1"/>
  <c r="X15" i="7"/>
  <c r="Y15" i="7"/>
  <c r="Z15" i="7"/>
  <c r="R73" i="21" a="1"/>
  <c r="R73" i="21"/>
  <c r="S73" i="21" a="1"/>
  <c r="S73" i="21"/>
  <c r="T73" i="21" a="1"/>
  <c r="T73" i="21"/>
  <c r="U73" i="21" a="1"/>
  <c r="U73" i="21"/>
  <c r="V73" i="21" a="1"/>
  <c r="V73" i="21"/>
  <c r="W73" i="21" a="1"/>
  <c r="W73" i="21"/>
  <c r="J1" i="8" l="1"/>
  <c r="P1" i="8"/>
  <c r="Q1" i="8"/>
  <c r="R1" i="8"/>
  <c r="T1" i="8"/>
  <c r="U1" i="8"/>
  <c r="P2" i="8"/>
  <c r="T2" i="8"/>
  <c r="U2" i="8"/>
  <c r="S6" i="8"/>
  <c r="S1" i="8" s="1"/>
  <c r="Q7" i="8"/>
  <c r="R7" i="8"/>
  <c r="S7" i="8"/>
  <c r="T7" i="8"/>
  <c r="U7" i="8"/>
  <c r="S8" i="8"/>
  <c r="R10" i="8"/>
  <c r="S10" i="8"/>
  <c r="T10" i="8"/>
  <c r="U10" i="8"/>
  <c r="Q11" i="8"/>
  <c r="Q2" i="8" s="1"/>
  <c r="R11" i="8"/>
  <c r="R2" i="8" s="1"/>
  <c r="S11" i="8"/>
  <c r="S2" i="8" s="1"/>
  <c r="Q12" i="8"/>
  <c r="R12" i="8"/>
  <c r="S12" i="8"/>
  <c r="T12" i="8"/>
  <c r="U12" i="8"/>
  <c r="V67" i="21"/>
  <c r="W67" i="21"/>
  <c r="V63" i="21"/>
  <c r="W63" i="21"/>
  <c r="V59" i="21"/>
  <c r="W59" i="21"/>
  <c r="Q47" i="21"/>
  <c r="R47" i="21"/>
  <c r="S47" i="21"/>
  <c r="T47" i="21"/>
  <c r="U47" i="21"/>
  <c r="V47" i="21"/>
  <c r="W47" i="21"/>
  <c r="Q42" i="21"/>
  <c r="R42" i="21"/>
  <c r="S42" i="21"/>
  <c r="T42" i="21"/>
  <c r="U42" i="21"/>
  <c r="V42" i="21"/>
  <c r="W42" i="21"/>
  <c r="Q46" i="21"/>
  <c r="Q41" i="21"/>
  <c r="R41" i="21"/>
  <c r="S41" i="21"/>
  <c r="T41" i="21"/>
  <c r="U41" i="21"/>
  <c r="V41" i="21"/>
  <c r="W41" i="21"/>
  <c r="Q45" i="21"/>
  <c r="R45" i="21"/>
  <c r="S45" i="21"/>
  <c r="T45" i="21"/>
  <c r="U45" i="21"/>
  <c r="V45" i="21"/>
  <c r="W45" i="21"/>
  <c r="Q40" i="21"/>
  <c r="R40" i="21"/>
  <c r="S40" i="21"/>
  <c r="T40" i="21"/>
  <c r="U40" i="21"/>
  <c r="V40" i="21"/>
  <c r="W40" i="21"/>
  <c r="Q43" i="21"/>
  <c r="Q44" i="21" s="1"/>
  <c r="R43" i="21"/>
  <c r="R44" i="21" s="1"/>
  <c r="S43" i="21"/>
  <c r="S44" i="21" s="1"/>
  <c r="T43" i="21"/>
  <c r="T44" i="21" s="1"/>
  <c r="U43" i="21"/>
  <c r="U44" i="21" s="1"/>
  <c r="V43" i="21"/>
  <c r="V44" i="21" s="1"/>
  <c r="W43" i="21"/>
  <c r="W44" i="21" s="1"/>
  <c r="Q38" i="21"/>
  <c r="Q39" i="21" s="1"/>
  <c r="R38" i="21"/>
  <c r="R39" i="21" s="1"/>
  <c r="S38" i="21"/>
  <c r="S39" i="21" s="1"/>
  <c r="T38" i="21"/>
  <c r="T39" i="21" s="1"/>
  <c r="U38" i="21"/>
  <c r="U39" i="21" s="1"/>
  <c r="V38" i="21"/>
  <c r="V39" i="21" s="1"/>
  <c r="W38" i="21"/>
  <c r="W39" i="21" s="1"/>
  <c r="Q34" i="21"/>
  <c r="R34" i="21"/>
  <c r="S34" i="21"/>
  <c r="T34" i="21"/>
  <c r="U34" i="21"/>
  <c r="V34" i="21"/>
  <c r="W34" i="21"/>
  <c r="Q35" i="21"/>
  <c r="R35" i="21"/>
  <c r="S35" i="21"/>
  <c r="T35" i="21"/>
  <c r="U35" i="21"/>
  <c r="V35" i="21"/>
  <c r="W35" i="21"/>
  <c r="Q36" i="21"/>
  <c r="R36" i="21"/>
  <c r="S36" i="21"/>
  <c r="T36" i="21"/>
  <c r="U36" i="21"/>
  <c r="V36" i="21"/>
  <c r="W36" i="21"/>
  <c r="Q37" i="21"/>
  <c r="R37" i="21"/>
  <c r="S37" i="21"/>
  <c r="T37" i="21"/>
  <c r="U37" i="21"/>
  <c r="V37" i="21"/>
  <c r="W37" i="21"/>
  <c r="W4" i="21"/>
  <c r="V4" i="21"/>
  <c r="U4" i="21"/>
  <c r="T4" i="21"/>
  <c r="S4" i="21"/>
  <c r="R4" i="21"/>
  <c r="Q4" i="21"/>
  <c r="W3" i="21"/>
  <c r="V3" i="21"/>
  <c r="U3" i="21"/>
  <c r="T3" i="21"/>
  <c r="S3" i="21"/>
  <c r="R3" i="21"/>
  <c r="Q3" i="21"/>
  <c r="M19" i="23"/>
  <c r="L19" i="23"/>
  <c r="K19" i="23"/>
  <c r="J19" i="23"/>
  <c r="I19" i="23"/>
  <c r="H19" i="23"/>
  <c r="G19" i="23"/>
  <c r="M18" i="23"/>
  <c r="L18" i="23"/>
  <c r="K18" i="23"/>
  <c r="J18" i="23"/>
  <c r="I18" i="23"/>
  <c r="H18" i="23"/>
  <c r="G18" i="23"/>
  <c r="M17" i="23"/>
  <c r="L17" i="23"/>
  <c r="K17" i="23"/>
  <c r="J17" i="23"/>
  <c r="I17" i="23"/>
  <c r="H17" i="23"/>
  <c r="G17" i="23"/>
  <c r="M13" i="23"/>
  <c r="L13" i="23"/>
  <c r="K13" i="23"/>
  <c r="J13" i="23"/>
  <c r="I13" i="23"/>
  <c r="H13" i="23"/>
  <c r="G13" i="23"/>
  <c r="M12" i="23"/>
  <c r="L12" i="23"/>
  <c r="K12" i="23"/>
  <c r="J12" i="23"/>
  <c r="I12" i="23"/>
  <c r="H12" i="23"/>
  <c r="G12" i="23"/>
  <c r="M11" i="23"/>
  <c r="L11" i="23"/>
  <c r="K11" i="23"/>
  <c r="J11" i="23"/>
  <c r="I11" i="23"/>
  <c r="H11" i="23"/>
  <c r="G11" i="23"/>
  <c r="W90" i="21" a="1"/>
  <c r="W90" i="21" s="1"/>
  <c r="V90" i="21" a="1"/>
  <c r="V90" i="21" s="1"/>
  <c r="U90" i="21" a="1"/>
  <c r="U90" i="21" s="1"/>
  <c r="T90" i="21" a="1"/>
  <c r="T90" i="21" s="1"/>
  <c r="S90" i="21" a="1"/>
  <c r="S90" i="21" s="1"/>
  <c r="R90" i="21" a="1"/>
  <c r="R90" i="21" s="1"/>
  <c r="Q90" i="21" a="1"/>
  <c r="Q90" i="21" s="1"/>
  <c r="W89" i="21" a="1"/>
  <c r="W89" i="21" s="1"/>
  <c r="V89" i="21" a="1"/>
  <c r="V89" i="21" s="1"/>
  <c r="U89" i="21" a="1"/>
  <c r="U89" i="21" s="1"/>
  <c r="T89" i="21" a="1"/>
  <c r="T89" i="21" s="1"/>
  <c r="S89" i="21" a="1"/>
  <c r="S89" i="21" s="1"/>
  <c r="R89" i="21" a="1"/>
  <c r="R89" i="21" s="1"/>
  <c r="Q89" i="21" a="1"/>
  <c r="Q89" i="21" s="1"/>
  <c r="W88" i="21" a="1"/>
  <c r="W88" i="21" s="1"/>
  <c r="V88" i="21" a="1"/>
  <c r="V88" i="21" s="1"/>
  <c r="U88" i="21" a="1"/>
  <c r="U88" i="21" s="1"/>
  <c r="T88" i="21" a="1"/>
  <c r="T88" i="21" s="1"/>
  <c r="S88" i="21" a="1"/>
  <c r="S88" i="21" s="1"/>
  <c r="R88" i="21" a="1"/>
  <c r="R88" i="21" s="1"/>
  <c r="Q88" i="21" a="1"/>
  <c r="Q88" i="21" s="1"/>
  <c r="W86" i="21" a="1"/>
  <c r="W86" i="21" s="1"/>
  <c r="V86" i="21" a="1"/>
  <c r="V86" i="21" s="1"/>
  <c r="U86" i="21" a="1"/>
  <c r="U86" i="21" s="1"/>
  <c r="T86" i="21" a="1"/>
  <c r="T86" i="21" s="1"/>
  <c r="S86" i="21" a="1"/>
  <c r="S86" i="21" s="1"/>
  <c r="R86" i="21" a="1"/>
  <c r="R86" i="21" s="1"/>
  <c r="Q86" i="21" a="1"/>
  <c r="Q86" i="21" s="1"/>
  <c r="W85" i="21" a="1"/>
  <c r="W85" i="21" s="1"/>
  <c r="V85" i="21" a="1"/>
  <c r="V85" i="21" s="1"/>
  <c r="U85" i="21" a="1"/>
  <c r="U85" i="21" s="1"/>
  <c r="T85" i="21" a="1"/>
  <c r="T85" i="21" s="1"/>
  <c r="S85" i="21" a="1"/>
  <c r="S85" i="21" s="1"/>
  <c r="R85" i="21" a="1"/>
  <c r="R85" i="21" s="1"/>
  <c r="Q85" i="21" a="1"/>
  <c r="Q85" i="21" s="1"/>
  <c r="W84" i="21" a="1"/>
  <c r="W84" i="21" s="1"/>
  <c r="V84" i="21" a="1"/>
  <c r="V84" i="21" s="1"/>
  <c r="U84" i="21" a="1"/>
  <c r="U84" i="21" s="1"/>
  <c r="T84" i="21" a="1"/>
  <c r="T84" i="21" s="1"/>
  <c r="S84" i="21" a="1"/>
  <c r="S84" i="21" s="1"/>
  <c r="R84" i="21" a="1"/>
  <c r="R84" i="21" s="1"/>
  <c r="Q84" i="21" a="1"/>
  <c r="Q84" i="21" s="1"/>
  <c r="W82" i="21" a="1"/>
  <c r="W82" i="21" s="1"/>
  <c r="V82" i="21" a="1"/>
  <c r="V82" i="21" s="1"/>
  <c r="U82" i="21" a="1"/>
  <c r="U82" i="21" s="1"/>
  <c r="T82" i="21" a="1"/>
  <c r="T82" i="21" s="1"/>
  <c r="S82" i="21" a="1"/>
  <c r="S82" i="21" s="1"/>
  <c r="R82" i="21" a="1"/>
  <c r="R82" i="21" s="1"/>
  <c r="Q82" i="21" a="1"/>
  <c r="Q82" i="21" s="1"/>
  <c r="W81" i="21" a="1"/>
  <c r="W81" i="21" s="1"/>
  <c r="V81" i="21" a="1"/>
  <c r="V81" i="21" s="1"/>
  <c r="U81" i="21" a="1"/>
  <c r="U81" i="21" s="1"/>
  <c r="T81" i="21" a="1"/>
  <c r="T81" i="21" s="1"/>
  <c r="S81" i="21" a="1"/>
  <c r="S81" i="21" s="1"/>
  <c r="R81" i="21" a="1"/>
  <c r="R81" i="21" s="1"/>
  <c r="Q81" i="21" a="1"/>
  <c r="Q81" i="21" s="1"/>
  <c r="W80" i="21" a="1"/>
  <c r="W80" i="21" s="1"/>
  <c r="W83" i="21" s="1"/>
  <c r="V80" i="21" a="1"/>
  <c r="V80" i="21" s="1"/>
  <c r="V83" i="21" s="1"/>
  <c r="U80" i="21" a="1"/>
  <c r="U80" i="21" s="1"/>
  <c r="U83" i="21" s="1"/>
  <c r="T80" i="21" a="1"/>
  <c r="T80" i="21" s="1"/>
  <c r="T83" i="21" s="1"/>
  <c r="S80" i="21" a="1"/>
  <c r="S80" i="21" s="1"/>
  <c r="S83" i="21" s="1"/>
  <c r="R80" i="21" a="1"/>
  <c r="R80" i="21" s="1"/>
  <c r="R83" i="21" s="1"/>
  <c r="Q80" i="21" a="1"/>
  <c r="Q80" i="21" s="1"/>
  <c r="Q83" i="21" s="1"/>
  <c r="W74" i="21" a="1"/>
  <c r="W74" i="21" s="1"/>
  <c r="V74" i="21" a="1"/>
  <c r="V74" i="21" s="1"/>
  <c r="U74" i="21" a="1"/>
  <c r="U74" i="21" s="1"/>
  <c r="T74" i="21" a="1"/>
  <c r="T74" i="21" s="1"/>
  <c r="S74" i="21" a="1"/>
  <c r="S74" i="21" s="1"/>
  <c r="R74" i="21" a="1"/>
  <c r="R74" i="21" s="1"/>
  <c r="Q74" i="21" a="1"/>
  <c r="Q74" i="21" s="1"/>
  <c r="W72" i="21" a="1"/>
  <c r="W72" i="21" s="1"/>
  <c r="W75" i="21" s="1"/>
  <c r="V72" i="21" a="1"/>
  <c r="V72" i="21" s="1"/>
  <c r="V75" i="21" s="1"/>
  <c r="U72" i="21" a="1"/>
  <c r="U72" i="21" s="1"/>
  <c r="U75" i="21" s="1"/>
  <c r="T72" i="21" a="1"/>
  <c r="T72" i="21" s="1"/>
  <c r="T75" i="21" s="1"/>
  <c r="S72" i="21" a="1"/>
  <c r="S72" i="21" s="1"/>
  <c r="S75" i="21" s="1"/>
  <c r="R72" i="21" a="1"/>
  <c r="R72" i="21" s="1"/>
  <c r="R75" i="21" s="1"/>
  <c r="Q72" i="21" a="1"/>
  <c r="Q72" i="21" s="1"/>
  <c r="Q75" i="21" s="1"/>
  <c r="W69" i="21" a="1"/>
  <c r="W69" i="21" s="1"/>
  <c r="V69" i="21" a="1"/>
  <c r="V69" i="21" s="1"/>
  <c r="U69" i="21" a="1"/>
  <c r="U69" i="21" s="1"/>
  <c r="T69" i="21" a="1"/>
  <c r="T69" i="21" s="1"/>
  <c r="S69" i="21" a="1"/>
  <c r="S69" i="21" s="1"/>
  <c r="W68" i="21" a="1"/>
  <c r="W68" i="21" s="1"/>
  <c r="W71" i="21" s="1"/>
  <c r="V68" i="21" a="1"/>
  <c r="V68" i="21" s="1"/>
  <c r="V71" i="21" s="1"/>
  <c r="U68" i="21" a="1"/>
  <c r="U68" i="21" s="1"/>
  <c r="U71" i="21" s="1"/>
  <c r="T68" i="21" a="1"/>
  <c r="T68" i="21" s="1"/>
  <c r="T71" i="21" s="1"/>
  <c r="S68" i="21" a="1"/>
  <c r="S68" i="21" s="1"/>
  <c r="S71" i="21" s="1"/>
  <c r="R68" i="21" a="1"/>
  <c r="R68" i="21" s="1"/>
  <c r="R71" i="21" s="1"/>
  <c r="Q68" i="21" a="1"/>
  <c r="Q68" i="21"/>
  <c r="Q71" i="21" s="1"/>
  <c r="Q69" i="21" a="1"/>
  <c r="Q69" i="21" s="1"/>
  <c r="R69" i="21" s="1"/>
  <c r="T20" i="25"/>
  <c r="T15" i="25"/>
  <c r="T10" i="25"/>
  <c r="R20" i="25"/>
  <c r="R15" i="25"/>
  <c r="R10" i="25"/>
  <c r="O20" i="25"/>
  <c r="O15" i="25"/>
  <c r="O10" i="25"/>
  <c r="U20" i="25"/>
  <c r="U15" i="25"/>
  <c r="U10" i="25"/>
  <c r="S20" i="25"/>
  <c r="S15" i="25"/>
  <c r="Q20" i="25"/>
  <c r="Q15" i="25"/>
  <c r="Q10" i="25"/>
  <c r="P20" i="25"/>
  <c r="P15" i="25"/>
  <c r="P10" i="25"/>
  <c r="V65" i="21"/>
  <c r="U65" i="21" s="1"/>
  <c r="T65" i="21" s="1"/>
  <c r="S65" i="21" s="1"/>
  <c r="R65" i="21" s="1"/>
  <c r="Q65" i="21" s="1"/>
  <c r="W65" i="21"/>
  <c r="Q64" i="21"/>
  <c r="R64" i="21"/>
  <c r="S64" i="21"/>
  <c r="T64" i="21"/>
  <c r="U64" i="21"/>
  <c r="V64" i="21"/>
  <c r="W64" i="21"/>
  <c r="R104" i="6"/>
  <c r="Q104" i="6"/>
  <c r="P104" i="6"/>
  <c r="O104" i="6"/>
  <c r="N104" i="6"/>
  <c r="M104" i="6"/>
  <c r="L104" i="6"/>
  <c r="K104" i="6"/>
  <c r="R103" i="6"/>
  <c r="Q103" i="6"/>
  <c r="P103" i="6"/>
  <c r="O103" i="6"/>
  <c r="N103" i="6"/>
  <c r="M103" i="6"/>
  <c r="L103" i="6"/>
  <c r="K103"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68" i="6"/>
  <c r="Q68" i="6"/>
  <c r="P68" i="6"/>
  <c r="O68" i="6"/>
  <c r="N68" i="6"/>
  <c r="M68" i="6"/>
  <c r="L68" i="6"/>
  <c r="K68" i="6"/>
  <c r="R67" i="6"/>
  <c r="Q67" i="6"/>
  <c r="P67" i="6"/>
  <c r="O67" i="6"/>
  <c r="N67" i="6"/>
  <c r="M67" i="6"/>
  <c r="L67" i="6"/>
  <c r="K67" i="6"/>
  <c r="R66" i="6"/>
  <c r="Q66" i="6"/>
  <c r="P66" i="6"/>
  <c r="O66" i="6"/>
  <c r="N66" i="6"/>
  <c r="M66" i="6"/>
  <c r="L66" i="6"/>
  <c r="K66" i="6"/>
  <c r="R65" i="6"/>
  <c r="Q65" i="6"/>
  <c r="P65" i="6"/>
  <c r="O65" i="6"/>
  <c r="N65" i="6"/>
  <c r="M65" i="6"/>
  <c r="L65" i="6"/>
  <c r="K65" i="6"/>
  <c r="R64" i="6"/>
  <c r="Q64" i="6"/>
  <c r="P64" i="6"/>
  <c r="O64" i="6"/>
  <c r="N64" i="6"/>
  <c r="M64" i="6"/>
  <c r="L64" i="6"/>
  <c r="K64" i="6"/>
  <c r="R63" i="6"/>
  <c r="Q63" i="6"/>
  <c r="P63" i="6"/>
  <c r="O63" i="6"/>
  <c r="N63" i="6"/>
  <c r="M63" i="6"/>
  <c r="L63" i="6"/>
  <c r="K63" i="6"/>
  <c r="R62" i="6"/>
  <c r="Q62" i="6"/>
  <c r="P62" i="6"/>
  <c r="O62" i="6"/>
  <c r="N62" i="6"/>
  <c r="M62" i="6"/>
  <c r="L62" i="6"/>
  <c r="K62" i="6"/>
  <c r="R61" i="6"/>
  <c r="Q61" i="6"/>
  <c r="P61" i="6"/>
  <c r="O61" i="6"/>
  <c r="N61" i="6"/>
  <c r="M61" i="6"/>
  <c r="L61" i="6"/>
  <c r="K61" i="6"/>
  <c r="R56" i="6"/>
  <c r="Q56" i="6"/>
  <c r="P56" i="6"/>
  <c r="O56" i="6"/>
  <c r="N56" i="6"/>
  <c r="M56" i="6"/>
  <c r="L56" i="6"/>
  <c r="K56" i="6"/>
  <c r="R55" i="6"/>
  <c r="Q55" i="6"/>
  <c r="P55" i="6"/>
  <c r="O55" i="6"/>
  <c r="N55" i="6"/>
  <c r="M55" i="6"/>
  <c r="L55" i="6"/>
  <c r="K55" i="6"/>
  <c r="R54" i="6"/>
  <c r="Q54" i="6"/>
  <c r="P54" i="6"/>
  <c r="O54" i="6"/>
  <c r="N54" i="6"/>
  <c r="M54" i="6"/>
  <c r="L54" i="6"/>
  <c r="K54" i="6"/>
  <c r="R53" i="6"/>
  <c r="Q53" i="6"/>
  <c r="P53" i="6"/>
  <c r="O53" i="6"/>
  <c r="N53" i="6"/>
  <c r="M53" i="6"/>
  <c r="L53" i="6"/>
  <c r="K53" i="6"/>
  <c r="R52" i="6"/>
  <c r="Q52" i="6"/>
  <c r="P52" i="6"/>
  <c r="O52" i="6"/>
  <c r="N52" i="6"/>
  <c r="M52" i="6"/>
  <c r="L52" i="6"/>
  <c r="K52" i="6"/>
  <c r="R51" i="6"/>
  <c r="Q51" i="6"/>
  <c r="P51" i="6"/>
  <c r="O51" i="6"/>
  <c r="N51" i="6"/>
  <c r="M51" i="6"/>
  <c r="L51" i="6"/>
  <c r="K51" i="6"/>
  <c r="R50" i="6"/>
  <c r="Q50" i="6"/>
  <c r="P50" i="6"/>
  <c r="O50" i="6"/>
  <c r="N50" i="6"/>
  <c r="M50" i="6"/>
  <c r="L50" i="6"/>
  <c r="K50" i="6"/>
  <c r="R48" i="6"/>
  <c r="Q48" i="6"/>
  <c r="P48" i="6"/>
  <c r="O48" i="6"/>
  <c r="N48" i="6"/>
  <c r="M48" i="6"/>
  <c r="L48" i="6"/>
  <c r="K48" i="6"/>
  <c r="V61" i="21"/>
  <c r="U61" i="21" s="1"/>
  <c r="T61" i="21" s="1"/>
  <c r="S61" i="21" s="1"/>
  <c r="R61" i="21" s="1"/>
  <c r="Q61" i="21" s="1"/>
  <c r="W61" i="21"/>
  <c r="Q60" i="21"/>
  <c r="R60" i="21"/>
  <c r="S60" i="21"/>
  <c r="T60" i="21"/>
  <c r="U60" i="21"/>
  <c r="V60" i="21"/>
  <c r="W60" i="21"/>
  <c r="Q56" i="21"/>
  <c r="R56" i="21"/>
  <c r="S56" i="21"/>
  <c r="T56" i="21"/>
  <c r="U56" i="21"/>
  <c r="V56" i="21"/>
  <c r="W56" i="21"/>
  <c r="Q55" i="21"/>
  <c r="R55" i="21"/>
  <c r="S55" i="21"/>
  <c r="T55" i="21"/>
  <c r="U55" i="21"/>
  <c r="V55" i="21"/>
  <c r="W55" i="21"/>
  <c r="V57" i="21"/>
  <c r="U57" i="21" s="1"/>
  <c r="T57" i="21" s="1"/>
  <c r="S57" i="21" s="1"/>
  <c r="R57" i="21" s="1"/>
  <c r="Q57" i="21" s="1"/>
  <c r="W57" i="21"/>
  <c r="Z32" i="21"/>
  <c r="AA32" i="21"/>
  <c r="AB32" i="21"/>
  <c r="AC32" i="21"/>
  <c r="AD32" i="21"/>
  <c r="AE32" i="21"/>
  <c r="AF32" i="21"/>
  <c r="Q25" i="21"/>
  <c r="S25" i="21"/>
  <c r="T25" i="21"/>
  <c r="U25" i="21"/>
  <c r="V25" i="21"/>
  <c r="W25" i="21"/>
  <c r="Q18" i="21"/>
  <c r="R18" i="21"/>
  <c r="S29" i="21" a="1"/>
  <c r="S29" i="21"/>
  <c r="R29" i="21" a="1"/>
  <c r="R29" i="21"/>
  <c r="Q29" i="21" a="1"/>
  <c r="Q29" i="21"/>
  <c r="S27" i="21" a="1"/>
  <c r="S27" i="21"/>
  <c r="S28" i="21" s="1"/>
  <c r="R27" i="21" a="1"/>
  <c r="R27" i="21"/>
  <c r="R28" i="21" s="1"/>
  <c r="Q27" i="21" a="1"/>
  <c r="Q27" i="21"/>
  <c r="Q28" i="21" s="1"/>
  <c r="S22" i="21" a="1"/>
  <c r="S22" i="21"/>
  <c r="R22" i="21" a="1"/>
  <c r="R22" i="21"/>
  <c r="Q22" i="21" a="1"/>
  <c r="Q22" i="21"/>
  <c r="S19" i="21" a="1"/>
  <c r="S19" i="21"/>
  <c r="R19" i="21" a="1"/>
  <c r="R19" i="21"/>
  <c r="Q19" i="21" a="1"/>
  <c r="Q19" i="21"/>
  <c r="S11" i="21" a="1"/>
  <c r="S11" i="21"/>
  <c r="R11" i="21" a="1"/>
  <c r="R11" i="21"/>
  <c r="Q11" i="21" a="1"/>
  <c r="Q11" i="21"/>
  <c r="AE90" i="21"/>
  <c r="AE89" i="21"/>
  <c r="AE88" i="21"/>
  <c r="AE86" i="21"/>
  <c r="AE85" i="21"/>
  <c r="AE84" i="21"/>
  <c r="AE82" i="21"/>
  <c r="AE81" i="21"/>
  <c r="AE80" i="21"/>
  <c r="AE78" i="21"/>
  <c r="AE77" i="21"/>
  <c r="AE76" i="21"/>
  <c r="AE74" i="21"/>
  <c r="AE73" i="21"/>
  <c r="AE72" i="21"/>
  <c r="AE69" i="21"/>
  <c r="AE68" i="21"/>
  <c r="AE65" i="21"/>
  <c r="AE64" i="21"/>
  <c r="AE61" i="21"/>
  <c r="AE60" i="21"/>
  <c r="AE57" i="21"/>
  <c r="AE56" i="21"/>
  <c r="AE55" i="21"/>
  <c r="AE45" i="21"/>
  <c r="AE43" i="21"/>
  <c r="AE42" i="21"/>
  <c r="AE41" i="21"/>
  <c r="AE40" i="21"/>
  <c r="AE38" i="21"/>
  <c r="AE36" i="21"/>
  <c r="AE34" i="21"/>
  <c r="AE25" i="21"/>
  <c r="R43" i="6"/>
  <c r="Q43" i="6"/>
  <c r="P43" i="6"/>
  <c r="O43" i="6"/>
  <c r="N43" i="6"/>
  <c r="M43" i="6"/>
  <c r="L43" i="6"/>
  <c r="K43" i="6"/>
  <c r="R42" i="6"/>
  <c r="Q42" i="6"/>
  <c r="P42" i="6"/>
  <c r="O42" i="6"/>
  <c r="N42" i="6"/>
  <c r="M42" i="6"/>
  <c r="L42" i="6"/>
  <c r="K42" i="6"/>
  <c r="R41" i="6"/>
  <c r="Q41" i="6"/>
  <c r="P41" i="6"/>
  <c r="O41" i="6"/>
  <c r="N41" i="6"/>
  <c r="M41" i="6"/>
  <c r="L41" i="6"/>
  <c r="K41" i="6"/>
  <c r="R40" i="6"/>
  <c r="Q40" i="6"/>
  <c r="P40" i="6"/>
  <c r="O40" i="6"/>
  <c r="N40" i="6"/>
  <c r="M40" i="6"/>
  <c r="L40" i="6"/>
  <c r="K40" i="6"/>
  <c r="R39" i="6"/>
  <c r="Q39" i="6"/>
  <c r="P39" i="6"/>
  <c r="O39" i="6"/>
  <c r="N39" i="6"/>
  <c r="M39" i="6"/>
  <c r="L39" i="6"/>
  <c r="K39" i="6"/>
  <c r="R38" i="6"/>
  <c r="Q38" i="6"/>
  <c r="P38" i="6"/>
  <c r="O38" i="6"/>
  <c r="N38" i="6"/>
  <c r="M38" i="6"/>
  <c r="L38" i="6"/>
  <c r="K38" i="6"/>
  <c r="R37" i="6"/>
  <c r="Q37" i="6"/>
  <c r="P37" i="6"/>
  <c r="O37" i="6"/>
  <c r="N37" i="6"/>
  <c r="M37" i="6"/>
  <c r="L37" i="6"/>
  <c r="K37" i="6"/>
  <c r="R36" i="6"/>
  <c r="Q36" i="6"/>
  <c r="P36" i="6"/>
  <c r="O36" i="6"/>
  <c r="N36" i="6"/>
  <c r="M36" i="6"/>
  <c r="L36" i="6"/>
  <c r="K36" i="6"/>
  <c r="R35" i="6"/>
  <c r="Q35" i="6"/>
  <c r="P35" i="6"/>
  <c r="O35" i="6"/>
  <c r="N35" i="6"/>
  <c r="M35" i="6"/>
  <c r="L35" i="6"/>
  <c r="K35" i="6"/>
  <c r="R34" i="6"/>
  <c r="Q34" i="6"/>
  <c r="P34" i="6"/>
  <c r="O34" i="6"/>
  <c r="N34" i="6"/>
  <c r="M34" i="6"/>
  <c r="L34" i="6"/>
  <c r="K34" i="6"/>
  <c r="R33" i="6"/>
  <c r="Q33" i="6"/>
  <c r="P33" i="6"/>
  <c r="O33" i="6"/>
  <c r="N33" i="6"/>
  <c r="M33" i="6"/>
  <c r="L33" i="6"/>
  <c r="K33" i="6"/>
  <c r="R32" i="6"/>
  <c r="Q32" i="6"/>
  <c r="P32" i="6"/>
  <c r="O32" i="6"/>
  <c r="N32" i="6"/>
  <c r="M32" i="6"/>
  <c r="L32" i="6"/>
  <c r="K32" i="6"/>
  <c r="R31" i="6"/>
  <c r="Q31" i="6"/>
  <c r="P31" i="6"/>
  <c r="O31" i="6"/>
  <c r="N31" i="6"/>
  <c r="M31" i="6"/>
  <c r="L31" i="6"/>
  <c r="K31" i="6"/>
  <c r="R26" i="6"/>
  <c r="Q26" i="6"/>
  <c r="P26" i="6"/>
  <c r="O26" i="6"/>
  <c r="N26" i="6"/>
  <c r="M26" i="6"/>
  <c r="L26" i="6"/>
  <c r="K26" i="6"/>
  <c r="R25" i="6"/>
  <c r="Q25" i="6"/>
  <c r="P25" i="6"/>
  <c r="O25" i="6"/>
  <c r="N25" i="6"/>
  <c r="M25" i="6"/>
  <c r="L25" i="6"/>
  <c r="K25" i="6"/>
  <c r="R24" i="6"/>
  <c r="Q24" i="6"/>
  <c r="P24" i="6"/>
  <c r="O24" i="6"/>
  <c r="N24" i="6"/>
  <c r="M24" i="6"/>
  <c r="L24" i="6"/>
  <c r="K24" i="6"/>
  <c r="R23" i="6"/>
  <c r="Q23" i="6"/>
  <c r="P23" i="6"/>
  <c r="O23" i="6"/>
  <c r="N23" i="6"/>
  <c r="M23" i="6"/>
  <c r="L23" i="6"/>
  <c r="K23" i="6"/>
  <c r="R18" i="6"/>
  <c r="Q18" i="6"/>
  <c r="P18" i="6"/>
  <c r="O18" i="6"/>
  <c r="N18" i="6"/>
  <c r="M18" i="6"/>
  <c r="L18" i="6"/>
  <c r="K18" i="6"/>
  <c r="R17" i="6"/>
  <c r="Q17" i="6"/>
  <c r="P17" i="6"/>
  <c r="O17" i="6"/>
  <c r="N17" i="6"/>
  <c r="M17" i="6"/>
  <c r="L17" i="6"/>
  <c r="K17" i="6"/>
  <c r="R16" i="6"/>
  <c r="Q16" i="6"/>
  <c r="P16" i="6"/>
  <c r="O16" i="6"/>
  <c r="N16" i="6"/>
  <c r="M16" i="6"/>
  <c r="L16" i="6"/>
  <c r="K16" i="6"/>
  <c r="R15" i="6"/>
  <c r="Q15" i="6"/>
  <c r="P15" i="6"/>
  <c r="O15" i="6"/>
  <c r="N15" i="6"/>
  <c r="M15" i="6"/>
  <c r="L15" i="6"/>
  <c r="K15" i="6"/>
  <c r="R14" i="6"/>
  <c r="Q14" i="6"/>
  <c r="P14" i="6"/>
  <c r="O14" i="6"/>
  <c r="N14" i="6"/>
  <c r="M14" i="6"/>
  <c r="L14" i="6"/>
  <c r="K14" i="6"/>
  <c r="R13" i="6"/>
  <c r="Q13" i="6"/>
  <c r="P13" i="6"/>
  <c r="O13" i="6"/>
  <c r="N13" i="6"/>
  <c r="M13" i="6"/>
  <c r="L13" i="6"/>
  <c r="K13" i="6"/>
  <c r="R12" i="6"/>
  <c r="Q12" i="6"/>
  <c r="P12" i="6"/>
  <c r="O12" i="6"/>
  <c r="N12" i="6"/>
  <c r="M12" i="6"/>
  <c r="L12" i="6"/>
  <c r="K12" i="6"/>
  <c r="R11" i="6"/>
  <c r="Q11" i="6"/>
  <c r="P11" i="6"/>
  <c r="O11" i="6"/>
  <c r="N11" i="6"/>
  <c r="M11" i="6"/>
  <c r="L11" i="6"/>
  <c r="K11" i="6"/>
  <c r="R10" i="6"/>
  <c r="Q10" i="6"/>
  <c r="P10" i="6"/>
  <c r="O10" i="6"/>
  <c r="N10" i="6"/>
  <c r="M10" i="6"/>
  <c r="L10" i="6"/>
  <c r="K10" i="6"/>
  <c r="R9" i="6"/>
  <c r="Q9" i="6"/>
  <c r="P9" i="6"/>
  <c r="O9" i="6"/>
  <c r="N9" i="6"/>
  <c r="M9" i="6"/>
  <c r="L9" i="6"/>
  <c r="K9" i="6"/>
  <c r="R8" i="6"/>
  <c r="Q8" i="6"/>
  <c r="P8" i="6"/>
  <c r="O8" i="6"/>
  <c r="N8" i="6"/>
  <c r="M8" i="6"/>
  <c r="L8" i="6"/>
  <c r="K8" i="6"/>
  <c r="R7" i="6"/>
  <c r="Q7" i="6"/>
  <c r="P7" i="6"/>
  <c r="O7" i="6"/>
  <c r="N7" i="6"/>
  <c r="M7" i="6"/>
  <c r="L7" i="6"/>
  <c r="K7" i="6"/>
  <c r="R6" i="6"/>
  <c r="Q6" i="6"/>
  <c r="P6" i="6"/>
  <c r="O6" i="6"/>
  <c r="N6" i="6"/>
  <c r="M6" i="6"/>
  <c r="L6" i="6"/>
  <c r="K6" i="6"/>
  <c r="W46" i="21" l="1"/>
  <c r="V46" i="21"/>
  <c r="AE46" i="21" s="1"/>
  <c r="U46" i="21"/>
  <c r="T46" i="21"/>
  <c r="S46" i="21"/>
  <c r="R46" i="21"/>
  <c r="Q73" i="21" a="1"/>
  <c r="Q73" i="21" s="1"/>
  <c r="Q70" i="21"/>
  <c r="Q66" i="21"/>
  <c r="Q62" i="21"/>
  <c r="Q58" i="21"/>
  <c r="R70" i="21"/>
  <c r="R66" i="21"/>
  <c r="R62" i="21"/>
  <c r="R58" i="21"/>
  <c r="S70" i="21"/>
  <c r="S66" i="21"/>
  <c r="S62" i="21"/>
  <c r="S58" i="21"/>
  <c r="T70" i="21"/>
  <c r="T66" i="21"/>
  <c r="T62" i="21"/>
  <c r="T58" i="21"/>
  <c r="U70" i="21"/>
  <c r="U66" i="21"/>
  <c r="U62" i="21"/>
  <c r="U58" i="21"/>
  <c r="V70" i="21"/>
  <c r="AE70" i="21" s="1"/>
  <c r="V66" i="21"/>
  <c r="AE66" i="21" s="1"/>
  <c r="V62" i="21"/>
  <c r="AE62" i="21" s="1"/>
  <c r="V58" i="21"/>
  <c r="W70" i="21"/>
  <c r="W66" i="21"/>
  <c r="W62" i="21"/>
  <c r="W58" i="21"/>
  <c r="Q53" i="21"/>
  <c r="R53" i="21"/>
  <c r="S53" i="21"/>
  <c r="Q91" i="21"/>
  <c r="Q87" i="21"/>
  <c r="R91" i="21"/>
  <c r="R87" i="21"/>
  <c r="S91" i="21"/>
  <c r="S87" i="21"/>
  <c r="T91" i="21"/>
  <c r="T87" i="21"/>
  <c r="U91" i="21"/>
  <c r="U87" i="21"/>
  <c r="V91" i="21"/>
  <c r="V87" i="21"/>
  <c r="W91" i="21"/>
  <c r="W87" i="21"/>
  <c r="W11" i="21"/>
  <c r="V11" i="21"/>
  <c r="U11" i="21"/>
  <c r="T11" i="21"/>
  <c r="W19" i="21"/>
  <c r="V19" i="21"/>
  <c r="U19" i="21"/>
  <c r="T19" i="21"/>
  <c r="W22" i="21"/>
  <c r="V22" i="21"/>
  <c r="U22" i="21"/>
  <c r="T22" i="21"/>
  <c r="W27" i="21"/>
  <c r="W28" i="21" s="1"/>
  <c r="V27" i="21"/>
  <c r="V28" i="21" s="1"/>
  <c r="U27" i="21"/>
  <c r="U28" i="21" s="1"/>
  <c r="T27" i="21"/>
  <c r="T28" i="21" s="1"/>
  <c r="W29" i="21"/>
  <c r="V29" i="21"/>
  <c r="U29" i="21"/>
  <c r="T29" i="21"/>
  <c r="AB107" i="13"/>
  <c r="AB106" i="13"/>
  <c r="AB105" i="13"/>
  <c r="AB104" i="13"/>
  <c r="AB103" i="13"/>
  <c r="AB102" i="13"/>
  <c r="AB101" i="13"/>
  <c r="AB100" i="13"/>
  <c r="AB99" i="13"/>
  <c r="AB98" i="13"/>
  <c r="AB97" i="13"/>
  <c r="AB96" i="13"/>
  <c r="AB95" i="13"/>
  <c r="AB94" i="13"/>
  <c r="AB93" i="13"/>
  <c r="AB92" i="13"/>
  <c r="AB91" i="13"/>
  <c r="A118" i="13"/>
  <c r="A117" i="13"/>
  <c r="A116" i="13"/>
  <c r="A115" i="13"/>
  <c r="A114" i="13"/>
  <c r="A113" i="13"/>
  <c r="A112" i="13"/>
  <c r="A111"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70" i="13"/>
  <c r="A69" i="13"/>
  <c r="A68" i="13"/>
  <c r="A66" i="13"/>
  <c r="A61" i="13"/>
  <c r="A59" i="13"/>
  <c r="A57" i="13"/>
  <c r="A56" i="13"/>
  <c r="A55" i="13"/>
  <c r="A54" i="13"/>
  <c r="A53" i="13"/>
  <c r="A51" i="13"/>
  <c r="A50" i="13"/>
  <c r="A49" i="13"/>
  <c r="A48" i="13"/>
  <c r="A47" i="13"/>
  <c r="A43" i="13"/>
  <c r="A42" i="13"/>
  <c r="A41" i="13"/>
  <c r="A34" i="13"/>
  <c r="A33" i="13"/>
  <c r="A32" i="13"/>
  <c r="A31" i="13"/>
  <c r="A30" i="13"/>
  <c r="A29" i="13"/>
  <c r="A25" i="13"/>
  <c r="A24" i="13"/>
  <c r="A23" i="13"/>
  <c r="A22" i="13"/>
  <c r="A21" i="13"/>
  <c r="A20" i="13"/>
  <c r="W17" i="21"/>
  <c r="AF17" i="21" s="1"/>
  <c r="V17" i="21"/>
  <c r="AE17" i="21" s="1"/>
  <c r="U17" i="21"/>
  <c r="AD17" i="21" s="1"/>
  <c r="T17" i="21"/>
  <c r="AC17" i="21" s="1"/>
  <c r="S17" i="21"/>
  <c r="AB17" i="21" s="1"/>
  <c r="R17" i="21"/>
  <c r="AA17" i="21" s="1"/>
  <c r="P28" i="26"/>
  <c r="Q28" i="26"/>
  <c r="R28" i="26"/>
  <c r="S28" i="26"/>
  <c r="T28" i="26"/>
  <c r="U28" i="26"/>
  <c r="V28" i="26"/>
  <c r="V27" i="26"/>
  <c r="U27" i="26"/>
  <c r="T27" i="26"/>
  <c r="S27" i="26"/>
  <c r="R27" i="26"/>
  <c r="Q27" i="26"/>
  <c r="P27" i="26"/>
  <c r="V26" i="26"/>
  <c r="U26" i="26"/>
  <c r="T26" i="26"/>
  <c r="S26" i="26"/>
  <c r="R26" i="26"/>
  <c r="Q26" i="26"/>
  <c r="P26" i="26"/>
  <c r="V25" i="26"/>
  <c r="U25" i="26"/>
  <c r="T25" i="26"/>
  <c r="S25" i="26"/>
  <c r="R25" i="26"/>
  <c r="Q25" i="26"/>
  <c r="P25" i="26"/>
  <c r="V23" i="26"/>
  <c r="U23" i="26"/>
  <c r="T23" i="26"/>
  <c r="S23" i="26"/>
  <c r="R23" i="26"/>
  <c r="Q23" i="26"/>
  <c r="P23" i="26"/>
  <c r="V21" i="26"/>
  <c r="U21" i="26"/>
  <c r="T21" i="26"/>
  <c r="S21" i="26"/>
  <c r="R21" i="26"/>
  <c r="Q21" i="26"/>
  <c r="P21" i="26"/>
  <c r="V20" i="26"/>
  <c r="U20" i="26"/>
  <c r="T20" i="26"/>
  <c r="S20" i="26"/>
  <c r="R20" i="26"/>
  <c r="Q20" i="26"/>
  <c r="P20" i="26"/>
  <c r="V19" i="26"/>
  <c r="U19" i="26"/>
  <c r="T19" i="26"/>
  <c r="S19" i="26"/>
  <c r="R19" i="26"/>
  <c r="Q19" i="26"/>
  <c r="P19" i="26"/>
  <c r="V18" i="26"/>
  <c r="U18" i="26"/>
  <c r="T18" i="26"/>
  <c r="S18" i="26"/>
  <c r="R18" i="26"/>
  <c r="Q18" i="26"/>
  <c r="P18" i="26"/>
  <c r="V17" i="26"/>
  <c r="U17" i="26"/>
  <c r="T17" i="26"/>
  <c r="S17" i="26"/>
  <c r="R17" i="26"/>
  <c r="Q17" i="26"/>
  <c r="P17" i="26"/>
  <c r="P12" i="26"/>
  <c r="Q12" i="26"/>
  <c r="R12" i="26"/>
  <c r="S12" i="26"/>
  <c r="T12" i="26"/>
  <c r="U12" i="26"/>
  <c r="V12" i="26"/>
  <c r="P13" i="26"/>
  <c r="Q13" i="26"/>
  <c r="R13" i="26"/>
  <c r="S13" i="26"/>
  <c r="T13" i="26"/>
  <c r="U13" i="26"/>
  <c r="V13" i="26"/>
  <c r="P14" i="26"/>
  <c r="Q14" i="26"/>
  <c r="R14" i="26"/>
  <c r="S14" i="26"/>
  <c r="T14" i="26"/>
  <c r="U14" i="26"/>
  <c r="V14" i="26"/>
  <c r="Q15" i="26"/>
  <c r="R15" i="26"/>
  <c r="S15" i="26"/>
  <c r="T15" i="26"/>
  <c r="U15" i="26"/>
  <c r="V15" i="26"/>
  <c r="Q11" i="26"/>
  <c r="R11" i="26"/>
  <c r="S11" i="26"/>
  <c r="T11" i="26"/>
  <c r="U11" i="26"/>
  <c r="V11" i="26"/>
  <c r="P11" i="26"/>
  <c r="M21" i="6"/>
  <c r="X52" i="21"/>
  <c r="AE50" i="21"/>
  <c r="X22" i="21"/>
  <c r="AE22" i="21" s="1"/>
  <c r="X20" i="21"/>
  <c r="X31" i="21"/>
  <c r="AE48" i="21"/>
  <c r="X29" i="21"/>
  <c r="AE29" i="21" s="1"/>
  <c r="X27" i="21"/>
  <c r="AE27" i="21" s="1"/>
  <c r="X24" i="21"/>
  <c r="X19" i="21"/>
  <c r="AE19" i="21" s="1"/>
  <c r="X16" i="21"/>
  <c r="X12" i="21"/>
  <c r="X11" i="21"/>
  <c r="X9" i="21"/>
  <c r="AB50" i="21"/>
  <c r="AA50" i="21"/>
  <c r="Z50" i="21"/>
  <c r="AB48" i="21"/>
  <c r="AA48" i="21"/>
  <c r="Z48" i="21"/>
  <c r="AB47" i="21"/>
  <c r="AA47" i="21"/>
  <c r="Z47" i="21"/>
  <c r="AB46" i="21"/>
  <c r="AA46" i="21"/>
  <c r="Z46" i="21"/>
  <c r="AB45" i="21"/>
  <c r="AA45" i="21"/>
  <c r="Z45" i="21"/>
  <c r="AB44" i="21"/>
  <c r="AA44" i="21"/>
  <c r="Z44" i="21"/>
  <c r="AB43" i="21"/>
  <c r="AA43" i="21"/>
  <c r="Z43" i="21"/>
  <c r="AB42" i="21"/>
  <c r="AA42" i="21"/>
  <c r="Z42" i="21"/>
  <c r="AB41" i="21"/>
  <c r="AA41" i="21"/>
  <c r="Z41" i="21"/>
  <c r="AB40" i="21"/>
  <c r="AA40" i="21"/>
  <c r="Z40" i="21"/>
  <c r="AB39" i="21"/>
  <c r="AA39" i="21"/>
  <c r="Z39" i="21"/>
  <c r="AB38" i="21"/>
  <c r="AA38" i="21"/>
  <c r="Z38" i="21"/>
  <c r="AB37" i="21"/>
  <c r="AA37" i="21"/>
  <c r="Z37" i="21"/>
  <c r="AB36" i="21"/>
  <c r="AA36" i="21"/>
  <c r="Z36" i="21"/>
  <c r="AB35" i="21"/>
  <c r="AA35" i="21"/>
  <c r="Z35" i="21"/>
  <c r="AB34" i="21"/>
  <c r="AA34" i="21"/>
  <c r="Z34" i="21"/>
  <c r="AB29" i="21"/>
  <c r="AA29" i="21"/>
  <c r="Z29" i="21"/>
  <c r="AB28" i="21"/>
  <c r="AA28" i="21"/>
  <c r="Z28" i="21"/>
  <c r="AB27" i="21"/>
  <c r="AA27" i="21"/>
  <c r="Z27" i="21"/>
  <c r="AB25" i="21"/>
  <c r="AA25" i="21"/>
  <c r="Z25" i="21"/>
  <c r="AB22" i="21"/>
  <c r="AA22" i="21"/>
  <c r="Z22" i="21"/>
  <c r="AB19" i="21"/>
  <c r="AA19" i="21"/>
  <c r="Z19" i="21"/>
  <c r="AA18" i="21"/>
  <c r="Z18" i="21"/>
  <c r="AB11" i="21"/>
  <c r="AA11" i="21"/>
  <c r="Z11" i="21"/>
  <c r="S9" i="21" a="1"/>
  <c r="S9" i="21" s="1"/>
  <c r="R9" i="21" a="1"/>
  <c r="R9" i="21" s="1"/>
  <c r="Q9" i="21" a="1"/>
  <c r="Q9" i="21" s="1"/>
  <c r="AG10" i="24"/>
  <c r="AF10" i="24"/>
  <c r="AE10" i="24"/>
  <c r="AD10" i="24"/>
  <c r="AC10" i="24"/>
  <c r="AG9" i="24"/>
  <c r="AF9" i="24"/>
  <c r="AE9" i="24"/>
  <c r="AD9" i="24"/>
  <c r="AC9" i="24"/>
  <c r="AG8" i="24"/>
  <c r="AF8" i="24"/>
  <c r="AE8" i="24"/>
  <c r="AD8" i="24"/>
  <c r="AC8" i="24"/>
  <c r="AG7" i="24"/>
  <c r="AF7" i="24"/>
  <c r="AE7" i="24"/>
  <c r="AD7" i="24"/>
  <c r="AC7" i="24"/>
  <c r="Z16" i="24"/>
  <c r="Y16" i="24"/>
  <c r="X16" i="24"/>
  <c r="W16" i="24"/>
  <c r="V16" i="24"/>
  <c r="U16" i="24"/>
  <c r="T16" i="24"/>
  <c r="S16" i="24"/>
  <c r="R16" i="24"/>
  <c r="Q16" i="24"/>
  <c r="P16" i="24"/>
  <c r="O16" i="24"/>
  <c r="N16" i="24"/>
  <c r="M16" i="24"/>
  <c r="L16" i="24"/>
  <c r="K16" i="24"/>
  <c r="J16" i="24"/>
  <c r="I16" i="24"/>
  <c r="H16" i="24"/>
  <c r="G16" i="24"/>
  <c r="F16" i="24"/>
  <c r="E16" i="24"/>
  <c r="D16" i="24"/>
  <c r="C16" i="24"/>
  <c r="B16" i="24"/>
  <c r="Z15" i="24"/>
  <c r="Y15" i="24"/>
  <c r="X15" i="24"/>
  <c r="W15" i="24"/>
  <c r="V15" i="24"/>
  <c r="U15" i="24"/>
  <c r="T15" i="24"/>
  <c r="S15" i="24"/>
  <c r="R15" i="24"/>
  <c r="Q15" i="24"/>
  <c r="P15" i="24"/>
  <c r="Q20" i="21" s="1" a="1"/>
  <c r="Q20" i="21" s="1"/>
  <c r="O15" i="24"/>
  <c r="N15" i="24"/>
  <c r="M15" i="24"/>
  <c r="Q12" i="21" s="1" a="1"/>
  <c r="Q12" i="21" s="1"/>
  <c r="L15" i="24"/>
  <c r="K15" i="24"/>
  <c r="J15" i="24"/>
  <c r="I15" i="24"/>
  <c r="H15" i="24"/>
  <c r="G15" i="24"/>
  <c r="F15" i="24"/>
  <c r="E15" i="24"/>
  <c r="D15" i="24"/>
  <c r="C15" i="24"/>
  <c r="B15" i="24"/>
  <c r="Z14" i="24"/>
  <c r="Y14" i="24"/>
  <c r="X14" i="24"/>
  <c r="W14" i="24"/>
  <c r="V14" i="24"/>
  <c r="U14" i="24"/>
  <c r="T14" i="24"/>
  <c r="S14" i="24"/>
  <c r="R14" i="24"/>
  <c r="Q14" i="24"/>
  <c r="P14" i="24"/>
  <c r="O14" i="24"/>
  <c r="N14" i="24"/>
  <c r="M14" i="24"/>
  <c r="L14" i="24"/>
  <c r="K14" i="24"/>
  <c r="J14" i="24"/>
  <c r="I14" i="24"/>
  <c r="H14" i="24"/>
  <c r="G14" i="24"/>
  <c r="F14" i="24"/>
  <c r="E14" i="24"/>
  <c r="D14" i="24"/>
  <c r="C14" i="24"/>
  <c r="B14" i="24"/>
  <c r="Z13" i="24"/>
  <c r="Y13" i="24"/>
  <c r="X13" i="24"/>
  <c r="W13" i="24"/>
  <c r="V13" i="24"/>
  <c r="U13" i="24"/>
  <c r="T13" i="24"/>
  <c r="S13" i="24"/>
  <c r="R13" i="24"/>
  <c r="Q13" i="24"/>
  <c r="P13" i="24"/>
  <c r="O13" i="24"/>
  <c r="N13" i="24"/>
  <c r="M13" i="24"/>
  <c r="L13" i="24"/>
  <c r="K13" i="24"/>
  <c r="J13" i="24"/>
  <c r="I13" i="24"/>
  <c r="H13" i="24"/>
  <c r="G13" i="24"/>
  <c r="F13" i="24"/>
  <c r="E13" i="24"/>
  <c r="D13" i="24"/>
  <c r="C13" i="24"/>
  <c r="B13" i="24"/>
  <c r="P8" i="24"/>
  <c r="O8" i="24"/>
  <c r="N8" i="24"/>
  <c r="M8" i="24"/>
  <c r="L8" i="24"/>
  <c r="P7" i="24"/>
  <c r="O7" i="24"/>
  <c r="N7" i="24"/>
  <c r="M7" i="24"/>
  <c r="L7" i="24"/>
  <c r="U10" i="24"/>
  <c r="T10" i="24"/>
  <c r="S10" i="24"/>
  <c r="R10" i="24"/>
  <c r="Q10" i="24"/>
  <c r="U9" i="24"/>
  <c r="T9" i="24"/>
  <c r="S9" i="24"/>
  <c r="R9" i="24"/>
  <c r="Q9" i="24"/>
  <c r="U8" i="24"/>
  <c r="T8" i="24"/>
  <c r="S8" i="24"/>
  <c r="R8" i="24"/>
  <c r="Q8" i="24"/>
  <c r="U7" i="24"/>
  <c r="T7" i="24"/>
  <c r="S7" i="24"/>
  <c r="R7" i="24"/>
  <c r="Q7" i="24"/>
  <c r="Z10" i="24"/>
  <c r="Y10" i="24"/>
  <c r="X10" i="24"/>
  <c r="W10" i="24"/>
  <c r="V10" i="24"/>
  <c r="Z9" i="24"/>
  <c r="Y9" i="24"/>
  <c r="X9" i="24"/>
  <c r="W9" i="24"/>
  <c r="V9" i="24"/>
  <c r="Z8" i="24"/>
  <c r="Y8" i="24"/>
  <c r="X8" i="24"/>
  <c r="W8" i="24"/>
  <c r="V8" i="24"/>
  <c r="Z7" i="24"/>
  <c r="Y7" i="24"/>
  <c r="X7" i="24"/>
  <c r="W7" i="24"/>
  <c r="V7" i="24"/>
  <c r="P42" i="24"/>
  <c r="O42" i="24"/>
  <c r="N42" i="24"/>
  <c r="M42" i="24"/>
  <c r="L42" i="24"/>
  <c r="P41" i="24"/>
  <c r="O41" i="24"/>
  <c r="N41" i="24"/>
  <c r="M41" i="24"/>
  <c r="L41" i="24"/>
  <c r="P40" i="24"/>
  <c r="O40" i="24"/>
  <c r="N40" i="24"/>
  <c r="M40" i="24"/>
  <c r="L40" i="24"/>
  <c r="P39" i="24"/>
  <c r="O39" i="24"/>
  <c r="N39" i="24"/>
  <c r="M39" i="24"/>
  <c r="L39" i="24"/>
  <c r="Z42" i="24"/>
  <c r="Y42" i="24"/>
  <c r="X42" i="24"/>
  <c r="W42" i="24"/>
  <c r="V42" i="24"/>
  <c r="U42" i="24"/>
  <c r="T42" i="24"/>
  <c r="S42" i="24"/>
  <c r="R42" i="24"/>
  <c r="Q42" i="24"/>
  <c r="Z41" i="24"/>
  <c r="Y41" i="24"/>
  <c r="X41" i="24"/>
  <c r="W41" i="24"/>
  <c r="V41" i="24"/>
  <c r="U41" i="24"/>
  <c r="T41" i="24"/>
  <c r="S41" i="24"/>
  <c r="R41" i="24"/>
  <c r="Q41" i="24"/>
  <c r="Z40" i="24"/>
  <c r="Y40" i="24"/>
  <c r="X40" i="24"/>
  <c r="W40" i="24"/>
  <c r="V40" i="24"/>
  <c r="U40" i="24"/>
  <c r="T40" i="24"/>
  <c r="S40" i="24"/>
  <c r="R40" i="24"/>
  <c r="Q40" i="24"/>
  <c r="Z39" i="24"/>
  <c r="Y39" i="24"/>
  <c r="X39" i="24"/>
  <c r="W39" i="24"/>
  <c r="V39" i="24"/>
  <c r="U39" i="24"/>
  <c r="T39" i="24"/>
  <c r="S39" i="24"/>
  <c r="R39" i="24"/>
  <c r="Q39" i="24"/>
  <c r="S12" i="21" l="1"/>
  <c r="AB12" i="21" s="1"/>
  <c r="R12" i="21"/>
  <c r="AA12" i="21" s="1"/>
  <c r="Q15" i="21"/>
  <c r="Q14" i="21"/>
  <c r="Q13" i="21"/>
  <c r="W12" i="21"/>
  <c r="V12" i="21"/>
  <c r="U12" i="21"/>
  <c r="T12" i="21"/>
  <c r="Z12" i="21"/>
  <c r="Z49" i="21"/>
  <c r="S20" i="21"/>
  <c r="R20" i="21"/>
  <c r="Q21" i="21"/>
  <c r="Z21" i="21" s="1"/>
  <c r="W20" i="21"/>
  <c r="V20" i="21"/>
  <c r="U20" i="21"/>
  <c r="T20" i="21"/>
  <c r="Z20" i="21"/>
  <c r="S16" i="21"/>
  <c r="AB16" i="21" s="1"/>
  <c r="R16" i="21"/>
  <c r="AA16" i="21" s="1"/>
  <c r="W16" i="21"/>
  <c r="V16" i="21"/>
  <c r="U16" i="21"/>
  <c r="T16" i="21"/>
  <c r="Z16" i="21"/>
  <c r="Z52" i="21"/>
  <c r="Q24" i="21" a="1"/>
  <c r="Q24" i="21" s="1"/>
  <c r="AE20" i="21"/>
  <c r="AE49" i="21"/>
  <c r="AE52" i="21"/>
  <c r="Q26" i="21"/>
  <c r="Q23" i="21"/>
  <c r="Z23" i="21" s="1"/>
  <c r="T53" i="21"/>
  <c r="U53" i="21"/>
  <c r="V53" i="21"/>
  <c r="W53" i="21"/>
  <c r="Z15" i="21"/>
  <c r="Z14" i="21"/>
  <c r="Z13" i="21"/>
  <c r="R10" i="21"/>
  <c r="AA10" i="21" s="1"/>
  <c r="R15" i="21"/>
  <c r="AA15" i="21" s="1"/>
  <c r="R14" i="21"/>
  <c r="AA14" i="21" s="1"/>
  <c r="R13" i="21"/>
  <c r="AA13" i="21" s="1"/>
  <c r="S10" i="21"/>
  <c r="AB10" i="21" s="1"/>
  <c r="S15" i="21"/>
  <c r="AB15" i="21" s="1"/>
  <c r="S14" i="21"/>
  <c r="AB14" i="21" s="1"/>
  <c r="S13" i="21"/>
  <c r="AB13" i="21" s="1"/>
  <c r="T21" i="21"/>
  <c r="U21" i="21"/>
  <c r="V21" i="21"/>
  <c r="W21" i="21"/>
  <c r="Z51" i="21"/>
  <c r="Q30" i="21"/>
  <c r="Z30" i="21" s="1"/>
  <c r="Q10" i="21"/>
  <c r="Z10" i="21" s="1"/>
  <c r="W9" i="21"/>
  <c r="V9" i="21"/>
  <c r="U9" i="21"/>
  <c r="T9" i="21"/>
  <c r="AE16" i="21"/>
  <c r="K42" i="24"/>
  <c r="J42" i="24"/>
  <c r="I42" i="24"/>
  <c r="H42" i="24"/>
  <c r="G42" i="24"/>
  <c r="F42" i="24"/>
  <c r="E42" i="24"/>
  <c r="D42" i="24"/>
  <c r="C42" i="24"/>
  <c r="B42" i="24"/>
  <c r="K41" i="24"/>
  <c r="J41" i="24"/>
  <c r="I41" i="24"/>
  <c r="H41" i="24"/>
  <c r="G41" i="24"/>
  <c r="F41" i="24"/>
  <c r="E41" i="24"/>
  <c r="D41" i="24"/>
  <c r="C41" i="24"/>
  <c r="B41" i="24"/>
  <c r="K40" i="24"/>
  <c r="J40" i="24"/>
  <c r="I40" i="24"/>
  <c r="H40" i="24"/>
  <c r="G40" i="24"/>
  <c r="F40" i="24"/>
  <c r="E40" i="24"/>
  <c r="D40" i="24"/>
  <c r="C40" i="24"/>
  <c r="B40" i="24"/>
  <c r="K39" i="24"/>
  <c r="J39" i="24"/>
  <c r="I39" i="24"/>
  <c r="H39" i="24"/>
  <c r="G39" i="24"/>
  <c r="F39" i="24"/>
  <c r="E39" i="24"/>
  <c r="D39" i="24"/>
  <c r="C39" i="24"/>
  <c r="B39" i="24"/>
  <c r="I46" i="22"/>
  <c r="P27" i="8"/>
  <c r="Q27" i="8" s="1"/>
  <c r="Q20" i="8"/>
  <c r="K4" i="6"/>
  <c r="L4" i="6"/>
  <c r="M4" i="6"/>
  <c r="N4" i="6"/>
  <c r="O4" i="6"/>
  <c r="P4" i="6"/>
  <c r="Q4" i="6"/>
  <c r="R4" i="6"/>
  <c r="E6" i="6"/>
  <c r="G6" i="6"/>
  <c r="I6" i="6"/>
  <c r="E7" i="6"/>
  <c r="G7" i="6"/>
  <c r="I7" i="6"/>
  <c r="Y7" i="6" s="1"/>
  <c r="E8" i="6"/>
  <c r="G8" i="6"/>
  <c r="I8" i="6"/>
  <c r="E9" i="6"/>
  <c r="G9" i="6"/>
  <c r="I9" i="6"/>
  <c r="E10" i="6"/>
  <c r="G10" i="6"/>
  <c r="I10" i="6"/>
  <c r="E11" i="6"/>
  <c r="G11" i="6"/>
  <c r="I11" i="6"/>
  <c r="E12" i="6"/>
  <c r="G12" i="6"/>
  <c r="I12" i="6"/>
  <c r="E13" i="6"/>
  <c r="U13" i="6" s="1"/>
  <c r="G13" i="6"/>
  <c r="I13" i="6"/>
  <c r="E14" i="6"/>
  <c r="G14" i="6"/>
  <c r="I14" i="6"/>
  <c r="E15" i="6"/>
  <c r="G15" i="6"/>
  <c r="I15" i="6"/>
  <c r="Y15" i="6" s="1"/>
  <c r="E16" i="6"/>
  <c r="G16" i="6"/>
  <c r="I16" i="6"/>
  <c r="E17" i="6"/>
  <c r="G17" i="6"/>
  <c r="I17" i="6"/>
  <c r="E18" i="6"/>
  <c r="G18" i="6"/>
  <c r="I18" i="6"/>
  <c r="K21" i="6"/>
  <c r="L21" i="6"/>
  <c r="N21" i="6"/>
  <c r="O21" i="6"/>
  <c r="P21" i="6"/>
  <c r="Q21" i="6"/>
  <c r="R21" i="6"/>
  <c r="E23" i="6"/>
  <c r="G23" i="6"/>
  <c r="I23" i="6"/>
  <c r="E24" i="6"/>
  <c r="G24" i="6"/>
  <c r="I24" i="6"/>
  <c r="E25" i="6"/>
  <c r="U25" i="6" s="1"/>
  <c r="G25" i="6"/>
  <c r="I25" i="6"/>
  <c r="E26" i="6"/>
  <c r="G26" i="6"/>
  <c r="I26" i="6"/>
  <c r="K29" i="6"/>
  <c r="L29" i="6"/>
  <c r="M29" i="6"/>
  <c r="N29" i="6"/>
  <c r="O29" i="6"/>
  <c r="P29" i="6"/>
  <c r="Q29" i="6"/>
  <c r="R29" i="6"/>
  <c r="E31" i="6"/>
  <c r="G31" i="6"/>
  <c r="I31" i="6"/>
  <c r="Y31" i="6" s="1"/>
  <c r="E32" i="6"/>
  <c r="G32" i="6"/>
  <c r="I32" i="6"/>
  <c r="E33" i="6"/>
  <c r="G33" i="6"/>
  <c r="I33" i="6"/>
  <c r="E34" i="6"/>
  <c r="G34" i="6"/>
  <c r="W34" i="6" s="1"/>
  <c r="I34" i="6"/>
  <c r="E35" i="6"/>
  <c r="G35" i="6"/>
  <c r="I35" i="6"/>
  <c r="E36" i="6"/>
  <c r="G36" i="6"/>
  <c r="I36" i="6"/>
  <c r="E37" i="6"/>
  <c r="G37" i="6"/>
  <c r="I37" i="6"/>
  <c r="E38" i="6"/>
  <c r="G38" i="6"/>
  <c r="I38" i="6"/>
  <c r="E39" i="6"/>
  <c r="G39" i="6"/>
  <c r="I39" i="6"/>
  <c r="Y39" i="6" s="1"/>
  <c r="E40" i="6"/>
  <c r="G40" i="6"/>
  <c r="I40" i="6"/>
  <c r="E41" i="6"/>
  <c r="G41" i="6"/>
  <c r="I41" i="6"/>
  <c r="E42" i="6"/>
  <c r="G42" i="6"/>
  <c r="W42" i="6" s="1"/>
  <c r="I42" i="6"/>
  <c r="E43" i="6"/>
  <c r="G43" i="6"/>
  <c r="I43" i="6"/>
  <c r="K46" i="6"/>
  <c r="L46" i="6"/>
  <c r="M46" i="6"/>
  <c r="N46" i="6"/>
  <c r="O46" i="6"/>
  <c r="P46" i="6"/>
  <c r="Q46" i="6"/>
  <c r="R46" i="6"/>
  <c r="E48" i="6"/>
  <c r="G48" i="6"/>
  <c r="I48" i="6"/>
  <c r="E50" i="6"/>
  <c r="G50" i="6"/>
  <c r="I50" i="6"/>
  <c r="E51" i="6"/>
  <c r="G51" i="6"/>
  <c r="I51" i="6"/>
  <c r="E52" i="6"/>
  <c r="G52" i="6"/>
  <c r="I52" i="6"/>
  <c r="Y52" i="6" s="1"/>
  <c r="E53" i="6"/>
  <c r="G53" i="6"/>
  <c r="I53" i="6"/>
  <c r="E54" i="6"/>
  <c r="G54" i="6"/>
  <c r="I54" i="6"/>
  <c r="E55" i="6"/>
  <c r="G55" i="6"/>
  <c r="I55" i="6"/>
  <c r="E56" i="6"/>
  <c r="G56" i="6"/>
  <c r="I56" i="6"/>
  <c r="K59" i="6"/>
  <c r="L59" i="6"/>
  <c r="M59" i="6"/>
  <c r="N59" i="6"/>
  <c r="O59" i="6"/>
  <c r="P59" i="6"/>
  <c r="Q59" i="6"/>
  <c r="R59" i="6"/>
  <c r="E61" i="6"/>
  <c r="G61" i="6"/>
  <c r="I61" i="6"/>
  <c r="E62" i="6"/>
  <c r="U62" i="6" s="1"/>
  <c r="G62" i="6"/>
  <c r="I62" i="6"/>
  <c r="E63" i="6"/>
  <c r="G63" i="6"/>
  <c r="I63" i="6"/>
  <c r="E64" i="6"/>
  <c r="G64" i="6"/>
  <c r="I64" i="6"/>
  <c r="Y64" i="6" s="1"/>
  <c r="E66" i="6"/>
  <c r="G66" i="6"/>
  <c r="I66" i="6"/>
  <c r="E67" i="6"/>
  <c r="G67" i="6"/>
  <c r="I67" i="6"/>
  <c r="E68" i="6"/>
  <c r="G68" i="6"/>
  <c r="W68" i="6" s="1"/>
  <c r="I68" i="6"/>
  <c r="K71" i="6"/>
  <c r="L71" i="6"/>
  <c r="M71" i="6"/>
  <c r="N71" i="6"/>
  <c r="O71" i="6"/>
  <c r="P71" i="6"/>
  <c r="Q71" i="6"/>
  <c r="R71" i="6"/>
  <c r="E73" i="6"/>
  <c r="G73" i="6"/>
  <c r="I73" i="6"/>
  <c r="E74" i="6"/>
  <c r="G74" i="6"/>
  <c r="I74" i="6"/>
  <c r="E75" i="6"/>
  <c r="U75" i="6" s="1"/>
  <c r="G75" i="6"/>
  <c r="I75" i="6"/>
  <c r="E76" i="6"/>
  <c r="G76" i="6"/>
  <c r="I76" i="6"/>
  <c r="E78" i="6"/>
  <c r="G78" i="6"/>
  <c r="I78" i="6"/>
  <c r="E79" i="6"/>
  <c r="G79" i="6"/>
  <c r="I79" i="6"/>
  <c r="E80" i="6"/>
  <c r="G80" i="6"/>
  <c r="I80" i="6"/>
  <c r="K83" i="6"/>
  <c r="L83" i="6"/>
  <c r="M83" i="6"/>
  <c r="N83" i="6"/>
  <c r="O83" i="6"/>
  <c r="P83" i="6"/>
  <c r="Q83" i="6"/>
  <c r="R83" i="6"/>
  <c r="E85" i="6"/>
  <c r="G85" i="6"/>
  <c r="W86" i="6" s="1"/>
  <c r="I85" i="6"/>
  <c r="E86" i="6"/>
  <c r="G86" i="6"/>
  <c r="I86" i="6"/>
  <c r="E87" i="6"/>
  <c r="G87" i="6"/>
  <c r="I87" i="6"/>
  <c r="E88" i="6"/>
  <c r="G88" i="6"/>
  <c r="I88" i="6"/>
  <c r="E90" i="6"/>
  <c r="G90" i="6"/>
  <c r="I90" i="6"/>
  <c r="E91" i="6"/>
  <c r="G91" i="6"/>
  <c r="I91" i="6"/>
  <c r="E92" i="6"/>
  <c r="G92" i="6"/>
  <c r="I92" i="6"/>
  <c r="K95" i="6"/>
  <c r="L95" i="6"/>
  <c r="M95" i="6"/>
  <c r="N95" i="6"/>
  <c r="O95" i="6"/>
  <c r="P95" i="6"/>
  <c r="Q95" i="6"/>
  <c r="R95" i="6"/>
  <c r="E97" i="6"/>
  <c r="G97" i="6"/>
  <c r="I97" i="6"/>
  <c r="E98" i="6"/>
  <c r="G98" i="6"/>
  <c r="W98" i="6" s="1"/>
  <c r="I98" i="6"/>
  <c r="E99" i="6"/>
  <c r="G99" i="6"/>
  <c r="I99" i="6"/>
  <c r="E100" i="6"/>
  <c r="G100" i="6"/>
  <c r="I100" i="6"/>
  <c r="E101" i="6"/>
  <c r="G101" i="6"/>
  <c r="I101" i="6"/>
  <c r="E102" i="6"/>
  <c r="G102" i="6"/>
  <c r="I102" i="6"/>
  <c r="E103" i="6"/>
  <c r="G103" i="6"/>
  <c r="I103" i="6"/>
  <c r="Y103" i="6" s="1"/>
  <c r="E104" i="6"/>
  <c r="G104" i="6"/>
  <c r="I104" i="6"/>
  <c r="S4" i="6"/>
  <c r="T4" i="6"/>
  <c r="U4" i="6"/>
  <c r="V4" i="6"/>
  <c r="W4" i="6"/>
  <c r="X4" i="6"/>
  <c r="Y4" i="6"/>
  <c r="Z4" i="6"/>
  <c r="U6" i="6"/>
  <c r="S6" i="6"/>
  <c r="T6" i="6"/>
  <c r="V6" i="6"/>
  <c r="W6" i="6"/>
  <c r="X6" i="6"/>
  <c r="Y6" i="6"/>
  <c r="Z6" i="6"/>
  <c r="S7" i="6"/>
  <c r="T7" i="6"/>
  <c r="U7" i="6"/>
  <c r="V7" i="6"/>
  <c r="W7" i="6"/>
  <c r="X7" i="6"/>
  <c r="Z7" i="6"/>
  <c r="U8" i="6"/>
  <c r="W8" i="6"/>
  <c r="S8" i="6"/>
  <c r="T8" i="6"/>
  <c r="V8" i="6"/>
  <c r="X8" i="6"/>
  <c r="Y8" i="6"/>
  <c r="Z8" i="6"/>
  <c r="S9" i="6"/>
  <c r="T9" i="6"/>
  <c r="U9" i="6"/>
  <c r="V9" i="6"/>
  <c r="W9" i="6"/>
  <c r="X9" i="6"/>
  <c r="Y9" i="6"/>
  <c r="Z9" i="6"/>
  <c r="S10" i="6"/>
  <c r="T10" i="6"/>
  <c r="U10" i="6"/>
  <c r="V10" i="6"/>
  <c r="W10" i="6"/>
  <c r="X10" i="6"/>
  <c r="Y10" i="6"/>
  <c r="Z10" i="6"/>
  <c r="U11" i="6"/>
  <c r="S11" i="6"/>
  <c r="T11" i="6"/>
  <c r="V11" i="6"/>
  <c r="W11" i="6"/>
  <c r="X11" i="6"/>
  <c r="Y11" i="6"/>
  <c r="Z11" i="6"/>
  <c r="S12" i="6"/>
  <c r="T12" i="6"/>
  <c r="U12" i="6"/>
  <c r="V12" i="6"/>
  <c r="W12" i="6"/>
  <c r="X12" i="6"/>
  <c r="Y12" i="6"/>
  <c r="Z12" i="6"/>
  <c r="Y13" i="6"/>
  <c r="S13" i="6"/>
  <c r="T13" i="6"/>
  <c r="V13" i="6"/>
  <c r="W13" i="6"/>
  <c r="X13" i="6"/>
  <c r="Z13" i="6"/>
  <c r="S14" i="6"/>
  <c r="T14" i="6"/>
  <c r="U14" i="6"/>
  <c r="V14" i="6"/>
  <c r="W14" i="6"/>
  <c r="X14" i="6"/>
  <c r="Y14" i="6"/>
  <c r="Z14" i="6"/>
  <c r="U15" i="6"/>
  <c r="S15" i="6"/>
  <c r="T15" i="6"/>
  <c r="V15" i="6"/>
  <c r="W15" i="6"/>
  <c r="X15" i="6"/>
  <c r="Z15" i="6"/>
  <c r="W16" i="6"/>
  <c r="S16" i="6"/>
  <c r="T16" i="6"/>
  <c r="U16" i="6"/>
  <c r="V16" i="6"/>
  <c r="X16" i="6"/>
  <c r="Y16" i="6"/>
  <c r="Z16" i="6"/>
  <c r="S17" i="6"/>
  <c r="T17" i="6"/>
  <c r="U17" i="6"/>
  <c r="V17" i="6"/>
  <c r="W17" i="6"/>
  <c r="X17" i="6"/>
  <c r="Y17" i="6"/>
  <c r="Z17" i="6"/>
  <c r="S18" i="6"/>
  <c r="T18" i="6"/>
  <c r="U18" i="6"/>
  <c r="V18" i="6"/>
  <c r="W18" i="6"/>
  <c r="X18" i="6"/>
  <c r="Y18" i="6"/>
  <c r="Z18" i="6"/>
  <c r="S23" i="6"/>
  <c r="T23" i="6"/>
  <c r="V23" i="6"/>
  <c r="W23" i="6"/>
  <c r="X23" i="6"/>
  <c r="Y23" i="6"/>
  <c r="Z23" i="6"/>
  <c r="S24" i="6"/>
  <c r="T24" i="6"/>
  <c r="V24" i="6"/>
  <c r="W24" i="6"/>
  <c r="X24" i="6"/>
  <c r="Y24" i="6"/>
  <c r="Z24" i="6"/>
  <c r="Y25" i="6"/>
  <c r="S25" i="6"/>
  <c r="T25" i="6"/>
  <c r="V25" i="6"/>
  <c r="W25" i="6"/>
  <c r="X25" i="6"/>
  <c r="Z25" i="6"/>
  <c r="S26" i="6"/>
  <c r="T26" i="6"/>
  <c r="V26" i="6"/>
  <c r="W26" i="6"/>
  <c r="X26" i="6"/>
  <c r="Y26" i="6"/>
  <c r="Z26" i="6"/>
  <c r="S29" i="6"/>
  <c r="T29" i="6"/>
  <c r="T46" i="6" s="1"/>
  <c r="V29" i="6"/>
  <c r="V46" i="6" s="1"/>
  <c r="X29" i="6"/>
  <c r="Z29" i="6"/>
  <c r="Z46" i="6" s="1"/>
  <c r="S31" i="6"/>
  <c r="T31" i="6"/>
  <c r="U31" i="6"/>
  <c r="V31" i="6"/>
  <c r="W31" i="6"/>
  <c r="X31" i="6"/>
  <c r="Z31" i="6"/>
  <c r="W32" i="6"/>
  <c r="S32" i="6"/>
  <c r="T32" i="6"/>
  <c r="U32" i="6"/>
  <c r="V32" i="6"/>
  <c r="X32" i="6"/>
  <c r="Z32" i="6"/>
  <c r="W33" i="6"/>
  <c r="S33" i="6"/>
  <c r="T33" i="6"/>
  <c r="U33" i="6"/>
  <c r="V33" i="6"/>
  <c r="X33" i="6"/>
  <c r="Z33" i="6"/>
  <c r="S34" i="6"/>
  <c r="T34" i="6"/>
  <c r="U34" i="6"/>
  <c r="V34" i="6"/>
  <c r="X34" i="6"/>
  <c r="Z34" i="6"/>
  <c r="S35" i="6"/>
  <c r="T35" i="6"/>
  <c r="U35" i="6"/>
  <c r="V35" i="6"/>
  <c r="W35" i="6"/>
  <c r="X35" i="6"/>
  <c r="Z35" i="6"/>
  <c r="U36" i="6"/>
  <c r="S36" i="6"/>
  <c r="T36" i="6"/>
  <c r="V36" i="6"/>
  <c r="W36" i="6"/>
  <c r="X36" i="6"/>
  <c r="Z36" i="6"/>
  <c r="S37" i="6"/>
  <c r="T37" i="6"/>
  <c r="U37" i="6"/>
  <c r="V37" i="6"/>
  <c r="W37" i="6"/>
  <c r="X37" i="6"/>
  <c r="Z37" i="6"/>
  <c r="U38" i="6"/>
  <c r="S38" i="6"/>
  <c r="T38" i="6"/>
  <c r="V38" i="6"/>
  <c r="W38" i="6"/>
  <c r="X38" i="6"/>
  <c r="Z38" i="6"/>
  <c r="S39" i="6"/>
  <c r="T39" i="6"/>
  <c r="U39" i="6"/>
  <c r="V39" i="6"/>
  <c r="W39" i="6"/>
  <c r="X39" i="6"/>
  <c r="Z39" i="6"/>
  <c r="W40" i="6"/>
  <c r="S40" i="6"/>
  <c r="T40" i="6"/>
  <c r="U40" i="6"/>
  <c r="V40" i="6"/>
  <c r="X40" i="6"/>
  <c r="Z40" i="6"/>
  <c r="W41" i="6"/>
  <c r="S41" i="6"/>
  <c r="T41" i="6"/>
  <c r="U41" i="6"/>
  <c r="V41" i="6"/>
  <c r="X41" i="6"/>
  <c r="Z41" i="6"/>
  <c r="U42" i="6"/>
  <c r="S42" i="6"/>
  <c r="T42" i="6"/>
  <c r="V42" i="6"/>
  <c r="X42" i="6"/>
  <c r="Z42" i="6"/>
  <c r="S43" i="6"/>
  <c r="T43" i="6"/>
  <c r="U43" i="6"/>
  <c r="V43" i="6"/>
  <c r="W43" i="6"/>
  <c r="X43" i="6"/>
  <c r="Z43" i="6"/>
  <c r="S46" i="6"/>
  <c r="X46" i="6"/>
  <c r="S48" i="6"/>
  <c r="T48" i="6"/>
  <c r="U48" i="6"/>
  <c r="V48" i="6"/>
  <c r="W48" i="6"/>
  <c r="X48" i="6"/>
  <c r="Y48" i="6"/>
  <c r="Z48" i="6"/>
  <c r="U50" i="6"/>
  <c r="W50" i="6"/>
  <c r="S50" i="6"/>
  <c r="T50" i="6"/>
  <c r="V50" i="6"/>
  <c r="X50" i="6"/>
  <c r="Y50" i="6"/>
  <c r="Z50" i="6"/>
  <c r="S51" i="6"/>
  <c r="T51" i="6"/>
  <c r="U51" i="6"/>
  <c r="V51" i="6"/>
  <c r="W51" i="6"/>
  <c r="X51" i="6"/>
  <c r="Y51" i="6"/>
  <c r="Z51" i="6"/>
  <c r="U52" i="6"/>
  <c r="S52" i="6"/>
  <c r="T52" i="6"/>
  <c r="V52" i="6"/>
  <c r="W52" i="6"/>
  <c r="X52" i="6"/>
  <c r="Z52" i="6"/>
  <c r="S53" i="6"/>
  <c r="T53" i="6"/>
  <c r="U53" i="6"/>
  <c r="V53" i="6"/>
  <c r="W53" i="6"/>
  <c r="X53" i="6"/>
  <c r="Y53" i="6"/>
  <c r="Z53" i="6"/>
  <c r="W54" i="6"/>
  <c r="S54" i="6"/>
  <c r="T54" i="6"/>
  <c r="U54" i="6"/>
  <c r="V54" i="6"/>
  <c r="X54" i="6"/>
  <c r="Y54" i="6"/>
  <c r="Z54" i="6"/>
  <c r="W55" i="6"/>
  <c r="S55" i="6"/>
  <c r="T55" i="6"/>
  <c r="U55" i="6"/>
  <c r="V55" i="6"/>
  <c r="X55" i="6"/>
  <c r="Y55" i="6"/>
  <c r="Z55" i="6"/>
  <c r="U56" i="6"/>
  <c r="Y56" i="6"/>
  <c r="S56" i="6"/>
  <c r="T56" i="6"/>
  <c r="V56" i="6"/>
  <c r="W56" i="6"/>
  <c r="X56" i="6"/>
  <c r="Z56" i="6"/>
  <c r="S59" i="6"/>
  <c r="T59" i="6"/>
  <c r="V59" i="6"/>
  <c r="X59" i="6"/>
  <c r="Z59" i="6"/>
  <c r="U61" i="6"/>
  <c r="Y61" i="6"/>
  <c r="S61" i="6"/>
  <c r="T61" i="6"/>
  <c r="V61" i="6"/>
  <c r="W61" i="6"/>
  <c r="X61" i="6"/>
  <c r="Z61" i="6"/>
  <c r="S62" i="6"/>
  <c r="T62" i="6"/>
  <c r="V62" i="6"/>
  <c r="W62" i="6"/>
  <c r="X62" i="6"/>
  <c r="Y62" i="6"/>
  <c r="Z62" i="6"/>
  <c r="U63" i="6"/>
  <c r="W63" i="6"/>
  <c r="S63" i="6"/>
  <c r="T63" i="6"/>
  <c r="V63" i="6"/>
  <c r="X63" i="6"/>
  <c r="Y63" i="6"/>
  <c r="Z63" i="6"/>
  <c r="S64" i="6"/>
  <c r="T64" i="6"/>
  <c r="U64" i="6"/>
  <c r="V64" i="6"/>
  <c r="W64" i="6"/>
  <c r="X64" i="6"/>
  <c r="Z64" i="6"/>
  <c r="S65" i="6"/>
  <c r="T65" i="6"/>
  <c r="U65" i="6"/>
  <c r="V65" i="6"/>
  <c r="W65" i="6"/>
  <c r="X65" i="6"/>
  <c r="Y65" i="6"/>
  <c r="Z65" i="6"/>
  <c r="U66" i="6"/>
  <c r="Y66" i="6"/>
  <c r="S66" i="6"/>
  <c r="T66" i="6"/>
  <c r="V66" i="6"/>
  <c r="W66" i="6"/>
  <c r="X66" i="6"/>
  <c r="Z66" i="6"/>
  <c r="S67" i="6"/>
  <c r="T67" i="6"/>
  <c r="U67" i="6"/>
  <c r="V67" i="6"/>
  <c r="W67" i="6"/>
  <c r="X67" i="6"/>
  <c r="Y67" i="6"/>
  <c r="Z67" i="6"/>
  <c r="S68" i="6"/>
  <c r="T68" i="6"/>
  <c r="U68" i="6"/>
  <c r="V68" i="6"/>
  <c r="X68" i="6"/>
  <c r="Y68" i="6"/>
  <c r="Z68" i="6"/>
  <c r="S71" i="6"/>
  <c r="T71" i="6"/>
  <c r="V71" i="6"/>
  <c r="X71" i="6"/>
  <c r="Z71" i="6"/>
  <c r="W73" i="6"/>
  <c r="S73" i="6"/>
  <c r="T73" i="6"/>
  <c r="U73" i="6"/>
  <c r="V73" i="6"/>
  <c r="X73" i="6"/>
  <c r="Y73" i="6"/>
  <c r="Z73" i="6"/>
  <c r="W74" i="6"/>
  <c r="S74" i="6"/>
  <c r="T74" i="6"/>
  <c r="U74" i="6"/>
  <c r="V74" i="6"/>
  <c r="X74" i="6"/>
  <c r="Y74" i="6"/>
  <c r="Z74" i="6"/>
  <c r="Y75" i="6"/>
  <c r="S75" i="6"/>
  <c r="T75" i="6"/>
  <c r="V75" i="6"/>
  <c r="W75" i="6"/>
  <c r="X75" i="6"/>
  <c r="Z75" i="6"/>
  <c r="U76" i="6"/>
  <c r="S76" i="6"/>
  <c r="T76" i="6"/>
  <c r="V76" i="6"/>
  <c r="W76" i="6"/>
  <c r="X76" i="6"/>
  <c r="Y76" i="6"/>
  <c r="Z76" i="6"/>
  <c r="S77" i="6"/>
  <c r="T77" i="6"/>
  <c r="U77" i="6"/>
  <c r="V77" i="6"/>
  <c r="W77" i="6"/>
  <c r="X77" i="6"/>
  <c r="Y77" i="6"/>
  <c r="Z77" i="6"/>
  <c r="U78" i="6"/>
  <c r="W78" i="6"/>
  <c r="S78" i="6"/>
  <c r="T78" i="6"/>
  <c r="V78" i="6"/>
  <c r="X78" i="6"/>
  <c r="Y78" i="6"/>
  <c r="Z78" i="6"/>
  <c r="S79" i="6"/>
  <c r="T79" i="6"/>
  <c r="U79" i="6"/>
  <c r="V79" i="6"/>
  <c r="W79" i="6"/>
  <c r="X79" i="6"/>
  <c r="Y79" i="6"/>
  <c r="Z79" i="6"/>
  <c r="U80" i="6"/>
  <c r="Y80" i="6"/>
  <c r="S80" i="6"/>
  <c r="T80" i="6"/>
  <c r="V80" i="6"/>
  <c r="W80" i="6"/>
  <c r="X80" i="6"/>
  <c r="Z80" i="6"/>
  <c r="S83" i="6"/>
  <c r="T83" i="6"/>
  <c r="V83" i="6"/>
  <c r="X83" i="6"/>
  <c r="Z83" i="6"/>
  <c r="U85" i="6"/>
  <c r="Y92" i="6"/>
  <c r="S85" i="6"/>
  <c r="T85" i="6"/>
  <c r="V85" i="6"/>
  <c r="X85" i="6"/>
  <c r="Z85" i="6"/>
  <c r="S86" i="6"/>
  <c r="T86" i="6"/>
  <c r="U86" i="6"/>
  <c r="V86" i="6"/>
  <c r="X86" i="6"/>
  <c r="Z86" i="6"/>
  <c r="S87" i="6"/>
  <c r="T87" i="6"/>
  <c r="U87" i="6"/>
  <c r="V87" i="6"/>
  <c r="X87" i="6"/>
  <c r="Z87" i="6"/>
  <c r="S88" i="6"/>
  <c r="T88" i="6"/>
  <c r="U88" i="6"/>
  <c r="V88" i="6"/>
  <c r="X88" i="6"/>
  <c r="Y88" i="6"/>
  <c r="Z88" i="6"/>
  <c r="S89" i="6"/>
  <c r="T89" i="6"/>
  <c r="U89" i="6"/>
  <c r="V89" i="6"/>
  <c r="X89" i="6"/>
  <c r="Y89" i="6"/>
  <c r="Z89" i="6"/>
  <c r="U90" i="6"/>
  <c r="Y90" i="6"/>
  <c r="S90" i="6"/>
  <c r="T90" i="6"/>
  <c r="V90" i="6"/>
  <c r="X90" i="6"/>
  <c r="Z90" i="6"/>
  <c r="U91" i="6"/>
  <c r="S91" i="6"/>
  <c r="T91" i="6"/>
  <c r="V91" i="6"/>
  <c r="X91" i="6"/>
  <c r="Z91" i="6"/>
  <c r="U92" i="6"/>
  <c r="S92" i="6"/>
  <c r="T92" i="6"/>
  <c r="V92" i="6"/>
  <c r="X92" i="6"/>
  <c r="Z92" i="6"/>
  <c r="S95" i="6"/>
  <c r="T95" i="6"/>
  <c r="V95" i="6"/>
  <c r="X95" i="6"/>
  <c r="Z95" i="6"/>
  <c r="U101" i="6"/>
  <c r="W97" i="6"/>
  <c r="S97" i="6"/>
  <c r="T97" i="6"/>
  <c r="V97" i="6"/>
  <c r="X97" i="6"/>
  <c r="Y97" i="6"/>
  <c r="Z97" i="6"/>
  <c r="S98" i="6"/>
  <c r="T98" i="6"/>
  <c r="U98" i="6"/>
  <c r="V98" i="6"/>
  <c r="X98" i="6"/>
  <c r="Y98" i="6"/>
  <c r="Z98" i="6"/>
  <c r="U99" i="6"/>
  <c r="Y99" i="6"/>
  <c r="S99" i="6"/>
  <c r="T99" i="6"/>
  <c r="V99" i="6"/>
  <c r="W99" i="6"/>
  <c r="X99" i="6"/>
  <c r="Z99" i="6"/>
  <c r="U100" i="6"/>
  <c r="S100" i="6"/>
  <c r="T100" i="6"/>
  <c r="V100" i="6"/>
  <c r="W100" i="6"/>
  <c r="X100" i="6"/>
  <c r="Y100" i="6"/>
  <c r="Z100" i="6"/>
  <c r="W101" i="6"/>
  <c r="S101" i="6"/>
  <c r="T101" i="6"/>
  <c r="V101" i="6"/>
  <c r="X101" i="6"/>
  <c r="Y101" i="6"/>
  <c r="Z101" i="6"/>
  <c r="W102" i="6"/>
  <c r="S102" i="6"/>
  <c r="T102" i="6"/>
  <c r="V102" i="6"/>
  <c r="X102" i="6"/>
  <c r="Y102" i="6"/>
  <c r="Z102" i="6"/>
  <c r="U103" i="6"/>
  <c r="S103" i="6"/>
  <c r="T103" i="6"/>
  <c r="V103" i="6"/>
  <c r="W103" i="6"/>
  <c r="X103" i="6"/>
  <c r="Z103" i="6"/>
  <c r="U104" i="6"/>
  <c r="S104" i="6"/>
  <c r="T104" i="6"/>
  <c r="V104" i="6"/>
  <c r="W104" i="6"/>
  <c r="X104" i="6"/>
  <c r="Y104" i="6"/>
  <c r="Z104" i="6"/>
  <c r="K30" i="21"/>
  <c r="L30" i="21" s="1"/>
  <c r="I30" i="21"/>
  <c r="F19" i="23"/>
  <c r="E19" i="23"/>
  <c r="D19" i="23"/>
  <c r="AG19" i="23" s="1"/>
  <c r="F18" i="23"/>
  <c r="E18" i="23"/>
  <c r="D18" i="23"/>
  <c r="AG18" i="23" s="1"/>
  <c r="F17" i="23"/>
  <c r="E17" i="23"/>
  <c r="D17" i="23"/>
  <c r="AG17" i="23" s="1"/>
  <c r="F13" i="23"/>
  <c r="E13" i="23"/>
  <c r="D13" i="23"/>
  <c r="AJ13" i="23" s="1"/>
  <c r="F12" i="23"/>
  <c r="AD20" i="24" s="1"/>
  <c r="E12" i="23"/>
  <c r="D12" i="23"/>
  <c r="AJ12" i="23" s="1"/>
  <c r="F11" i="23"/>
  <c r="E11" i="23"/>
  <c r="D11" i="23"/>
  <c r="AJ11" i="23" s="1"/>
  <c r="B5" i="23"/>
  <c r="A5" i="23"/>
  <c r="B4" i="23"/>
  <c r="A4" i="23"/>
  <c r="D106" i="22"/>
  <c r="D118" i="22" s="1"/>
  <c r="D130" i="22" s="1"/>
  <c r="T85" i="22" s="1"/>
  <c r="D103" i="22"/>
  <c r="D115" i="22" s="1"/>
  <c r="D102" i="22"/>
  <c r="D114" i="22" s="1"/>
  <c r="D101" i="22"/>
  <c r="D113" i="22" s="1"/>
  <c r="D77" i="22"/>
  <c r="D73" i="22"/>
  <c r="D72" i="22"/>
  <c r="T69" i="22"/>
  <c r="T66" i="22"/>
  <c r="T65" i="22"/>
  <c r="T64" i="22"/>
  <c r="D63" i="22"/>
  <c r="T35" i="22" s="1"/>
  <c r="T61" i="22"/>
  <c r="D61" i="22"/>
  <c r="T58" i="22"/>
  <c r="T57" i="22"/>
  <c r="T56" i="22"/>
  <c r="D55" i="22"/>
  <c r="D57" i="22" s="1"/>
  <c r="T31" i="22" s="1"/>
  <c r="T53" i="22"/>
  <c r="T50" i="22"/>
  <c r="T49" i="22"/>
  <c r="T48" i="22"/>
  <c r="T45" i="22"/>
  <c r="T44" i="22"/>
  <c r="T43" i="22"/>
  <c r="T40" i="22"/>
  <c r="T39" i="22"/>
  <c r="T34" i="22"/>
  <c r="T33" i="22"/>
  <c r="T32" i="22"/>
  <c r="D32" i="22"/>
  <c r="D33" i="22" s="1"/>
  <c r="T30" i="22"/>
  <c r="T29" i="22"/>
  <c r="D29" i="22"/>
  <c r="T27" i="22"/>
  <c r="T26" i="22"/>
  <c r="D25" i="22"/>
  <c r="T22" i="22"/>
  <c r="D21" i="22"/>
  <c r="T20" i="22"/>
  <c r="C18" i="22"/>
  <c r="T17" i="22"/>
  <c r="T16" i="22"/>
  <c r="E7" i="22"/>
  <c r="P5" i="22"/>
  <c r="O5" i="22"/>
  <c r="N5" i="22"/>
  <c r="M5" i="22"/>
  <c r="L5" i="22"/>
  <c r="K5" i="22"/>
  <c r="J5" i="22"/>
  <c r="I5" i="22"/>
  <c r="H5" i="22"/>
  <c r="G5" i="22"/>
  <c r="F5" i="22"/>
  <c r="E5" i="22"/>
  <c r="K91" i="21"/>
  <c r="I91" i="21"/>
  <c r="K90" i="21"/>
  <c r="M90" i="21" s="1"/>
  <c r="K89" i="21"/>
  <c r="L89" i="21" s="1"/>
  <c r="I89" i="21"/>
  <c r="K88" i="21"/>
  <c r="I88" i="21"/>
  <c r="K87" i="21"/>
  <c r="I87" i="21"/>
  <c r="K86" i="21"/>
  <c r="L86" i="21" s="1"/>
  <c r="K85" i="21"/>
  <c r="M85" i="21" s="1"/>
  <c r="I85" i="21"/>
  <c r="K84" i="21"/>
  <c r="I84" i="21"/>
  <c r="K83" i="21"/>
  <c r="I83" i="21"/>
  <c r="K82" i="21"/>
  <c r="M82" i="21" s="1"/>
  <c r="K81" i="21"/>
  <c r="M81" i="21" s="1"/>
  <c r="I81" i="21"/>
  <c r="K80" i="21"/>
  <c r="I80" i="21"/>
  <c r="K79" i="21"/>
  <c r="I79" i="21"/>
  <c r="K78" i="21"/>
  <c r="K77" i="21"/>
  <c r="M77" i="21" s="1"/>
  <c r="I77" i="21"/>
  <c r="K76" i="21"/>
  <c r="I76" i="21"/>
  <c r="K75" i="21"/>
  <c r="M75" i="21" s="1"/>
  <c r="I75" i="21"/>
  <c r="K74" i="21"/>
  <c r="K73" i="21"/>
  <c r="M73" i="21" s="1"/>
  <c r="I73" i="21"/>
  <c r="K72" i="21"/>
  <c r="I72" i="21"/>
  <c r="K71" i="21"/>
  <c r="I71" i="21"/>
  <c r="K70" i="21"/>
  <c r="L70" i="21" s="1"/>
  <c r="K69" i="21"/>
  <c r="L69" i="21" s="1"/>
  <c r="I69" i="21"/>
  <c r="K68" i="21"/>
  <c r="L68" i="21" s="1"/>
  <c r="I68" i="21"/>
  <c r="K67" i="21"/>
  <c r="L67" i="21" s="1"/>
  <c r="I67" i="21"/>
  <c r="K66" i="21"/>
  <c r="M66" i="21" s="1"/>
  <c r="K65" i="21"/>
  <c r="L65" i="21" s="1"/>
  <c r="I65" i="21"/>
  <c r="K64" i="21"/>
  <c r="M64" i="21" s="1"/>
  <c r="I64" i="21"/>
  <c r="K63" i="21"/>
  <c r="M63" i="21" s="1"/>
  <c r="I63" i="21"/>
  <c r="K62" i="21"/>
  <c r="K61" i="21"/>
  <c r="M61" i="21" s="1"/>
  <c r="I61" i="21"/>
  <c r="K60" i="21"/>
  <c r="L60" i="21" s="1"/>
  <c r="I60" i="21"/>
  <c r="K59" i="21"/>
  <c r="I59" i="21"/>
  <c r="K58" i="21"/>
  <c r="M58" i="21" s="1"/>
  <c r="K57" i="21"/>
  <c r="M57" i="21" s="1"/>
  <c r="I57" i="21"/>
  <c r="K56" i="21"/>
  <c r="I56" i="21"/>
  <c r="K55" i="21"/>
  <c r="M55" i="21" s="1"/>
  <c r="I55" i="21"/>
  <c r="K54" i="21"/>
  <c r="I54" i="21"/>
  <c r="K53" i="21"/>
  <c r="L53" i="21" s="1"/>
  <c r="I53" i="21"/>
  <c r="K52" i="21"/>
  <c r="M52" i="21" s="1"/>
  <c r="I52" i="21"/>
  <c r="K51" i="21"/>
  <c r="I51" i="21"/>
  <c r="K50" i="21"/>
  <c r="M50" i="21" s="1"/>
  <c r="I50" i="21"/>
  <c r="K49" i="21"/>
  <c r="M49" i="21" s="1"/>
  <c r="I49" i="21"/>
  <c r="K48" i="21"/>
  <c r="I48" i="21"/>
  <c r="K47" i="21"/>
  <c r="I47" i="21"/>
  <c r="K46" i="21"/>
  <c r="I46" i="21"/>
  <c r="K45" i="21"/>
  <c r="I45" i="21"/>
  <c r="K44" i="21"/>
  <c r="I44" i="21"/>
  <c r="K43" i="21"/>
  <c r="M43" i="21" s="1"/>
  <c r="I43" i="21"/>
  <c r="K42" i="21"/>
  <c r="M42" i="21" s="1"/>
  <c r="I42" i="21"/>
  <c r="K41" i="21"/>
  <c r="M41" i="21" s="1"/>
  <c r="I41" i="21"/>
  <c r="K40" i="21"/>
  <c r="I40" i="21"/>
  <c r="K39" i="21"/>
  <c r="M39" i="21" s="1"/>
  <c r="I39" i="21"/>
  <c r="K38" i="21"/>
  <c r="I38" i="21"/>
  <c r="K37" i="21"/>
  <c r="L37" i="21" s="1"/>
  <c r="I37" i="21"/>
  <c r="K36" i="21"/>
  <c r="M36" i="21" s="1"/>
  <c r="I36" i="21"/>
  <c r="K35" i="21"/>
  <c r="L35" i="21" s="1"/>
  <c r="I35" i="21"/>
  <c r="K34" i="21"/>
  <c r="I34" i="21"/>
  <c r="K33" i="21"/>
  <c r="I33" i="21"/>
  <c r="K32" i="21"/>
  <c r="M32" i="21" s="1"/>
  <c r="I32" i="21"/>
  <c r="K31" i="21"/>
  <c r="I31" i="21"/>
  <c r="K29" i="21"/>
  <c r="I29" i="21"/>
  <c r="K28" i="21"/>
  <c r="M28" i="21" s="1"/>
  <c r="I28" i="21"/>
  <c r="K27" i="21"/>
  <c r="M27" i="21" s="1"/>
  <c r="I27" i="21"/>
  <c r="K26" i="21"/>
  <c r="M26" i="21" s="1"/>
  <c r="I26" i="21"/>
  <c r="K25" i="21"/>
  <c r="I25" i="21"/>
  <c r="K24" i="21"/>
  <c r="M24" i="21" s="1"/>
  <c r="I24" i="21"/>
  <c r="K23" i="21"/>
  <c r="M23" i="21" s="1"/>
  <c r="I23" i="21"/>
  <c r="K22" i="21"/>
  <c r="I22" i="21"/>
  <c r="K21" i="21"/>
  <c r="L21" i="21" s="1"/>
  <c r="I21" i="21"/>
  <c r="K20" i="21"/>
  <c r="L20" i="21" s="1"/>
  <c r="I20" i="21"/>
  <c r="K19" i="21"/>
  <c r="I19" i="21"/>
  <c r="K18" i="21"/>
  <c r="L18" i="21" s="1"/>
  <c r="I18" i="21"/>
  <c r="K17" i="21"/>
  <c r="I17" i="21"/>
  <c r="K16" i="21"/>
  <c r="M16" i="21" s="1"/>
  <c r="I16" i="21"/>
  <c r="K15" i="21"/>
  <c r="M15" i="21" s="1"/>
  <c r="I15" i="21"/>
  <c r="K14" i="21"/>
  <c r="I14" i="21"/>
  <c r="K13" i="21"/>
  <c r="I13" i="21"/>
  <c r="K12" i="21"/>
  <c r="L12" i="21" s="1"/>
  <c r="I12" i="21"/>
  <c r="K11" i="21"/>
  <c r="I11" i="21"/>
  <c r="K10" i="21"/>
  <c r="M10" i="21" s="1"/>
  <c r="I10" i="21"/>
  <c r="K9" i="21"/>
  <c r="I9" i="21"/>
  <c r="AF8" i="21"/>
  <c r="AE8" i="21"/>
  <c r="AD8" i="21"/>
  <c r="AC8" i="21"/>
  <c r="AB8" i="21"/>
  <c r="AA8" i="21"/>
  <c r="Z8" i="21"/>
  <c r="W2" i="21"/>
  <c r="V2" i="21"/>
  <c r="U2" i="21"/>
  <c r="T2" i="21"/>
  <c r="S2" i="21"/>
  <c r="R2" i="21"/>
  <c r="Q2" i="21"/>
  <c r="AC18" i="13"/>
  <c r="AC19" i="13" s="1"/>
  <c r="AC20" i="13" s="1"/>
  <c r="AC21" i="13" s="1"/>
  <c r="AC22" i="13" s="1"/>
  <c r="AC23" i="13" s="1"/>
  <c r="AC24" i="13" s="1"/>
  <c r="AC25" i="13" s="1"/>
  <c r="AC26" i="13" s="1"/>
  <c r="AC27" i="13" s="1"/>
  <c r="AC28" i="13" s="1"/>
  <c r="AC29" i="13" s="1"/>
  <c r="AC30" i="13" s="1"/>
  <c r="AC31" i="13" s="1"/>
  <c r="AC32" i="13" s="1"/>
  <c r="AC33" i="13" s="1"/>
  <c r="AC34" i="13" s="1"/>
  <c r="AC35" i="13" s="1"/>
  <c r="AC36" i="13" s="1"/>
  <c r="AC37" i="13" s="1"/>
  <c r="AC38" i="13" s="1"/>
  <c r="AC39" i="13" s="1"/>
  <c r="AC40" i="13" s="1"/>
  <c r="AC41" i="13" s="1"/>
  <c r="AC42" i="13" s="1"/>
  <c r="AC43" i="13" s="1"/>
  <c r="AC44" i="13" s="1"/>
  <c r="AC45" i="13" s="1"/>
  <c r="AC46" i="13" s="1"/>
  <c r="AC47" i="13" s="1"/>
  <c r="AC48" i="13" s="1"/>
  <c r="AC49" i="13" s="1"/>
  <c r="AC50" i="13" s="1"/>
  <c r="AC51" i="13" s="1"/>
  <c r="AC52" i="13" s="1"/>
  <c r="AC53" i="13" s="1"/>
  <c r="AC54" i="13" s="1"/>
  <c r="AC55" i="13" s="1"/>
  <c r="AC56" i="13" s="1"/>
  <c r="AC57" i="13" s="1"/>
  <c r="AC58" i="13" s="1"/>
  <c r="AC59" i="13" s="1"/>
  <c r="AC60" i="13" s="1"/>
  <c r="AC61" i="13" s="1"/>
  <c r="AC62" i="13" s="1"/>
  <c r="AC63" i="13" s="1"/>
  <c r="AC64" i="13" s="1"/>
  <c r="AC65" i="13" s="1"/>
  <c r="AC66" i="13" s="1"/>
  <c r="AC67" i="13" s="1"/>
  <c r="AC68" i="13" s="1"/>
  <c r="AC69" i="13" s="1"/>
  <c r="AC70" i="13" s="1"/>
  <c r="AC71" i="13" s="1"/>
  <c r="AC72" i="13" s="1"/>
  <c r="AC73" i="13" s="1"/>
  <c r="AC74" i="13" s="1"/>
  <c r="AC75" i="13" s="1"/>
  <c r="AC76" i="13" s="1"/>
  <c r="AC77" i="13" s="1"/>
  <c r="AC78" i="13" s="1"/>
  <c r="AC79" i="13" s="1"/>
  <c r="AC80" i="13" s="1"/>
  <c r="AC81" i="13" s="1"/>
  <c r="AC82" i="13" s="1"/>
  <c r="AC83" i="13" s="1"/>
  <c r="AC84" i="13" s="1"/>
  <c r="AC85" i="13" s="1"/>
  <c r="AC86" i="13" s="1"/>
  <c r="AC87" i="13" s="1"/>
  <c r="AC88" i="13" s="1"/>
  <c r="AC89" i="13" s="1"/>
  <c r="AC90" i="13" s="1"/>
  <c r="AC91" i="13" s="1"/>
  <c r="AC92" i="13" s="1"/>
  <c r="AC93" i="13" s="1"/>
  <c r="AC94" i="13" s="1"/>
  <c r="AC95" i="13" s="1"/>
  <c r="AC96" i="13" s="1"/>
  <c r="AC97" i="13" s="1"/>
  <c r="AC98" i="13" s="1"/>
  <c r="AC99" i="13" s="1"/>
  <c r="AC100" i="13" s="1"/>
  <c r="AC101" i="13" s="1"/>
  <c r="AC102" i="13" s="1"/>
  <c r="AC103" i="13" s="1"/>
  <c r="AC104" i="13" s="1"/>
  <c r="AC105" i="13" s="1"/>
  <c r="AC106" i="13" s="1"/>
  <c r="AC107" i="13" s="1"/>
  <c r="AC108" i="13" s="1"/>
  <c r="AC109" i="13" s="1"/>
  <c r="AC110" i="13" s="1"/>
  <c r="AC111" i="13" s="1"/>
  <c r="AC112" i="13" s="1"/>
  <c r="AC113" i="13" s="1"/>
  <c r="AC114" i="13" s="1"/>
  <c r="AC115" i="13" s="1"/>
  <c r="AC116" i="13" s="1"/>
  <c r="AC117" i="13" s="1"/>
  <c r="AC118" i="13" s="1"/>
  <c r="AC119" i="13" s="1"/>
  <c r="AC120" i="13" s="1"/>
  <c r="AC121" i="13" s="1"/>
  <c r="AC122" i="13" s="1"/>
  <c r="AC123" i="13" s="1"/>
  <c r="AC124" i="13" s="1"/>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B99" i="13"/>
  <c r="B98" i="13"/>
  <c r="B97" i="13"/>
  <c r="B96" i="13"/>
  <c r="B95" i="13"/>
  <c r="B94" i="13"/>
  <c r="AD114" i="8"/>
  <c r="D114" i="8"/>
  <c r="P114" i="8" s="1"/>
  <c r="AD109" i="8"/>
  <c r="D109" i="8"/>
  <c r="P109" i="8" s="1"/>
  <c r="AD104" i="8"/>
  <c r="D104" i="8"/>
  <c r="P104" i="8" s="1"/>
  <c r="AD99" i="8"/>
  <c r="D99" i="8"/>
  <c r="P99" i="8" s="1"/>
  <c r="AD94" i="8"/>
  <c r="D94" i="8"/>
  <c r="P94" i="8" s="1"/>
  <c r="AD89" i="8"/>
  <c r="D89" i="8"/>
  <c r="P89" i="8" s="1"/>
  <c r="AB52" i="21" l="1"/>
  <c r="AA52" i="21"/>
  <c r="AA49" i="21"/>
  <c r="AB49" i="21"/>
  <c r="S24" i="21"/>
  <c r="AB24" i="21" s="1"/>
  <c r="R24" i="21"/>
  <c r="AA24" i="21" s="1"/>
  <c r="W24" i="21"/>
  <c r="V24" i="21"/>
  <c r="AE24" i="21" s="1"/>
  <c r="U24" i="21"/>
  <c r="T24" i="21"/>
  <c r="Z24" i="21"/>
  <c r="S31" i="21"/>
  <c r="AB31" i="21" s="1"/>
  <c r="R31" i="21"/>
  <c r="AA31" i="21" s="1"/>
  <c r="W31" i="21"/>
  <c r="V31" i="21"/>
  <c r="AE31" i="21" s="1"/>
  <c r="U31" i="21"/>
  <c r="T31" i="21"/>
  <c r="Z31" i="21"/>
  <c r="R21" i="21"/>
  <c r="AA20" i="21"/>
  <c r="S21" i="21"/>
  <c r="AB20" i="21"/>
  <c r="W26" i="21"/>
  <c r="W23" i="21"/>
  <c r="V26" i="21"/>
  <c r="V23" i="21"/>
  <c r="U26" i="21"/>
  <c r="U23" i="21"/>
  <c r="T26" i="21"/>
  <c r="T23" i="21"/>
  <c r="Z33" i="21"/>
  <c r="Z26" i="21"/>
  <c r="T15" i="21"/>
  <c r="AC15" i="21" s="1"/>
  <c r="T14" i="21"/>
  <c r="AC14" i="21" s="1"/>
  <c r="T13" i="21"/>
  <c r="AC13" i="21" s="1"/>
  <c r="U15" i="21"/>
  <c r="AD15" i="21" s="1"/>
  <c r="U14" i="21"/>
  <c r="AD14" i="21" s="1"/>
  <c r="U13" i="21"/>
  <c r="AD13" i="21" s="1"/>
  <c r="V15" i="21"/>
  <c r="AE15" i="21" s="1"/>
  <c r="V14" i="21"/>
  <c r="AE14" i="21" s="1"/>
  <c r="V13" i="21"/>
  <c r="AE13" i="21" s="1"/>
  <c r="W15" i="21"/>
  <c r="AF15" i="21" s="1"/>
  <c r="W14" i="21"/>
  <c r="AF14" i="21" s="1"/>
  <c r="W13" i="21"/>
  <c r="AF13" i="21" s="1"/>
  <c r="W30" i="21"/>
  <c r="V30" i="21"/>
  <c r="U30" i="21"/>
  <c r="T30" i="21"/>
  <c r="AC15" i="24"/>
  <c r="O11" i="23"/>
  <c r="AS11" i="23"/>
  <c r="AC20" i="24"/>
  <c r="AD15" i="24"/>
  <c r="O12" i="23"/>
  <c r="AZ13" i="23"/>
  <c r="AE15" i="24"/>
  <c r="O13" i="23"/>
  <c r="BA13" i="23"/>
  <c r="AE20" i="24"/>
  <c r="BE17" i="23"/>
  <c r="AC16" i="24"/>
  <c r="P17" i="23"/>
  <c r="AC21" i="24"/>
  <c r="BE18" i="23"/>
  <c r="AD16" i="24"/>
  <c r="P18" i="23"/>
  <c r="AD21" i="24"/>
  <c r="BE19" i="23"/>
  <c r="AE16" i="24"/>
  <c r="P19" i="23"/>
  <c r="AE21" i="24"/>
  <c r="L11" i="21"/>
  <c r="M11" i="21"/>
  <c r="L19" i="21"/>
  <c r="M19" i="21"/>
  <c r="M51" i="21"/>
  <c r="L51" i="21"/>
  <c r="L80" i="21"/>
  <c r="M80" i="21"/>
  <c r="D41" i="22"/>
  <c r="T23" i="22" s="1"/>
  <c r="D65" i="22"/>
  <c r="D82" i="22"/>
  <c r="T51" i="22" s="1"/>
  <c r="D46" i="22"/>
  <c r="D69" i="22"/>
  <c r="T41" i="22" s="1"/>
  <c r="D44" i="22"/>
  <c r="T24" i="22" s="1"/>
  <c r="F7" i="22"/>
  <c r="F8" i="22" s="1"/>
  <c r="G7" i="22"/>
  <c r="G8" i="22" s="1"/>
  <c r="H7" i="22"/>
  <c r="J7" i="22"/>
  <c r="J8" i="22" s="1"/>
  <c r="K7" i="22"/>
  <c r="K8" i="22" s="1"/>
  <c r="L7" i="22"/>
  <c r="L8" i="22" s="1"/>
  <c r="M7" i="22"/>
  <c r="M8" i="22" s="1"/>
  <c r="N7" i="22"/>
  <c r="N8" i="22" s="1"/>
  <c r="O7" i="22"/>
  <c r="O8" i="22" s="1"/>
  <c r="P7" i="22"/>
  <c r="M18" i="21"/>
  <c r="L43" i="21"/>
  <c r="N43" i="21" s="1"/>
  <c r="L50" i="21"/>
  <c r="M21" i="21"/>
  <c r="M35" i="21"/>
  <c r="N35" i="21" s="1"/>
  <c r="L41" i="21"/>
  <c r="O41" i="21" s="1"/>
  <c r="M60" i="21"/>
  <c r="O60" i="21" s="1"/>
  <c r="L61" i="21"/>
  <c r="O61" i="21" s="1"/>
  <c r="L28" i="21"/>
  <c r="N28" i="21" s="1"/>
  <c r="L42" i="21"/>
  <c r="O19" i="21"/>
  <c r="O35" i="21"/>
  <c r="L77" i="21"/>
  <c r="O77" i="21" s="1"/>
  <c r="W90" i="6"/>
  <c r="W91" i="6"/>
  <c r="W89" i="6"/>
  <c r="Y42" i="6"/>
  <c r="Y38" i="6"/>
  <c r="W87" i="6"/>
  <c r="Y34" i="6"/>
  <c r="W92" i="6"/>
  <c r="W88" i="6"/>
  <c r="W85" i="6"/>
  <c r="Y43" i="6"/>
  <c r="Y41" i="6"/>
  <c r="Y40" i="6"/>
  <c r="Y37" i="6"/>
  <c r="Y36" i="6"/>
  <c r="Y35" i="6"/>
  <c r="Y33" i="6"/>
  <c r="Y32" i="6"/>
  <c r="Y85" i="6"/>
  <c r="Y91" i="6"/>
  <c r="U26" i="6"/>
  <c r="U97" i="6"/>
  <c r="Y87" i="6"/>
  <c r="U23" i="6"/>
  <c r="U102" i="6"/>
  <c r="U24" i="6"/>
  <c r="Y86" i="6"/>
  <c r="O21" i="21"/>
  <c r="N21" i="21"/>
  <c r="L27" i="21"/>
  <c r="O27" i="21" s="1"/>
  <c r="M89" i="21"/>
  <c r="O89" i="21" s="1"/>
  <c r="M30" i="21"/>
  <c r="O30" i="21" s="1"/>
  <c r="O11" i="21"/>
  <c r="L36" i="21"/>
  <c r="N36" i="21" s="1"/>
  <c r="L49" i="21"/>
  <c r="O49" i="21" s="1"/>
  <c r="L52" i="21"/>
  <c r="L63" i="21"/>
  <c r="M65" i="21"/>
  <c r="N65" i="21" s="1"/>
  <c r="L26" i="21"/>
  <c r="N26" i="21" s="1"/>
  <c r="O43" i="21"/>
  <c r="L13" i="21"/>
  <c r="L10" i="21"/>
  <c r="N10" i="21" s="1"/>
  <c r="M13" i="21"/>
  <c r="M29" i="21"/>
  <c r="L57" i="21"/>
  <c r="O57" i="21" s="1"/>
  <c r="L64" i="21"/>
  <c r="L66" i="21"/>
  <c r="M68" i="21"/>
  <c r="N68" i="21" s="1"/>
  <c r="L81" i="21"/>
  <c r="O81" i="21" s="1"/>
  <c r="L29" i="21"/>
  <c r="O29" i="21" s="1"/>
  <c r="O28" i="21"/>
  <c r="N18" i="21"/>
  <c r="N27" i="21"/>
  <c r="AD22" i="21"/>
  <c r="AD34" i="21"/>
  <c r="AF20" i="21"/>
  <c r="AE26" i="21"/>
  <c r="AD26" i="21"/>
  <c r="N19" i="21"/>
  <c r="O26" i="21"/>
  <c r="AD28" i="21"/>
  <c r="L47" i="21"/>
  <c r="M47" i="21"/>
  <c r="M22" i="21"/>
  <c r="L22" i="21"/>
  <c r="AC26" i="21"/>
  <c r="L33" i="21"/>
  <c r="AC28" i="21"/>
  <c r="O18" i="21"/>
  <c r="AC20" i="21"/>
  <c r="AE28" i="21"/>
  <c r="M31" i="21"/>
  <c r="L31" i="21"/>
  <c r="O31" i="21" s="1"/>
  <c r="O36" i="21"/>
  <c r="AB9" i="21"/>
  <c r="AA9" i="21"/>
  <c r="AC11" i="21"/>
  <c r="AF11" i="21"/>
  <c r="L24" i="21"/>
  <c r="O24" i="21" s="1"/>
  <c r="M33" i="21"/>
  <c r="AC49" i="21"/>
  <c r="M14" i="21"/>
  <c r="L14" i="21"/>
  <c r="AF33" i="21"/>
  <c r="AE33" i="21"/>
  <c r="AD33" i="21"/>
  <c r="AC33" i="21"/>
  <c r="AC34" i="21"/>
  <c r="L16" i="21"/>
  <c r="N16" i="21" s="1"/>
  <c r="AC27" i="21"/>
  <c r="AF27" i="21"/>
  <c r="L40" i="21"/>
  <c r="M40" i="21"/>
  <c r="M72" i="21"/>
  <c r="L72" i="21"/>
  <c r="N41" i="21"/>
  <c r="AB54" i="21"/>
  <c r="AC21" i="21"/>
  <c r="AC29" i="21"/>
  <c r="AC48" i="21"/>
  <c r="L9" i="21"/>
  <c r="N11" i="21"/>
  <c r="L17" i="21"/>
  <c r="AD21" i="21"/>
  <c r="L25" i="21"/>
  <c r="AD29" i="21"/>
  <c r="L34" i="21"/>
  <c r="AF35" i="21"/>
  <c r="M37" i="21"/>
  <c r="O37" i="21" s="1"/>
  <c r="N42" i="21"/>
  <c r="M45" i="21"/>
  <c r="L45" i="21"/>
  <c r="M17" i="21"/>
  <c r="AE21" i="21"/>
  <c r="M25" i="21"/>
  <c r="N25" i="21" s="1"/>
  <c r="M34" i="21"/>
  <c r="M44" i="21"/>
  <c r="AD48" i="21"/>
  <c r="O50" i="21"/>
  <c r="N50" i="21"/>
  <c r="M9" i="21"/>
  <c r="AD11" i="21"/>
  <c r="M12" i="21"/>
  <c r="O12" i="21" s="1"/>
  <c r="L15" i="21"/>
  <c r="N15" i="21" s="1"/>
  <c r="AD19" i="21"/>
  <c r="M20" i="21"/>
  <c r="O20" i="21" s="1"/>
  <c r="AF21" i="21"/>
  <c r="L23" i="21"/>
  <c r="N23" i="21" s="1"/>
  <c r="AD27" i="21"/>
  <c r="AF29" i="21"/>
  <c r="L32" i="21"/>
  <c r="N32" i="21" s="1"/>
  <c r="N37" i="21"/>
  <c r="L38" i="21"/>
  <c r="O42" i="21"/>
  <c r="L44" i="21"/>
  <c r="AF48" i="21"/>
  <c r="AF49" i="21"/>
  <c r="L59" i="21"/>
  <c r="M59" i="21"/>
  <c r="M38" i="21"/>
  <c r="O38" i="21" s="1"/>
  <c r="L39" i="21"/>
  <c r="N39" i="21" s="1"/>
  <c r="M46" i="21"/>
  <c r="L46" i="21"/>
  <c r="O51" i="21"/>
  <c r="N51" i="21"/>
  <c r="M53" i="21"/>
  <c r="N53" i="21" s="1"/>
  <c r="O53" i="21"/>
  <c r="AA54" i="21"/>
  <c r="L54" i="21"/>
  <c r="AD54" i="21"/>
  <c r="N61" i="21"/>
  <c r="L48" i="21"/>
  <c r="M54" i="21"/>
  <c r="AE54" i="21"/>
  <c r="L55" i="21"/>
  <c r="N55" i="21" s="1"/>
  <c r="O68" i="21"/>
  <c r="M48" i="21"/>
  <c r="AC50" i="21"/>
  <c r="L56" i="21"/>
  <c r="L62" i="21"/>
  <c r="L71" i="21"/>
  <c r="M71" i="21"/>
  <c r="L74" i="21"/>
  <c r="M74" i="21"/>
  <c r="M56" i="21"/>
  <c r="N57" i="21"/>
  <c r="M62" i="21"/>
  <c r="N62" i="21" s="1"/>
  <c r="AD50" i="21"/>
  <c r="AF50" i="21"/>
  <c r="AF54" i="21"/>
  <c r="AC54" i="21"/>
  <c r="Z54" i="21"/>
  <c r="L58" i="21"/>
  <c r="O58" i="21" s="1"/>
  <c r="O62" i="21"/>
  <c r="M69" i="21"/>
  <c r="L87" i="21"/>
  <c r="M87" i="21"/>
  <c r="O64" i="21"/>
  <c r="M70" i="21"/>
  <c r="N70" i="21" s="1"/>
  <c r="L82" i="21"/>
  <c r="N82" i="21" s="1"/>
  <c r="L76" i="21"/>
  <c r="L83" i="21"/>
  <c r="M83" i="21"/>
  <c r="N64" i="21"/>
  <c r="M67" i="21"/>
  <c r="N67" i="21" s="1"/>
  <c r="O67" i="21"/>
  <c r="M76" i="21"/>
  <c r="N76" i="21" s="1"/>
  <c r="M84" i="21"/>
  <c r="L84" i="21"/>
  <c r="M78" i="21"/>
  <c r="L78" i="21"/>
  <c r="L79" i="21"/>
  <c r="L73" i="21"/>
  <c r="O73" i="21" s="1"/>
  <c r="N73" i="21"/>
  <c r="L75" i="21"/>
  <c r="N75" i="21" s="1"/>
  <c r="N77" i="21"/>
  <c r="M79" i="21"/>
  <c r="N80" i="21"/>
  <c r="BD12" i="23"/>
  <c r="AV12" i="23"/>
  <c r="AN12" i="23"/>
  <c r="P12" i="23"/>
  <c r="BC12" i="23"/>
  <c r="AU12" i="23"/>
  <c r="AM12" i="23"/>
  <c r="AS12" i="23"/>
  <c r="L85" i="21"/>
  <c r="N85" i="21" s="1"/>
  <c r="L90" i="21"/>
  <c r="O90" i="21" s="1"/>
  <c r="D88" i="22"/>
  <c r="T46" i="22"/>
  <c r="D85" i="22"/>
  <c r="T54" i="22" s="1"/>
  <c r="D95" i="22"/>
  <c r="D78" i="22"/>
  <c r="T47" i="22" s="1"/>
  <c r="D93" i="22"/>
  <c r="D83" i="22"/>
  <c r="T52" i="22" s="1"/>
  <c r="AZ12" i="23"/>
  <c r="AS13" i="23"/>
  <c r="N12" i="23"/>
  <c r="M86" i="21"/>
  <c r="O86" i="21" s="1"/>
  <c r="L88" i="21"/>
  <c r="D35" i="22"/>
  <c r="T19" i="22" s="1"/>
  <c r="T18" i="22"/>
  <c r="D125" i="22"/>
  <c r="T80" i="22" s="1"/>
  <c r="T72" i="22"/>
  <c r="BD13" i="23"/>
  <c r="AV13" i="23"/>
  <c r="AN13" i="23"/>
  <c r="P13" i="23"/>
  <c r="M88" i="21"/>
  <c r="O88" i="21" s="1"/>
  <c r="H8" i="22"/>
  <c r="P8" i="22"/>
  <c r="D126" i="22"/>
  <c r="T81" i="22" s="1"/>
  <c r="T73" i="22"/>
  <c r="AZ11" i="23"/>
  <c r="E8" i="22"/>
  <c r="D127" i="22"/>
  <c r="T82" i="22" s="1"/>
  <c r="T74" i="22"/>
  <c r="BD11" i="23"/>
  <c r="AV11" i="23"/>
  <c r="AN11" i="23"/>
  <c r="P11" i="23"/>
  <c r="BC11" i="23"/>
  <c r="AU11" i="23"/>
  <c r="AM11" i="23"/>
  <c r="BA11" i="23"/>
  <c r="D38" i="22"/>
  <c r="T21" i="22" s="1"/>
  <c r="D50" i="22"/>
  <c r="T28" i="22" s="1"/>
  <c r="T77" i="22"/>
  <c r="N11" i="23"/>
  <c r="AD11" i="23"/>
  <c r="AL11" i="23"/>
  <c r="AT11" i="23"/>
  <c r="BB11" i="23"/>
  <c r="AD12" i="23"/>
  <c r="AL12" i="23"/>
  <c r="AT12" i="23"/>
  <c r="BB12" i="23"/>
  <c r="AD13" i="23"/>
  <c r="AL13" i="23"/>
  <c r="AT13" i="23"/>
  <c r="BB13" i="23"/>
  <c r="AI17" i="23"/>
  <c r="AQ17" i="23"/>
  <c r="AY17" i="23"/>
  <c r="AI18" i="23"/>
  <c r="AQ18" i="23"/>
  <c r="AY18" i="23"/>
  <c r="AI19" i="23"/>
  <c r="AQ19" i="23"/>
  <c r="AY19" i="23"/>
  <c r="I7" i="22"/>
  <c r="AE13" i="23"/>
  <c r="AM13" i="23"/>
  <c r="AU13" i="23"/>
  <c r="BC13" i="23"/>
  <c r="AJ17" i="23"/>
  <c r="AR17" i="23"/>
  <c r="AZ17" i="23"/>
  <c r="AE12" i="21" s="1"/>
  <c r="AJ18" i="23"/>
  <c r="AR18" i="23"/>
  <c r="AZ18" i="23"/>
  <c r="AJ19" i="23"/>
  <c r="AR19" i="23"/>
  <c r="AZ19" i="23"/>
  <c r="AK17" i="23"/>
  <c r="AS17" i="23"/>
  <c r="BA17" i="23"/>
  <c r="AK18" i="23"/>
  <c r="AS18" i="23"/>
  <c r="BA18" i="23"/>
  <c r="AK19" i="23"/>
  <c r="AS19" i="23"/>
  <c r="BA19" i="23"/>
  <c r="D64" i="22"/>
  <c r="T36" i="22" s="1"/>
  <c r="AG11" i="23"/>
  <c r="AO11" i="23"/>
  <c r="AW11" i="23"/>
  <c r="BE11" i="23"/>
  <c r="AG12" i="23"/>
  <c r="AO12" i="23"/>
  <c r="AW12" i="23"/>
  <c r="BE12" i="23"/>
  <c r="AG13" i="23"/>
  <c r="AO13" i="23"/>
  <c r="AW13" i="23"/>
  <c r="BE13" i="23"/>
  <c r="N17" i="23"/>
  <c r="AD17" i="23"/>
  <c r="AL17" i="23"/>
  <c r="AT17" i="23"/>
  <c r="BB17" i="23"/>
  <c r="AD18" i="23"/>
  <c r="AL18" i="23"/>
  <c r="AT18" i="23"/>
  <c r="BB18" i="23"/>
  <c r="AD19" i="23"/>
  <c r="AL19" i="23"/>
  <c r="AT19" i="23"/>
  <c r="BB19" i="23"/>
  <c r="L91" i="21"/>
  <c r="AH11" i="23"/>
  <c r="AP11" i="23"/>
  <c r="AX11" i="23"/>
  <c r="AH12" i="23"/>
  <c r="AP12" i="23"/>
  <c r="AX12" i="23"/>
  <c r="AH13" i="23"/>
  <c r="AP13" i="23"/>
  <c r="AX13" i="23"/>
  <c r="O17" i="23"/>
  <c r="AE17" i="23"/>
  <c r="AM17" i="23"/>
  <c r="AU17" i="23"/>
  <c r="BC17" i="23"/>
  <c r="O18" i="23"/>
  <c r="AE18" i="23"/>
  <c r="AM18" i="23"/>
  <c r="AU18" i="23"/>
  <c r="BC18" i="23"/>
  <c r="O19" i="23"/>
  <c r="AE19" i="23"/>
  <c r="AM19" i="23"/>
  <c r="AU19" i="23"/>
  <c r="BC19" i="23"/>
  <c r="M91" i="21"/>
  <c r="AI11" i="23"/>
  <c r="AQ11" i="23"/>
  <c r="AY11" i="23"/>
  <c r="AI12" i="23"/>
  <c r="AQ12" i="23"/>
  <c r="AY12" i="23"/>
  <c r="AI13" i="23"/>
  <c r="AQ13" i="23"/>
  <c r="AY13" i="23"/>
  <c r="AF17" i="23"/>
  <c r="AN17" i="23"/>
  <c r="AV17" i="23"/>
  <c r="BD17" i="23"/>
  <c r="AF18" i="23"/>
  <c r="AN18" i="23"/>
  <c r="AV18" i="23"/>
  <c r="BD18" i="23"/>
  <c r="AF19" i="23"/>
  <c r="AN19" i="23"/>
  <c r="AV19" i="23"/>
  <c r="BD19" i="23"/>
  <c r="AR11" i="23"/>
  <c r="AR12" i="23"/>
  <c r="AR13" i="23"/>
  <c r="AO17" i="23"/>
  <c r="AW17" i="23"/>
  <c r="AO18" i="23"/>
  <c r="AW18" i="23"/>
  <c r="AO19" i="23"/>
  <c r="AW19" i="23"/>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BA64" i="20" a="1"/>
  <c r="BA65" i="20" a="1"/>
  <c r="AB21" i="21" l="1"/>
  <c r="S26" i="21"/>
  <c r="S23" i="21"/>
  <c r="AA21" i="21"/>
  <c r="R26" i="21"/>
  <c r="R23" i="21"/>
  <c r="AC9" i="21"/>
  <c r="T10" i="21"/>
  <c r="AC10" i="21" s="1"/>
  <c r="AE11" i="21"/>
  <c r="AD9" i="21"/>
  <c r="U10" i="21"/>
  <c r="AD10" i="21" s="1"/>
  <c r="N69" i="21"/>
  <c r="O69" i="21"/>
  <c r="O48" i="21"/>
  <c r="N17" i="21"/>
  <c r="AF34" i="21"/>
  <c r="AF22" i="21"/>
  <c r="O47" i="21"/>
  <c r="AC22" i="21"/>
  <c r="O63" i="21"/>
  <c r="N63" i="21"/>
  <c r="O80" i="21"/>
  <c r="AF30" i="21"/>
  <c r="D66" i="22"/>
  <c r="T38" i="22" s="1"/>
  <c r="T37" i="22"/>
  <c r="D70" i="22"/>
  <c r="T42" i="22" s="1"/>
  <c r="T25" i="22"/>
  <c r="I8" i="22"/>
  <c r="E10" i="22"/>
  <c r="N56" i="21"/>
  <c r="N40" i="21"/>
  <c r="N44" i="21"/>
  <c r="N34" i="21"/>
  <c r="N71" i="21"/>
  <c r="N60" i="21"/>
  <c r="O59" i="21"/>
  <c r="N83" i="21"/>
  <c r="N48" i="21"/>
  <c r="N9" i="21"/>
  <c r="O32" i="21"/>
  <c r="N24" i="21"/>
  <c r="N79" i="21"/>
  <c r="O84" i="21"/>
  <c r="N87" i="21"/>
  <c r="N47" i="21"/>
  <c r="N81" i="21"/>
  <c r="O33" i="21"/>
  <c r="N91" i="21"/>
  <c r="N88" i="21"/>
  <c r="O10" i="21"/>
  <c r="O82" i="21"/>
  <c r="O46" i="21"/>
  <c r="O22" i="21"/>
  <c r="AD30" i="21"/>
  <c r="AE35" i="21"/>
  <c r="AE30" i="21"/>
  <c r="N30" i="21"/>
  <c r="O55" i="21"/>
  <c r="O74" i="21"/>
  <c r="O9" i="21"/>
  <c r="O78" i="21"/>
  <c r="O65" i="21"/>
  <c r="N59" i="21"/>
  <c r="O44" i="21"/>
  <c r="N45" i="21"/>
  <c r="O34" i="21"/>
  <c r="O72" i="21"/>
  <c r="O85" i="21"/>
  <c r="O83" i="21"/>
  <c r="O25" i="21"/>
  <c r="AF26" i="21"/>
  <c r="N49" i="21"/>
  <c r="N84" i="21"/>
  <c r="AC19" i="21"/>
  <c r="O52" i="21"/>
  <c r="N52" i="21"/>
  <c r="N86" i="21"/>
  <c r="N89" i="21"/>
  <c r="O17" i="21"/>
  <c r="O66" i="21"/>
  <c r="N66" i="21"/>
  <c r="N29" i="21"/>
  <c r="N33" i="21"/>
  <c r="O87" i="21"/>
  <c r="O14" i="21"/>
  <c r="O13" i="21"/>
  <c r="N13" i="21"/>
  <c r="AF36" i="21"/>
  <c r="AF57" i="21"/>
  <c r="AF61" i="21"/>
  <c r="AF52" i="21"/>
  <c r="AF31" i="21"/>
  <c r="AF24" i="21"/>
  <c r="AF65" i="21"/>
  <c r="AF16" i="21"/>
  <c r="D100" i="22"/>
  <c r="D92" i="22"/>
  <c r="T59" i="22" s="1"/>
  <c r="T55" i="22"/>
  <c r="N78" i="21"/>
  <c r="O79" i="21"/>
  <c r="O71" i="21"/>
  <c r="O39" i="21"/>
  <c r="AD49" i="21"/>
  <c r="N72" i="21"/>
  <c r="N20" i="21"/>
  <c r="Z9" i="21"/>
  <c r="N58" i="21"/>
  <c r="AF19" i="21"/>
  <c r="AF12" i="21"/>
  <c r="AD12" i="21"/>
  <c r="AC12" i="21"/>
  <c r="O70" i="21"/>
  <c r="N54" i="21"/>
  <c r="O23" i="21"/>
  <c r="N13" i="23"/>
  <c r="N90" i="21"/>
  <c r="O75" i="21"/>
  <c r="O54" i="21"/>
  <c r="AD36" i="21"/>
  <c r="AC37" i="21"/>
  <c r="AF28" i="21"/>
  <c r="T60" i="22"/>
  <c r="D105" i="22"/>
  <c r="O76" i="21"/>
  <c r="N38" i="21"/>
  <c r="O15" i="21"/>
  <c r="AC24" i="21"/>
  <c r="AC31" i="21"/>
  <c r="N31" i="21"/>
  <c r="N12" i="21"/>
  <c r="AD20" i="21"/>
  <c r="Z56" i="21"/>
  <c r="AB56" i="21"/>
  <c r="AF56" i="21"/>
  <c r="AD56" i="21"/>
  <c r="AC56" i="21"/>
  <c r="AA56" i="21"/>
  <c r="N46" i="21"/>
  <c r="O45" i="21"/>
  <c r="AD35" i="21"/>
  <c r="AD24" i="21"/>
  <c r="O16" i="21"/>
  <c r="AD37" i="21"/>
  <c r="AD31" i="21"/>
  <c r="N22" i="21"/>
  <c r="AC16" i="21"/>
  <c r="D107" i="22"/>
  <c r="T62" i="22"/>
  <c r="O56" i="21"/>
  <c r="N74" i="21"/>
  <c r="AC36" i="21"/>
  <c r="N14" i="21"/>
  <c r="AD16" i="21"/>
  <c r="O91" i="21"/>
  <c r="E9" i="22"/>
  <c r="E11" i="22" s="1"/>
  <c r="AD52" i="21"/>
  <c r="AC52" i="21"/>
  <c r="O40" i="21"/>
  <c r="BA65" i="20"/>
  <c r="BA64" i="20"/>
  <c r="AH1" i="20"/>
  <c r="AG1" i="20"/>
  <c r="AF1" i="20"/>
  <c r="AE1" i="20"/>
  <c r="AD1" i="20"/>
  <c r="AH2" i="20"/>
  <c r="AG2" i="20"/>
  <c r="AE2" i="20"/>
  <c r="AD2" i="20"/>
  <c r="AF8" i="20"/>
  <c r="AF7" i="20"/>
  <c r="AE12" i="20"/>
  <c r="AF11" i="20"/>
  <c r="W18" i="20"/>
  <c r="C82" i="20"/>
  <c r="C83" i="20" s="1"/>
  <c r="C84" i="20"/>
  <c r="D84" i="20" s="1"/>
  <c r="C85" i="20"/>
  <c r="D85" i="20" s="1"/>
  <c r="C86" i="20"/>
  <c r="D86" i="20" s="1"/>
  <c r="C87" i="20"/>
  <c r="D87" i="20" s="1"/>
  <c r="C88" i="20"/>
  <c r="D88" i="20" s="1"/>
  <c r="C89" i="20"/>
  <c r="D89" i="20" s="1"/>
  <c r="C90" i="20"/>
  <c r="D90" i="20" s="1"/>
  <c r="K271" i="20"/>
  <c r="J271" i="20"/>
  <c r="I271" i="20"/>
  <c r="C271" i="20"/>
  <c r="AR27" i="20" a="1"/>
  <c r="AA23" i="21" l="1"/>
  <c r="AA51" i="21"/>
  <c r="R30" i="21"/>
  <c r="AA30" i="21" s="1"/>
  <c r="AA33" i="21"/>
  <c r="AA26" i="21"/>
  <c r="AB23" i="21"/>
  <c r="AB51" i="21"/>
  <c r="S30" i="21"/>
  <c r="AB30" i="21" s="1"/>
  <c r="AB33" i="21"/>
  <c r="AB26" i="21"/>
  <c r="AF9" i="21"/>
  <c r="W10" i="21"/>
  <c r="AF10" i="21" s="1"/>
  <c r="AE9" i="21"/>
  <c r="V10" i="21"/>
  <c r="AE10" i="21" s="1"/>
  <c r="AC64" i="21"/>
  <c r="AD64" i="21"/>
  <c r="AB64" i="21"/>
  <c r="Z64" i="21"/>
  <c r="AA64" i="21"/>
  <c r="AF64" i="21"/>
  <c r="AF23" i="21"/>
  <c r="AE23" i="21"/>
  <c r="AD23" i="21"/>
  <c r="D104" i="22"/>
  <c r="T67" i="22" s="1"/>
  <c r="D112" i="22"/>
  <c r="T63" i="22"/>
  <c r="AD51" i="21"/>
  <c r="AF51" i="21"/>
  <c r="AE51" i="21"/>
  <c r="AE59" i="21"/>
  <c r="AF59" i="21"/>
  <c r="N19" i="23"/>
  <c r="AF63" i="21"/>
  <c r="AE63" i="21"/>
  <c r="AC55" i="21"/>
  <c r="Z55" i="21"/>
  <c r="AF55" i="21"/>
  <c r="AD55" i="21"/>
  <c r="AB55" i="21"/>
  <c r="AA55" i="21"/>
  <c r="AF62" i="21"/>
  <c r="N18" i="23"/>
  <c r="AB60" i="21"/>
  <c r="Z60" i="21"/>
  <c r="AF60" i="21"/>
  <c r="AC60" i="21"/>
  <c r="AD60" i="21"/>
  <c r="AA60" i="21"/>
  <c r="AF67" i="21"/>
  <c r="AE67" i="21"/>
  <c r="T70" i="22"/>
  <c r="D119" i="22"/>
  <c r="T68" i="22"/>
  <c r="D117" i="22"/>
  <c r="AF66" i="21"/>
  <c r="AF53" i="21"/>
  <c r="AF25" i="21"/>
  <c r="AF37" i="21"/>
  <c r="AE58" i="21"/>
  <c r="AF58" i="21"/>
  <c r="AE37" i="21"/>
  <c r="AE53" i="21"/>
  <c r="AR27" i="20"/>
  <c r="C91" i="20"/>
  <c r="D83" i="20"/>
  <c r="D91" i="20" s="1"/>
  <c r="D82" i="20" s="1"/>
  <c r="X18" i="20"/>
  <c r="AF12" i="20"/>
  <c r="AF2" i="20"/>
  <c r="AE27" i="20" a="1"/>
  <c r="AE27" i="20" s="1"/>
  <c r="AD25" i="21" l="1"/>
  <c r="AC25" i="21"/>
  <c r="AC53" i="21"/>
  <c r="AD53" i="21"/>
  <c r="AF74" i="21"/>
  <c r="Z74" i="21"/>
  <c r="AD74" i="21"/>
  <c r="AC74" i="21"/>
  <c r="AA74" i="21"/>
  <c r="AB74" i="21"/>
  <c r="AC72" i="21"/>
  <c r="AF72" i="21"/>
  <c r="AD72" i="21"/>
  <c r="AB72" i="21"/>
  <c r="Z72" i="21"/>
  <c r="AA72" i="21"/>
  <c r="AC75" i="21"/>
  <c r="AE75" i="21"/>
  <c r="AB75" i="21"/>
  <c r="AA75" i="21"/>
  <c r="Z75" i="21"/>
  <c r="AF75" i="21"/>
  <c r="AD75" i="21"/>
  <c r="Z76" i="21"/>
  <c r="AF76" i="21"/>
  <c r="AB76" i="21"/>
  <c r="AD76" i="21"/>
  <c r="AA76" i="21"/>
  <c r="AC76" i="21"/>
  <c r="T76" i="22"/>
  <c r="D129" i="22"/>
  <c r="T84" i="22" s="1"/>
  <c r="Z79" i="21"/>
  <c r="AF79" i="21"/>
  <c r="AD79" i="21"/>
  <c r="AB79" i="21"/>
  <c r="AE79" i="21"/>
  <c r="AC79" i="21"/>
  <c r="AA79" i="21"/>
  <c r="D131" i="22"/>
  <c r="T86" i="22" s="1"/>
  <c r="T78" i="22"/>
  <c r="Z73" i="21"/>
  <c r="AB73" i="21"/>
  <c r="AC73" i="21"/>
  <c r="AA73" i="21"/>
  <c r="AF73" i="21"/>
  <c r="AD73" i="21"/>
  <c r="D116" i="22"/>
  <c r="D124" i="22"/>
  <c r="T79" i="22" s="1"/>
  <c r="T71" i="22"/>
  <c r="AC77" i="21"/>
  <c r="AF77" i="21"/>
  <c r="AD77" i="21"/>
  <c r="AB77" i="21"/>
  <c r="AA77" i="21"/>
  <c r="Z77" i="21"/>
  <c r="AC78" i="21"/>
  <c r="AA78" i="21"/>
  <c r="AF78" i="21"/>
  <c r="AD78" i="21"/>
  <c r="AB78" i="21"/>
  <c r="Z78" i="21"/>
  <c r="AF27" i="20" a="1"/>
  <c r="AF27" i="20" s="1"/>
  <c r="AJ27" i="20"/>
  <c r="Y18" i="20"/>
  <c r="AS27" i="20" a="1"/>
  <c r="AC82" i="21" l="1"/>
  <c r="AF82" i="21"/>
  <c r="AD82" i="21"/>
  <c r="AA82" i="21"/>
  <c r="AB82" i="21"/>
  <c r="Z82" i="21"/>
  <c r="Z86" i="21"/>
  <c r="AF86" i="21"/>
  <c r="AD86" i="21"/>
  <c r="AC86" i="21"/>
  <c r="AB86" i="21"/>
  <c r="AA86" i="21"/>
  <c r="AD90" i="21"/>
  <c r="AC90" i="21"/>
  <c r="AB90" i="21"/>
  <c r="Z90" i="21"/>
  <c r="AF90" i="21"/>
  <c r="AA90" i="21"/>
  <c r="AE87" i="21"/>
  <c r="AC87" i="21"/>
  <c r="Z87" i="21"/>
  <c r="AF87" i="21"/>
  <c r="AB87" i="21"/>
  <c r="AD87" i="21"/>
  <c r="AA87" i="21"/>
  <c r="AF68" i="21"/>
  <c r="Z68" i="21"/>
  <c r="AD68" i="21"/>
  <c r="AB68" i="21"/>
  <c r="AC68" i="21"/>
  <c r="AA68" i="21"/>
  <c r="AB88" i="21"/>
  <c r="Z88" i="21"/>
  <c r="AD88" i="21"/>
  <c r="AC88" i="21"/>
  <c r="AA88" i="21"/>
  <c r="AF88" i="21"/>
  <c r="AB85" i="21"/>
  <c r="Z85" i="21"/>
  <c r="AF85" i="21"/>
  <c r="AC85" i="21"/>
  <c r="AD85" i="21"/>
  <c r="AA85" i="21"/>
  <c r="AC84" i="21"/>
  <c r="AF84" i="21"/>
  <c r="AD84" i="21"/>
  <c r="AB84" i="21"/>
  <c r="Z84" i="21"/>
  <c r="AA84" i="21"/>
  <c r="AB91" i="21"/>
  <c r="AA91" i="21"/>
  <c r="Z91" i="21"/>
  <c r="AE91" i="21"/>
  <c r="AD91" i="21"/>
  <c r="AC91" i="21"/>
  <c r="AF91" i="21"/>
  <c r="AF81" i="21"/>
  <c r="AD81" i="21"/>
  <c r="AB81" i="21"/>
  <c r="Z81" i="21"/>
  <c r="AC81" i="21"/>
  <c r="AA81" i="21"/>
  <c r="T75" i="22"/>
  <c r="G116" i="22"/>
  <c r="D128" i="22" s="1"/>
  <c r="T83" i="22" s="1"/>
  <c r="Z80" i="21"/>
  <c r="AF80" i="21"/>
  <c r="AD80" i="21"/>
  <c r="AB80" i="21"/>
  <c r="AA80" i="21"/>
  <c r="AC80" i="21"/>
  <c r="AD89" i="21"/>
  <c r="Z89" i="21"/>
  <c r="AF89" i="21"/>
  <c r="AB89" i="21"/>
  <c r="AC89" i="21"/>
  <c r="AA89" i="21"/>
  <c r="Z83" i="21"/>
  <c r="AF83" i="21"/>
  <c r="AA83" i="21"/>
  <c r="AE83" i="21"/>
  <c r="AC83" i="21"/>
  <c r="AD83" i="21"/>
  <c r="AB83" i="21"/>
  <c r="AF71" i="21"/>
  <c r="Z71" i="21"/>
  <c r="AC71" i="21"/>
  <c r="AE71" i="21"/>
  <c r="AB71" i="21"/>
  <c r="AD71" i="21"/>
  <c r="AA71" i="21"/>
  <c r="AA70" i="21"/>
  <c r="AC70" i="21"/>
  <c r="AF70" i="21"/>
  <c r="AB70" i="21"/>
  <c r="AD70" i="21"/>
  <c r="Z70" i="21"/>
  <c r="AS27" i="20"/>
  <c r="Z18" i="20"/>
  <c r="AG27" i="20" a="1"/>
  <c r="AG27" i="20" s="1"/>
  <c r="AT27" i="20" a="1"/>
  <c r="AF46" i="21" l="1"/>
  <c r="AC46" i="21"/>
  <c r="AD46" i="21"/>
  <c r="AF41" i="21"/>
  <c r="AC41" i="21"/>
  <c r="AD41" i="21"/>
  <c r="AE39" i="21"/>
  <c r="AC39" i="21"/>
  <c r="AD39" i="21"/>
  <c r="AF39" i="21"/>
  <c r="AC69" i="21"/>
  <c r="AD69" i="21"/>
  <c r="Z69" i="21"/>
  <c r="AF69" i="21"/>
  <c r="AB69" i="21"/>
  <c r="AA69" i="21"/>
  <c r="AF38" i="21"/>
  <c r="AC38" i="21"/>
  <c r="AD38" i="21"/>
  <c r="AF43" i="21"/>
  <c r="AD43" i="21"/>
  <c r="AC43" i="21"/>
  <c r="AF47" i="21"/>
  <c r="AE47" i="21"/>
  <c r="AD47" i="21"/>
  <c r="AC47" i="21"/>
  <c r="AF44" i="21"/>
  <c r="AD44" i="21"/>
  <c r="AC44" i="21"/>
  <c r="AE44" i="21"/>
  <c r="AD42" i="21"/>
  <c r="AF42" i="21"/>
  <c r="AC42" i="21"/>
  <c r="AT27" i="20"/>
  <c r="AH27" i="20" a="1"/>
  <c r="AH27" i="20" s="1"/>
  <c r="AA18" i="20"/>
  <c r="AU27" i="20" a="1"/>
  <c r="AD45" i="21" l="1"/>
  <c r="AC45" i="21"/>
  <c r="AF45" i="21"/>
  <c r="AC40" i="21"/>
  <c r="AF40" i="21"/>
  <c r="AD40" i="21"/>
  <c r="AU27" i="20"/>
  <c r="AB18" i="20"/>
  <c r="AK27" i="20"/>
  <c r="AV27" i="20" a="1"/>
  <c r="AV27" i="20" l="1"/>
  <c r="L71" i="17" l="1"/>
  <c r="L73" i="17"/>
  <c r="L74" i="17"/>
  <c r="L75" i="17"/>
  <c r="L76" i="17"/>
  <c r="L77" i="17"/>
  <c r="L78" i="17"/>
  <c r="L79" i="17"/>
  <c r="L80" i="17"/>
  <c r="L83" i="17"/>
  <c r="L85" i="17"/>
  <c r="L86" i="17"/>
  <c r="L87" i="17"/>
  <c r="L88" i="17"/>
  <c r="L89" i="17"/>
  <c r="L90" i="17"/>
  <c r="L91" i="17"/>
  <c r="L92" i="17"/>
  <c r="L95" i="17"/>
  <c r="L97" i="17"/>
  <c r="L98" i="17"/>
  <c r="L99" i="17"/>
  <c r="L100" i="17"/>
  <c r="L101" i="17"/>
  <c r="L102" i="17"/>
  <c r="Z104" i="17" l="1"/>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Z39" i="17"/>
  <c r="X39" i="17"/>
  <c r="V39" i="17"/>
  <c r="T39" i="17"/>
  <c r="S39" i="17"/>
  <c r="R39" i="17"/>
  <c r="P39" i="17"/>
  <c r="N39" i="17"/>
  <c r="L39" i="17"/>
  <c r="K39" i="17"/>
  <c r="I39" i="17"/>
  <c r="G39" i="17"/>
  <c r="E39"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U6" i="17" l="1"/>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Q14" i="17" l="1"/>
  <c r="AL14" i="17"/>
  <c r="AR14" i="17" l="1"/>
  <c r="AM14" i="17"/>
  <c r="AS14" i="17" s="1"/>
  <c r="I89" i="10" l="1"/>
  <c r="J89" i="10"/>
  <c r="H89" i="10"/>
  <c r="H92" i="10"/>
  <c r="H14" i="10" l="1"/>
  <c r="W20" i="4"/>
  <c r="K110" i="11"/>
  <c r="K109" i="11"/>
  <c r="K108" i="11"/>
  <c r="K107" i="11"/>
  <c r="K106" i="11"/>
  <c r="K103" i="11"/>
  <c r="K102" i="11"/>
  <c r="K100" i="11"/>
  <c r="K99" i="11"/>
  <c r="K97" i="11"/>
  <c r="K96" i="11"/>
  <c r="V58" i="11"/>
  <c r="AL68" i="1" l="1"/>
  <c r="J40" i="4" l="1"/>
  <c r="K40" i="4"/>
  <c r="L40" i="4"/>
  <c r="M40" i="4"/>
  <c r="N40" i="4"/>
  <c r="J20" i="4"/>
  <c r="K20" i="4" s="1"/>
  <c r="L20" i="4" s="1"/>
  <c r="M20" i="4" s="1"/>
  <c r="N20" i="4" s="1"/>
  <c r="L58" i="11"/>
  <c r="M58" i="11"/>
  <c r="N58" i="11"/>
  <c r="J58" i="11"/>
  <c r="K58" i="11"/>
  <c r="AN16" i="4"/>
  <c r="V14" i="13" l="1"/>
  <c r="W14" i="13"/>
  <c r="X14" i="13"/>
  <c r="Y14" i="13"/>
  <c r="B19" i="13"/>
  <c r="B20" i="13"/>
  <c r="B21" i="13"/>
  <c r="B22" i="13"/>
  <c r="B23" i="13"/>
  <c r="B24" i="13"/>
  <c r="B25" i="13"/>
  <c r="B27" i="13"/>
  <c r="B28" i="13"/>
  <c r="B29" i="13"/>
  <c r="B30" i="13"/>
  <c r="B31" i="13"/>
  <c r="B32" i="13"/>
  <c r="B33" i="13"/>
  <c r="B34" i="13"/>
  <c r="B36" i="13"/>
  <c r="B37" i="13"/>
  <c r="B39" i="13"/>
  <c r="B40" i="13"/>
  <c r="B41" i="13"/>
  <c r="B42" i="13"/>
  <c r="B43" i="13"/>
  <c r="B45" i="13"/>
  <c r="B46" i="13"/>
  <c r="B47" i="13"/>
  <c r="B48" i="13"/>
  <c r="B49" i="13"/>
  <c r="B50" i="13"/>
  <c r="B51" i="13"/>
  <c r="B53" i="13"/>
  <c r="B54" i="13"/>
  <c r="B55" i="13"/>
  <c r="B56" i="13"/>
  <c r="B57" i="13"/>
  <c r="B59" i="13"/>
  <c r="B61" i="13"/>
  <c r="B65" i="13"/>
  <c r="B66" i="13"/>
  <c r="B67" i="13"/>
  <c r="B68" i="13"/>
  <c r="B69" i="13"/>
  <c r="B70" i="13"/>
  <c r="B72" i="13"/>
  <c r="B73" i="13"/>
  <c r="B74" i="13"/>
  <c r="B75" i="13"/>
  <c r="B76" i="13"/>
  <c r="B77" i="13"/>
  <c r="B78" i="13"/>
  <c r="B79" i="13"/>
  <c r="B80" i="13"/>
  <c r="B81" i="13"/>
  <c r="B82" i="13"/>
  <c r="B83" i="13"/>
  <c r="B84" i="13"/>
  <c r="B85" i="13"/>
  <c r="B86" i="13"/>
  <c r="B87" i="13"/>
  <c r="B88" i="13"/>
  <c r="B89" i="13"/>
  <c r="B90" i="13"/>
  <c r="B91" i="13"/>
  <c r="B92" i="13"/>
  <c r="B93" i="13"/>
  <c r="B100" i="13"/>
  <c r="B101" i="13"/>
  <c r="B102" i="13"/>
  <c r="B103" i="13"/>
  <c r="B104" i="13"/>
  <c r="B105" i="13"/>
  <c r="B106" i="13"/>
  <c r="B107" i="13"/>
  <c r="B109" i="13"/>
  <c r="B111" i="13"/>
  <c r="B113" i="13"/>
  <c r="B115" i="13"/>
  <c r="B118" i="13"/>
  <c r="B119" i="13"/>
  <c r="B120" i="13"/>
  <c r="B121" i="13"/>
  <c r="B122" i="13"/>
  <c r="B18" i="13"/>
  <c r="E119" i="13"/>
  <c r="E120" i="13"/>
  <c r="E121" i="13"/>
  <c r="E122" i="13"/>
  <c r="E118" i="13"/>
  <c r="E115" i="13"/>
  <c r="E113" i="13"/>
  <c r="E111" i="13"/>
  <c r="E109" i="13"/>
  <c r="E101" i="13"/>
  <c r="E102" i="13"/>
  <c r="E103" i="13"/>
  <c r="E104" i="13"/>
  <c r="E105" i="13"/>
  <c r="E106" i="13"/>
  <c r="E107" i="13"/>
  <c r="E100" i="13"/>
  <c r="E91" i="13"/>
  <c r="E83" i="13"/>
  <c r="E84" i="13"/>
  <c r="E85" i="13"/>
  <c r="E86" i="13"/>
  <c r="E87" i="13"/>
  <c r="E88" i="13"/>
  <c r="E89" i="13"/>
  <c r="E90" i="13"/>
  <c r="E82" i="13"/>
  <c r="E74" i="13"/>
  <c r="E75" i="13"/>
  <c r="E76" i="13"/>
  <c r="E77" i="13"/>
  <c r="E78" i="13"/>
  <c r="E79" i="13"/>
  <c r="E80" i="13"/>
  <c r="E81" i="13"/>
  <c r="E73" i="13"/>
  <c r="E72" i="13"/>
  <c r="E66" i="13"/>
  <c r="E67" i="13"/>
  <c r="E68" i="13"/>
  <c r="E69" i="13"/>
  <c r="E70" i="13"/>
  <c r="E65" i="13"/>
  <c r="E61" i="13"/>
  <c r="E59" i="13"/>
  <c r="E54" i="13"/>
  <c r="E55" i="13"/>
  <c r="E56" i="13"/>
  <c r="E57" i="13"/>
  <c r="E53" i="13"/>
  <c r="E46" i="13"/>
  <c r="E47" i="13"/>
  <c r="E48" i="13"/>
  <c r="E49" i="13"/>
  <c r="E50" i="13"/>
  <c r="E51" i="13"/>
  <c r="E45" i="13"/>
  <c r="E40" i="13"/>
  <c r="E41" i="13"/>
  <c r="E42" i="13"/>
  <c r="E43" i="13"/>
  <c r="E39" i="13"/>
  <c r="E37" i="13"/>
  <c r="E36" i="13"/>
  <c r="E28" i="13"/>
  <c r="E29" i="13"/>
  <c r="E30" i="13"/>
  <c r="E31" i="13"/>
  <c r="E32" i="13"/>
  <c r="E33" i="13"/>
  <c r="E34" i="13"/>
  <c r="E27" i="13"/>
  <c r="E19" i="13"/>
  <c r="E20" i="13"/>
  <c r="E21" i="13"/>
  <c r="E22" i="13"/>
  <c r="E23" i="13"/>
  <c r="E24" i="13"/>
  <c r="E25" i="13"/>
  <c r="E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E95" i="13" l="1"/>
  <c r="E93" i="13"/>
  <c r="E92" i="13"/>
  <c r="E99" i="13"/>
  <c r="E98" i="13"/>
  <c r="E97" i="13"/>
  <c r="E94" i="13"/>
  <c r="E96" i="13"/>
  <c r="A82" i="14"/>
  <c r="K14" i="13" l="1"/>
  <c r="L14" i="13"/>
  <c r="M14" i="13"/>
  <c r="N14" i="13"/>
  <c r="J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D18" i="13"/>
  <c r="D22" i="13"/>
  <c r="A18" i="14"/>
  <c r="A27" i="14"/>
  <c r="A52" i="14"/>
  <c r="A106" i="14"/>
  <c r="A109" i="14"/>
  <c r="A9" i="14"/>
  <c r="A76" i="14"/>
  <c r="A100" i="14"/>
  <c r="F14" i="13"/>
  <c r="G14" i="13"/>
  <c r="H14" i="13"/>
  <c r="I14" i="13"/>
  <c r="P14" i="13"/>
  <c r="Q14" i="13"/>
  <c r="R14" i="13"/>
  <c r="S14" i="13"/>
  <c r="T14" i="13"/>
  <c r="U14" i="13"/>
  <c r="AA18" i="13"/>
  <c r="A18" i="13"/>
  <c r="D19" i="13"/>
  <c r="Z19" i="13"/>
  <c r="A19" i="13"/>
  <c r="D20" i="13"/>
  <c r="D21" i="13"/>
  <c r="D25" i="13"/>
  <c r="AA26" i="13"/>
  <c r="A26" i="13"/>
  <c r="D27" i="13"/>
  <c r="AA27" i="13"/>
  <c r="A27" i="13"/>
  <c r="A19" i="14"/>
  <c r="D28" i="13"/>
  <c r="Z28" i="13"/>
  <c r="A28" i="13"/>
  <c r="A20" i="14"/>
  <c r="D29" i="13"/>
  <c r="Z29" i="13"/>
  <c r="A21" i="14"/>
  <c r="D30" i="13"/>
  <c r="A22" i="14"/>
  <c r="D31" i="13"/>
  <c r="A23" i="14"/>
  <c r="D32" i="13"/>
  <c r="AA35" i="13"/>
  <c r="AB35" i="13"/>
  <c r="A35" i="13" s="1"/>
  <c r="D36" i="13"/>
  <c r="AA36" i="13"/>
  <c r="AB36" i="13"/>
  <c r="A36" i="13" s="1"/>
  <c r="D37" i="13"/>
  <c r="AA37" i="13"/>
  <c r="AB37" i="13"/>
  <c r="A37" i="13" s="1"/>
  <c r="AA38" i="13"/>
  <c r="AB38" i="13"/>
  <c r="A38" i="13" s="1"/>
  <c r="D39" i="13"/>
  <c r="AA39" i="13"/>
  <c r="AB39" i="13"/>
  <c r="A39" i="13" s="1"/>
  <c r="Z40" i="13"/>
  <c r="AB40" i="13"/>
  <c r="A40" i="13" s="1"/>
  <c r="D43" i="13"/>
  <c r="AA44" i="13"/>
  <c r="AB44" i="13"/>
  <c r="A44" i="13" s="1"/>
  <c r="A36" i="14"/>
  <c r="D45" i="13"/>
  <c r="AB45" i="13"/>
  <c r="A45" i="13" s="1"/>
  <c r="A37" i="14"/>
  <c r="D46" i="13"/>
  <c r="AB46" i="13"/>
  <c r="A46" i="13" s="1"/>
  <c r="A38" i="14"/>
  <c r="D47" i="13"/>
  <c r="A39" i="14"/>
  <c r="D48" i="13"/>
  <c r="A40" i="14"/>
  <c r="A42" i="14"/>
  <c r="C51" i="13"/>
  <c r="AA52" i="13"/>
  <c r="A52" i="13"/>
  <c r="A44" i="14"/>
  <c r="D53" i="13"/>
  <c r="A45" i="14"/>
  <c r="A46" i="14"/>
  <c r="D55" i="13"/>
  <c r="AA58" i="13"/>
  <c r="A58" i="13"/>
  <c r="A50" i="14"/>
  <c r="D59" i="13"/>
  <c r="AA59" i="13"/>
  <c r="A60" i="13"/>
  <c r="D61" i="13"/>
  <c r="AA61" i="13"/>
  <c r="AA62" i="13"/>
  <c r="A62" i="13"/>
  <c r="F63" i="13"/>
  <c r="AA63" i="13"/>
  <c r="A63" i="13"/>
  <c r="AA64" i="13"/>
  <c r="A64" i="13"/>
  <c r="D65" i="13"/>
  <c r="AA65" i="13"/>
  <c r="A65" i="13"/>
  <c r="D66" i="13"/>
  <c r="Z66" i="13"/>
  <c r="D67" i="13"/>
  <c r="AB67" i="13"/>
  <c r="A67" i="13" s="1"/>
  <c r="D68" i="13"/>
  <c r="D69" i="13"/>
  <c r="D70" i="13"/>
  <c r="AA71" i="13"/>
  <c r="AB71" i="13"/>
  <c r="A71" i="13" s="1"/>
  <c r="D72" i="13"/>
  <c r="AA72" i="13"/>
  <c r="AB72" i="13"/>
  <c r="A72" i="13" s="1"/>
  <c r="D73" i="13"/>
  <c r="Z73" i="13"/>
  <c r="AB73" i="13"/>
  <c r="A73" i="13" s="1"/>
  <c r="A65" i="14"/>
  <c r="D74" i="13"/>
  <c r="AB74" i="13"/>
  <c r="A74" i="13" s="1"/>
  <c r="A66" i="14"/>
  <c r="D75" i="13"/>
  <c r="AB75" i="13"/>
  <c r="A75" i="13" s="1"/>
  <c r="D76" i="13"/>
  <c r="AB76" i="13"/>
  <c r="A76" i="13" s="1"/>
  <c r="D77" i="13"/>
  <c r="AB77" i="13"/>
  <c r="A77" i="13" s="1"/>
  <c r="D78" i="13"/>
  <c r="AB78" i="13"/>
  <c r="A78" i="13" s="1"/>
  <c r="D79" i="13"/>
  <c r="AB79" i="13"/>
  <c r="A79" i="13" s="1"/>
  <c r="A71" i="14"/>
  <c r="D80" i="13"/>
  <c r="AB80" i="13"/>
  <c r="A80" i="13" s="1"/>
  <c r="A72" i="14"/>
  <c r="D81" i="13"/>
  <c r="AB81" i="13"/>
  <c r="A81" i="13" s="1"/>
  <c r="D82" i="13"/>
  <c r="A74" i="14"/>
  <c r="D83" i="13"/>
  <c r="A75" i="14"/>
  <c r="D84" i="13"/>
  <c r="C101" i="13"/>
  <c r="D85" i="13"/>
  <c r="D86" i="13"/>
  <c r="D87" i="13"/>
  <c r="D88" i="13"/>
  <c r="A80" i="14"/>
  <c r="D89" i="13"/>
  <c r="A81" i="14"/>
  <c r="D90" i="13"/>
  <c r="D109" i="13"/>
  <c r="Q109" i="13"/>
  <c r="R109" i="13" s="1"/>
  <c r="S109" i="13" s="1"/>
  <c r="T109" i="13" s="1"/>
  <c r="U109" i="13" s="1"/>
  <c r="AA109" i="13"/>
  <c r="A102" i="14"/>
  <c r="D111" i="13"/>
  <c r="Q111" i="13"/>
  <c r="R111" i="13" s="1"/>
  <c r="AA111" i="13"/>
  <c r="A104" i="14"/>
  <c r="D113" i="13"/>
  <c r="Q113" i="13"/>
  <c r="R113" i="13" s="1"/>
  <c r="AA113" i="13"/>
  <c r="AA114" i="13"/>
  <c r="D115" i="13"/>
  <c r="Q115" i="13"/>
  <c r="R115" i="13" s="1"/>
  <c r="AA115" i="13"/>
  <c r="D118" i="13"/>
  <c r="G118" i="13"/>
  <c r="H118" i="13" s="1"/>
  <c r="I118" i="13" s="1"/>
  <c r="Q118" i="13"/>
  <c r="R118" i="13" s="1"/>
  <c r="AA118" i="13"/>
  <c r="A110" i="14"/>
  <c r="D119" i="13"/>
  <c r="G119" i="13"/>
  <c r="H119" i="13" s="1"/>
  <c r="I119" i="13" s="1"/>
  <c r="Q119" i="13"/>
  <c r="R119" i="13" s="1"/>
  <c r="AA119" i="13"/>
  <c r="A119" i="13"/>
  <c r="A111" i="14"/>
  <c r="D120" i="13"/>
  <c r="G120" i="13"/>
  <c r="H120" i="13" s="1"/>
  <c r="I120" i="13" s="1"/>
  <c r="Q120" i="13"/>
  <c r="R120" i="13" s="1"/>
  <c r="AA120" i="13"/>
  <c r="A120" i="13"/>
  <c r="A112" i="14"/>
  <c r="D121" i="13"/>
  <c r="G121" i="13"/>
  <c r="H121" i="13" s="1"/>
  <c r="I121" i="13" s="1"/>
  <c r="Q121" i="13"/>
  <c r="R121" i="13" s="1"/>
  <c r="AA121" i="13"/>
  <c r="A121" i="13"/>
  <c r="A113" i="14"/>
  <c r="D122" i="13"/>
  <c r="G122" i="13"/>
  <c r="H122" i="13" s="1"/>
  <c r="I122" i="13" s="1"/>
  <c r="Q122" i="13"/>
  <c r="R122" i="13" s="1"/>
  <c r="AA122" i="13"/>
  <c r="A122"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O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W38" i="10"/>
  <c r="X38" i="10"/>
  <c r="AE38" i="10"/>
  <c r="S41" i="10"/>
  <c r="S38" i="10" s="1"/>
  <c r="S15" i="10" s="1"/>
  <c r="AD42" i="10"/>
  <c r="AD43" i="10"/>
  <c r="S44" i="10"/>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E43" i="11" l="1"/>
  <c r="X103" i="11" s="1"/>
  <c r="AD103" i="11"/>
  <c r="AD41" i="10"/>
  <c r="AE43" i="10" s="1"/>
  <c r="U101" i="13"/>
  <c r="Y101" i="13"/>
  <c r="X51" i="13"/>
  <c r="V51" i="13"/>
  <c r="W51" i="13"/>
  <c r="Y51" i="13"/>
  <c r="R51" i="13"/>
  <c r="S51" i="13"/>
  <c r="P51" i="13"/>
  <c r="U51" i="13"/>
  <c r="T51" i="13"/>
  <c r="Q51" i="13"/>
  <c r="AA66" i="13"/>
  <c r="AA28" i="13"/>
  <c r="AA19" i="13"/>
  <c r="AA73" i="13"/>
  <c r="AA40" i="13"/>
  <c r="AA29" i="13"/>
  <c r="J90" i="10"/>
  <c r="A66" i="11"/>
  <c r="A8" i="12" s="1"/>
  <c r="C8" i="12" s="1"/>
  <c r="B69" i="11"/>
  <c r="Y108" i="11"/>
  <c r="P108" i="11" s="1"/>
  <c r="Y110" i="11"/>
  <c r="P110" i="11" s="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Z22" i="13"/>
  <c r="Z23" i="13" s="1"/>
  <c r="C109" i="13"/>
  <c r="C103" i="13"/>
  <c r="A79" i="14"/>
  <c r="A70" i="14"/>
  <c r="Z67" i="13"/>
  <c r="C27" i="13"/>
  <c r="C31" i="13"/>
  <c r="C81" i="13"/>
  <c r="Z20" i="13"/>
  <c r="Z41" i="13"/>
  <c r="Z42" i="13" s="1"/>
  <c r="C36" i="13"/>
  <c r="C89" i="13"/>
  <c r="A77" i="14"/>
  <c r="A68" i="14"/>
  <c r="A63" i="14"/>
  <c r="A73" i="14"/>
  <c r="A64" i="14"/>
  <c r="A30" i="14"/>
  <c r="A32" i="14"/>
  <c r="A34" i="14"/>
  <c r="A31" i="14"/>
  <c r="C65" i="13"/>
  <c r="A78" i="14"/>
  <c r="A69" i="14"/>
  <c r="C122" i="13"/>
  <c r="C121" i="13"/>
  <c r="C120" i="13"/>
  <c r="A56" i="14"/>
  <c r="A28" i="14"/>
  <c r="C75" i="13"/>
  <c r="Z74" i="13"/>
  <c r="A12" i="14"/>
  <c r="C72" i="13"/>
  <c r="C39" i="13"/>
  <c r="Z31" i="13"/>
  <c r="C25" i="13"/>
  <c r="A14" i="14"/>
  <c r="A10" i="14"/>
  <c r="A16" i="14"/>
  <c r="C118" i="13"/>
  <c r="A67" i="14"/>
  <c r="A61" i="14"/>
  <c r="A59" i="14"/>
  <c r="C119" i="13"/>
  <c r="A13" i="14"/>
  <c r="A11" i="14"/>
  <c r="A70" i="11"/>
  <c r="A12" i="12" s="1"/>
  <c r="C12" i="12" s="1"/>
  <c r="B91" i="11"/>
  <c r="A77" i="11"/>
  <c r="A19" i="12" s="1"/>
  <c r="A64" i="11"/>
  <c r="A6" i="12" s="1"/>
  <c r="C6" i="12" s="1"/>
  <c r="C86" i="13"/>
  <c r="C82" i="13"/>
  <c r="C61" i="13"/>
  <c r="D91" i="13"/>
  <c r="A58" i="14"/>
  <c r="A47" i="14"/>
  <c r="A24" i="14"/>
  <c r="D56" i="13"/>
  <c r="D23" i="13"/>
  <c r="D33" i="13"/>
  <c r="A91" i="14"/>
  <c r="D41" i="13"/>
  <c r="D49" i="13"/>
  <c r="D34" i="13"/>
  <c r="D42" i="13"/>
  <c r="D50" i="13"/>
  <c r="D57" i="13"/>
  <c r="D24" i="13"/>
  <c r="A96" i="14"/>
  <c r="N19" i="11"/>
  <c r="C100" i="11"/>
  <c r="B100" i="11" s="1"/>
  <c r="C115" i="13"/>
  <c r="C87" i="13"/>
  <c r="C48" i="13"/>
  <c r="B102" i="11"/>
  <c r="C111" i="13"/>
  <c r="A98" i="14"/>
  <c r="A95" i="14"/>
  <c r="A94" i="14"/>
  <c r="D54" i="13"/>
  <c r="C45" i="13"/>
  <c r="C28" i="13"/>
  <c r="C20" i="13"/>
  <c r="C97" i="11"/>
  <c r="B97" i="11" s="1"/>
  <c r="B39" i="12" s="1"/>
  <c r="A92" i="14"/>
  <c r="C108" i="11"/>
  <c r="B110" i="11"/>
  <c r="B99" i="11"/>
  <c r="B90" i="11"/>
  <c r="B77" i="11"/>
  <c r="B74" i="11"/>
  <c r="C53" i="13"/>
  <c r="A33" i="14"/>
  <c r="B106" i="11"/>
  <c r="C103" i="11"/>
  <c r="B103" i="11" s="1"/>
  <c r="B87" i="11"/>
  <c r="C79" i="11"/>
  <c r="C114" i="11" s="1"/>
  <c r="A97" i="14"/>
  <c r="D40" i="13"/>
  <c r="A93" i="14"/>
  <c r="C89" i="11"/>
  <c r="B89" i="11" s="1"/>
  <c r="B31" i="12" s="1"/>
  <c r="C76" i="11"/>
  <c r="C112" i="11" s="1"/>
  <c r="C113" i="13"/>
  <c r="C43" i="13"/>
  <c r="I107" i="10"/>
  <c r="I99" i="10"/>
  <c r="I103" i="10"/>
  <c r="J105" i="10"/>
  <c r="J95" i="10"/>
  <c r="AE42" i="10"/>
  <c r="S43" i="10"/>
  <c r="AD100" i="11" s="1"/>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S122" i="13"/>
  <c r="T122" i="13"/>
  <c r="U122" i="13" s="1"/>
  <c r="S115" i="13"/>
  <c r="T115" i="13"/>
  <c r="U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S113" i="13"/>
  <c r="T113" i="13"/>
  <c r="U113" i="13" s="1"/>
  <c r="C107" i="13"/>
  <c r="B19" i="12"/>
  <c r="C19" i="12"/>
  <c r="C37" i="12"/>
  <c r="B37" i="12"/>
  <c r="C13" i="12"/>
  <c r="B13" i="12"/>
  <c r="S119" i="13"/>
  <c r="T119" i="13"/>
  <c r="U119" i="13" s="1"/>
  <c r="C39" i="12"/>
  <c r="B16" i="12"/>
  <c r="A65" i="11"/>
  <c r="A7" i="12" s="1"/>
  <c r="A72" i="11"/>
  <c r="A14" i="12" s="1"/>
  <c r="B44" i="12"/>
  <c r="A69" i="11"/>
  <c r="A11" i="12" s="1"/>
  <c r="A68" i="11"/>
  <c r="A10" i="12" s="1"/>
  <c r="C66" i="11"/>
  <c r="C9" i="12"/>
  <c r="B9" i="12"/>
  <c r="C88" i="13"/>
  <c r="C44" i="12"/>
  <c r="S120" i="13"/>
  <c r="T120" i="13"/>
  <c r="U120" i="13" s="1"/>
  <c r="B24" i="12"/>
  <c r="B54" i="12"/>
  <c r="C54" i="12"/>
  <c r="D54" i="12"/>
  <c r="E54" i="12"/>
  <c r="C42" i="12"/>
  <c r="C53" i="12"/>
  <c r="D53" i="12"/>
  <c r="E53" i="12"/>
  <c r="B53" i="12"/>
  <c r="C18" i="12"/>
  <c r="S121" i="13"/>
  <c r="T121" i="13"/>
  <c r="U121" i="13" s="1"/>
  <c r="S118" i="13"/>
  <c r="T118" i="13"/>
  <c r="U118" i="13" s="1"/>
  <c r="B12" i="12"/>
  <c r="C17" i="12"/>
  <c r="B17" i="12"/>
  <c r="S111" i="13"/>
  <c r="T111" i="13"/>
  <c r="U111" i="13" s="1"/>
  <c r="D55" i="12"/>
  <c r="D66" i="11"/>
  <c r="C47" i="12"/>
  <c r="C43" i="12"/>
  <c r="C23" i="12"/>
  <c r="C15" i="12"/>
  <c r="E56" i="12"/>
  <c r="D56" i="12"/>
  <c r="C90" i="13"/>
  <c r="C84" i="13"/>
  <c r="C85" i="13"/>
  <c r="C79" i="13"/>
  <c r="C77" i="13"/>
  <c r="C83" i="13"/>
  <c r="C67" i="13"/>
  <c r="C74" i="13"/>
  <c r="C76" i="13"/>
  <c r="C73" i="13"/>
  <c r="C55" i="13"/>
  <c r="A57" i="14"/>
  <c r="C66" i="13"/>
  <c r="C59" i="13"/>
  <c r="A60" i="14"/>
  <c r="C47" i="13"/>
  <c r="C37" i="13"/>
  <c r="C32" i="13"/>
  <c r="B42" i="14"/>
  <c r="C46" i="13"/>
  <c r="Z33" i="13"/>
  <c r="C29" i="13"/>
  <c r="C30" i="13"/>
  <c r="C21" i="13"/>
  <c r="C19" i="13"/>
  <c r="Z30" i="13"/>
  <c r="C22" i="13"/>
  <c r="Q110" i="11" l="1"/>
  <c r="R110" i="11" s="1"/>
  <c r="Z110" i="11"/>
  <c r="Q108" i="11"/>
  <c r="R108" i="11" s="1"/>
  <c r="Z108" i="11"/>
  <c r="V22" i="13"/>
  <c r="W22" i="13"/>
  <c r="Y22" i="13"/>
  <c r="X22" i="13"/>
  <c r="U22" i="13"/>
  <c r="R22" i="13"/>
  <c r="P22" i="13"/>
  <c r="T22" i="13"/>
  <c r="Q22" i="13"/>
  <c r="S22" i="13"/>
  <c r="W19" i="13"/>
  <c r="V19" i="13"/>
  <c r="Y19" i="13"/>
  <c r="X19" i="13"/>
  <c r="R19" i="13"/>
  <c r="S19" i="13"/>
  <c r="T19" i="13"/>
  <c r="P19" i="13"/>
  <c r="Q19" i="13"/>
  <c r="U19" i="13"/>
  <c r="W21" i="13"/>
  <c r="X21" i="13"/>
  <c r="Y21" i="13"/>
  <c r="U21" i="13"/>
  <c r="S21" i="13"/>
  <c r="R21" i="13"/>
  <c r="T21" i="13"/>
  <c r="Q21" i="13"/>
  <c r="V21" i="13"/>
  <c r="P21" i="13"/>
  <c r="Y30" i="13"/>
  <c r="W30" i="13"/>
  <c r="X30" i="13"/>
  <c r="S30" i="13"/>
  <c r="U30" i="13"/>
  <c r="R30" i="13"/>
  <c r="T30" i="13"/>
  <c r="Q30" i="13"/>
  <c r="P30" i="13"/>
  <c r="V30" i="13"/>
  <c r="W29" i="13"/>
  <c r="X29" i="13"/>
  <c r="Y29" i="13"/>
  <c r="S29" i="13"/>
  <c r="T29" i="13"/>
  <c r="U29" i="13"/>
  <c r="R29" i="13"/>
  <c r="Q29" i="13"/>
  <c r="V29" i="13"/>
  <c r="P29" i="13"/>
  <c r="W46" i="13"/>
  <c r="X46" i="13"/>
  <c r="V46" i="13"/>
  <c r="Y46" i="13"/>
  <c r="R46" i="13"/>
  <c r="P46" i="13"/>
  <c r="T46" i="13"/>
  <c r="U46" i="13"/>
  <c r="Q46" i="13"/>
  <c r="S46" i="13"/>
  <c r="V32" i="13"/>
  <c r="Q32" i="13"/>
  <c r="P32" i="13"/>
  <c r="X37" i="13"/>
  <c r="Y37" i="13"/>
  <c r="W37" i="13"/>
  <c r="V37" i="13"/>
  <c r="P37" i="13"/>
  <c r="U37" i="13"/>
  <c r="S37" i="13"/>
  <c r="T37" i="13"/>
  <c r="R37" i="13"/>
  <c r="Q37" i="13"/>
  <c r="W47" i="13"/>
  <c r="Y47" i="13"/>
  <c r="V47" i="13"/>
  <c r="X47" i="13"/>
  <c r="T47" i="13"/>
  <c r="R47" i="13"/>
  <c r="Q47" i="13"/>
  <c r="P47" i="13"/>
  <c r="U47" i="13"/>
  <c r="R66" i="13"/>
  <c r="U66" i="13"/>
  <c r="P66" i="13"/>
  <c r="Q66" i="13"/>
  <c r="T66" i="13"/>
  <c r="X66" i="13"/>
  <c r="V66" i="13"/>
  <c r="Y66" i="13"/>
  <c r="W66" i="13"/>
  <c r="U55" i="13"/>
  <c r="P55" i="13"/>
  <c r="Q55" i="13"/>
  <c r="S55" i="13"/>
  <c r="R55" i="13"/>
  <c r="T55" i="13"/>
  <c r="X55" i="13"/>
  <c r="W55" i="13"/>
  <c r="V55" i="13"/>
  <c r="Y55" i="13"/>
  <c r="S73" i="13"/>
  <c r="U73" i="13"/>
  <c r="R73" i="13"/>
  <c r="P73" i="13"/>
  <c r="T73" i="13"/>
  <c r="Q73" i="13"/>
  <c r="X73" i="13"/>
  <c r="V73" i="13"/>
  <c r="W73" i="13"/>
  <c r="Y73" i="13"/>
  <c r="T76" i="13"/>
  <c r="P76" i="13"/>
  <c r="Q76" i="13"/>
  <c r="S76" i="13"/>
  <c r="U76" i="13"/>
  <c r="R76" i="13"/>
  <c r="W76" i="13"/>
  <c r="Y76" i="13"/>
  <c r="V76" i="13"/>
  <c r="X76" i="13"/>
  <c r="T74" i="13"/>
  <c r="Q74" i="13"/>
  <c r="S74" i="13"/>
  <c r="P74" i="13"/>
  <c r="R74" i="13"/>
  <c r="U74" i="13"/>
  <c r="Y74" i="13"/>
  <c r="W74" i="13"/>
  <c r="V74" i="13"/>
  <c r="X74" i="13"/>
  <c r="S67" i="13"/>
  <c r="R67" i="13"/>
  <c r="Y67" i="13"/>
  <c r="T67" i="13"/>
  <c r="W67" i="13"/>
  <c r="X67" i="13"/>
  <c r="U67" i="13"/>
  <c r="Q67" i="13"/>
  <c r="P67" i="13"/>
  <c r="V67" i="13"/>
  <c r="U83" i="13"/>
  <c r="Y83" i="13"/>
  <c r="Q77" i="13"/>
  <c r="P77" i="13"/>
  <c r="R77" i="13"/>
  <c r="T77" i="13"/>
  <c r="S77" i="13"/>
  <c r="U77" i="13"/>
  <c r="Y77" i="13"/>
  <c r="X77" i="13"/>
  <c r="W77" i="13"/>
  <c r="V77" i="13"/>
  <c r="S79" i="13"/>
  <c r="P79" i="13"/>
  <c r="Q79" i="13"/>
  <c r="U79" i="13"/>
  <c r="T79" i="13"/>
  <c r="R79" i="13"/>
  <c r="W79" i="13"/>
  <c r="X79" i="13"/>
  <c r="Y79" i="13"/>
  <c r="V79" i="13"/>
  <c r="S85" i="13"/>
  <c r="T85" i="13"/>
  <c r="U85" i="13"/>
  <c r="R85" i="13"/>
  <c r="P85" i="13"/>
  <c r="Q85" i="13"/>
  <c r="V85" i="13"/>
  <c r="W85" i="13"/>
  <c r="Y85" i="13"/>
  <c r="X85" i="13"/>
  <c r="U84" i="13"/>
  <c r="Y84" i="13"/>
  <c r="R90" i="13"/>
  <c r="T90" i="13"/>
  <c r="U90" i="13"/>
  <c r="S90" i="13"/>
  <c r="Q90" i="13"/>
  <c r="P90" i="13"/>
  <c r="V90" i="13"/>
  <c r="Y90" i="13"/>
  <c r="X90" i="13"/>
  <c r="W90" i="13"/>
  <c r="U88" i="13"/>
  <c r="R88" i="13"/>
  <c r="T88" i="13"/>
  <c r="Q88" i="13"/>
  <c r="P88" i="13"/>
  <c r="S88" i="13"/>
  <c r="V88" i="13"/>
  <c r="X88" i="13"/>
  <c r="W88" i="13"/>
  <c r="Y88" i="13"/>
  <c r="T107" i="13"/>
  <c r="U107" i="13"/>
  <c r="Q107" i="13"/>
  <c r="P107" i="13"/>
  <c r="R107" i="13"/>
  <c r="S107" i="13"/>
  <c r="W107" i="13"/>
  <c r="V107" i="13"/>
  <c r="Y107" i="13"/>
  <c r="X107" i="13"/>
  <c r="S43" i="13"/>
  <c r="Q43" i="13"/>
  <c r="P43" i="13"/>
  <c r="T43" i="13"/>
  <c r="R43" i="13"/>
  <c r="U43" i="13"/>
  <c r="Y43" i="13"/>
  <c r="W43" i="13"/>
  <c r="X43" i="13"/>
  <c r="V43" i="13"/>
  <c r="U53" i="13"/>
  <c r="R53" i="13"/>
  <c r="Q53" i="13"/>
  <c r="S53" i="13"/>
  <c r="P53" i="13"/>
  <c r="T53" i="13"/>
  <c r="X53" i="13"/>
  <c r="V53" i="13"/>
  <c r="W53" i="13"/>
  <c r="Y53" i="13"/>
  <c r="W20" i="13"/>
  <c r="X20" i="13"/>
  <c r="Y20" i="13"/>
  <c r="V20" i="13"/>
  <c r="U20" i="13"/>
  <c r="Q20" i="13"/>
  <c r="P20" i="13"/>
  <c r="T20" i="13"/>
  <c r="R20" i="13"/>
  <c r="Y28" i="13"/>
  <c r="V28" i="13"/>
  <c r="S28" i="13"/>
  <c r="X28" i="13"/>
  <c r="T28" i="13"/>
  <c r="W28" i="13"/>
  <c r="R28" i="13"/>
  <c r="Q28" i="13"/>
  <c r="P28" i="13"/>
  <c r="U28" i="13"/>
  <c r="X45" i="13"/>
  <c r="V45" i="13"/>
  <c r="Y45" i="13"/>
  <c r="W45" i="13"/>
  <c r="S45" i="13"/>
  <c r="P45" i="13"/>
  <c r="R45" i="13"/>
  <c r="U45" i="13"/>
  <c r="T45" i="13"/>
  <c r="Q45" i="13"/>
  <c r="W48" i="13"/>
  <c r="Y48" i="13"/>
  <c r="V48" i="13"/>
  <c r="X48" i="13"/>
  <c r="R48" i="13"/>
  <c r="Q48" i="13"/>
  <c r="S48" i="13"/>
  <c r="P48" i="13"/>
  <c r="T48" i="13"/>
  <c r="U48" i="13"/>
  <c r="Q87" i="13"/>
  <c r="S87" i="13"/>
  <c r="P87" i="13"/>
  <c r="R87" i="13"/>
  <c r="T87" i="13"/>
  <c r="U87" i="13"/>
  <c r="Y87" i="13"/>
  <c r="X87" i="13"/>
  <c r="W87" i="13"/>
  <c r="V87" i="13"/>
  <c r="U82" i="13"/>
  <c r="Y82" i="13"/>
  <c r="R86" i="13"/>
  <c r="P86" i="13"/>
  <c r="Q86" i="13"/>
  <c r="T86" i="13"/>
  <c r="S86" i="13"/>
  <c r="U86" i="13"/>
  <c r="Y86" i="13"/>
  <c r="X86" i="13"/>
  <c r="V86" i="13"/>
  <c r="W86" i="13"/>
  <c r="V25" i="13"/>
  <c r="X25" i="13"/>
  <c r="Y25" i="13"/>
  <c r="W25" i="13"/>
  <c r="T25" i="13"/>
  <c r="Q25" i="13"/>
  <c r="S25" i="13"/>
  <c r="P25" i="13"/>
  <c r="U25" i="13"/>
  <c r="R25" i="13"/>
  <c r="T39" i="13"/>
  <c r="U39" i="13"/>
  <c r="P39" i="13"/>
  <c r="S39" i="13"/>
  <c r="Q39" i="13"/>
  <c r="R39" i="13"/>
  <c r="W39" i="13"/>
  <c r="V39" i="13"/>
  <c r="Y39" i="13"/>
  <c r="X39" i="13"/>
  <c r="U72" i="13"/>
  <c r="Q72" i="13"/>
  <c r="P72" i="13"/>
  <c r="S72" i="13"/>
  <c r="R72" i="13"/>
  <c r="T72" i="13"/>
  <c r="X72" i="13"/>
  <c r="W72" i="13"/>
  <c r="V72" i="13"/>
  <c r="Y72" i="13"/>
  <c r="R75" i="13"/>
  <c r="T75" i="13"/>
  <c r="Q75" i="13"/>
  <c r="P75" i="13"/>
  <c r="U75" i="13"/>
  <c r="S75" i="13"/>
  <c r="Y75" i="13"/>
  <c r="V75" i="13"/>
  <c r="X75" i="13"/>
  <c r="W75" i="13"/>
  <c r="X65" i="13"/>
  <c r="Y65" i="13"/>
  <c r="S65" i="13"/>
  <c r="Q65" i="13"/>
  <c r="R65" i="13"/>
  <c r="W65" i="13"/>
  <c r="T65" i="13"/>
  <c r="U65" i="13"/>
  <c r="P65" i="13"/>
  <c r="V65" i="13"/>
  <c r="U89" i="13"/>
  <c r="R89" i="13"/>
  <c r="P89" i="13"/>
  <c r="Q89" i="13"/>
  <c r="S89" i="13"/>
  <c r="T89" i="13"/>
  <c r="X89" i="13"/>
  <c r="V89" i="13"/>
  <c r="W89" i="13"/>
  <c r="Y89" i="13"/>
  <c r="X36" i="13"/>
  <c r="Q36" i="13"/>
  <c r="Y36" i="13"/>
  <c r="V36" i="13"/>
  <c r="W36" i="13"/>
  <c r="U36" i="13"/>
  <c r="R36" i="13"/>
  <c r="S36" i="13"/>
  <c r="P36" i="13"/>
  <c r="T36" i="13"/>
  <c r="U81" i="13"/>
  <c r="R81" i="13"/>
  <c r="P81" i="13"/>
  <c r="Q81" i="13"/>
  <c r="T81" i="13"/>
  <c r="S81" i="13"/>
  <c r="X81" i="13"/>
  <c r="V81" i="13"/>
  <c r="W81" i="13"/>
  <c r="Y81" i="13"/>
  <c r="Y31" i="13"/>
  <c r="V31" i="13"/>
  <c r="W31" i="13"/>
  <c r="X31" i="13"/>
  <c r="P31" i="13"/>
  <c r="T31" i="13"/>
  <c r="Q31" i="13"/>
  <c r="U31" i="13"/>
  <c r="R31" i="13"/>
  <c r="S31" i="13"/>
  <c r="R27" i="13"/>
  <c r="Q27" i="13"/>
  <c r="U27" i="13"/>
  <c r="S27" i="13"/>
  <c r="X27" i="13"/>
  <c r="V27" i="13"/>
  <c r="Y27" i="13"/>
  <c r="T27" i="13"/>
  <c r="W27" i="13"/>
  <c r="P27" i="13"/>
  <c r="P103" i="13"/>
  <c r="U103" i="13"/>
  <c r="S103" i="13"/>
  <c r="Q103" i="13"/>
  <c r="T103" i="13"/>
  <c r="R103" i="13"/>
  <c r="W103" i="13"/>
  <c r="X103" i="13"/>
  <c r="Y103" i="13"/>
  <c r="V103" i="13"/>
  <c r="B44" i="14"/>
  <c r="B104" i="14"/>
  <c r="AA74" i="13"/>
  <c r="C50" i="13"/>
  <c r="B52" i="14"/>
  <c r="Z21" i="13"/>
  <c r="B102" i="14"/>
  <c r="B109" i="14"/>
  <c r="AA23" i="13"/>
  <c r="AA31" i="13"/>
  <c r="AA41" i="13"/>
  <c r="Z24" i="13"/>
  <c r="AA24" i="13" s="1"/>
  <c r="C54" i="13"/>
  <c r="B72" i="14"/>
  <c r="Z75" i="13"/>
  <c r="C23" i="13"/>
  <c r="I106" i="10"/>
  <c r="B18" i="14"/>
  <c r="AB110" i="11"/>
  <c r="AB108" i="11"/>
  <c r="Y106" i="11"/>
  <c r="P106" i="11" s="1"/>
  <c r="B100" i="14"/>
  <c r="B6" i="12"/>
  <c r="C42" i="13"/>
  <c r="B110" i="14"/>
  <c r="B77" i="14"/>
  <c r="B65" i="14"/>
  <c r="B70" i="14"/>
  <c r="B22" i="14"/>
  <c r="B64" i="14"/>
  <c r="AA20" i="13"/>
  <c r="B36" i="14"/>
  <c r="B30" i="14"/>
  <c r="B73" i="14"/>
  <c r="D92" i="13"/>
  <c r="D93" i="13" s="1"/>
  <c r="B111" i="14"/>
  <c r="C91" i="13"/>
  <c r="A25" i="14"/>
  <c r="B112" i="14"/>
  <c r="J34" i="15"/>
  <c r="J36" i="15"/>
  <c r="B94" i="14"/>
  <c r="AA22" i="13"/>
  <c r="B27" i="14"/>
  <c r="B23" i="14"/>
  <c r="B50" i="14"/>
  <c r="B74" i="14"/>
  <c r="B76" i="14"/>
  <c r="B37" i="14"/>
  <c r="B79" i="14"/>
  <c r="B46" i="14"/>
  <c r="B75" i="14"/>
  <c r="B38" i="14"/>
  <c r="B28" i="14"/>
  <c r="B12" i="14"/>
  <c r="B21" i="14"/>
  <c r="B20" i="14"/>
  <c r="B81" i="14"/>
  <c r="B80" i="14"/>
  <c r="B78" i="14"/>
  <c r="Z68" i="13"/>
  <c r="AA67" i="13"/>
  <c r="C70" i="13"/>
  <c r="B67" i="14"/>
  <c r="C102" i="13"/>
  <c r="C80" i="13"/>
  <c r="B63" i="14"/>
  <c r="C78" i="13"/>
  <c r="B113" i="14"/>
  <c r="B34" i="14"/>
  <c r="C33" i="13"/>
  <c r="B16" i="14"/>
  <c r="B56" i="14"/>
  <c r="B10" i="14"/>
  <c r="B82" i="14"/>
  <c r="B66" i="14"/>
  <c r="B68" i="14"/>
  <c r="B39" i="14"/>
  <c r="C68" i="13"/>
  <c r="C69" i="13"/>
  <c r="C34" i="13"/>
  <c r="B92" i="14"/>
  <c r="A83" i="14"/>
  <c r="C40" i="13"/>
  <c r="C56" i="13"/>
  <c r="A15" i="14"/>
  <c r="A48" i="14"/>
  <c r="C57" i="13"/>
  <c r="B98" i="14"/>
  <c r="A41" i="14"/>
  <c r="C49" i="13"/>
  <c r="C41" i="13"/>
  <c r="C24" i="13"/>
  <c r="B11" i="14"/>
  <c r="B106" i="14"/>
  <c r="B76" i="11"/>
  <c r="B66" i="11"/>
  <c r="B32" i="12"/>
  <c r="B29" i="12"/>
  <c r="B19" i="14"/>
  <c r="B79" i="11"/>
  <c r="B115" i="11" s="1"/>
  <c r="J114" i="10"/>
  <c r="J108" i="10"/>
  <c r="AA75" i="13"/>
  <c r="Z76" i="13"/>
  <c r="AA30" i="13"/>
  <c r="Z32" i="13"/>
  <c r="B11" i="12"/>
  <c r="C11" i="12"/>
  <c r="E42" i="11"/>
  <c r="X100" i="11" s="1"/>
  <c r="I108" i="10"/>
  <c r="I114" i="10"/>
  <c r="Z43" i="13"/>
  <c r="AA42" i="13"/>
  <c r="C105" i="13"/>
  <c r="C45" i="12"/>
  <c r="B45" i="12"/>
  <c r="S42" i="10"/>
  <c r="AD97" i="11" s="1"/>
  <c r="C18" i="13"/>
  <c r="AA33" i="13"/>
  <c r="C41" i="12"/>
  <c r="B41" i="12"/>
  <c r="B14" i="12"/>
  <c r="C14" i="12"/>
  <c r="B7" i="12"/>
  <c r="C7" i="12"/>
  <c r="H116" i="10"/>
  <c r="L92" i="10"/>
  <c r="H108" i="10"/>
  <c r="H95" i="10"/>
  <c r="B50" i="12"/>
  <c r="C50" i="12"/>
  <c r="AA109" i="11"/>
  <c r="AA110" i="11" s="1"/>
  <c r="AA111" i="11" s="1"/>
  <c r="AA108" i="11"/>
  <c r="B48" i="12"/>
  <c r="C48" i="12"/>
  <c r="C104" i="13"/>
  <c r="B52" i="12"/>
  <c r="C52" i="12"/>
  <c r="B51" i="12"/>
  <c r="C51" i="12"/>
  <c r="B13" i="14"/>
  <c r="B57" i="14"/>
  <c r="B10" i="12"/>
  <c r="C10" i="12"/>
  <c r="J99" i="10"/>
  <c r="L99" i="10" s="1"/>
  <c r="AA21" i="13"/>
  <c r="B58" i="14"/>
  <c r="AD114" i="11"/>
  <c r="AD112" i="11"/>
  <c r="AD113" i="11"/>
  <c r="B35" i="12"/>
  <c r="J103" i="10"/>
  <c r="J106" i="10" s="1"/>
  <c r="Q106" i="11" l="1"/>
  <c r="R106" i="11" s="1"/>
  <c r="Z106" i="11"/>
  <c r="U104" i="13"/>
  <c r="Q104" i="13"/>
  <c r="S104" i="13"/>
  <c r="P104" i="13"/>
  <c r="R104" i="13"/>
  <c r="T104" i="13"/>
  <c r="X104" i="13"/>
  <c r="W104" i="13"/>
  <c r="V104" i="13"/>
  <c r="Y104" i="13"/>
  <c r="X18" i="13"/>
  <c r="V18" i="13"/>
  <c r="W18" i="13"/>
  <c r="Y18" i="13"/>
  <c r="P18" i="13"/>
  <c r="T18" i="13"/>
  <c r="Q18" i="13"/>
  <c r="R18" i="13"/>
  <c r="S18" i="13"/>
  <c r="U18" i="13"/>
  <c r="U105" i="13"/>
  <c r="P105" i="13"/>
  <c r="R105" i="13"/>
  <c r="S105" i="13"/>
  <c r="T105" i="13"/>
  <c r="Q105" i="13"/>
  <c r="X105" i="13"/>
  <c r="W105" i="13"/>
  <c r="V105" i="13"/>
  <c r="Y105" i="13"/>
  <c r="V24" i="13"/>
  <c r="X24" i="13"/>
  <c r="Y24" i="13"/>
  <c r="W24" i="13"/>
  <c r="U24" i="13"/>
  <c r="R24" i="13"/>
  <c r="Q24" i="13"/>
  <c r="P24" i="13"/>
  <c r="T24" i="13"/>
  <c r="S24" i="13"/>
  <c r="P41" i="13"/>
  <c r="T41" i="13"/>
  <c r="R41" i="13"/>
  <c r="Q41" i="13"/>
  <c r="S41" i="13"/>
  <c r="U41" i="13"/>
  <c r="Y41" i="13"/>
  <c r="W41" i="13"/>
  <c r="X41" i="13"/>
  <c r="V41" i="13"/>
  <c r="Y49" i="13"/>
  <c r="V49" i="13"/>
  <c r="P49" i="13"/>
  <c r="U49" i="13"/>
  <c r="T49" i="13"/>
  <c r="R49" i="13"/>
  <c r="S49" i="13"/>
  <c r="Q49" i="13"/>
  <c r="W49" i="13"/>
  <c r="X49" i="13"/>
  <c r="R57" i="13"/>
  <c r="Q57" i="13"/>
  <c r="S57" i="13"/>
  <c r="T57" i="13"/>
  <c r="P57" i="13"/>
  <c r="U57" i="13"/>
  <c r="Y57" i="13"/>
  <c r="V57" i="13"/>
  <c r="X57" i="13"/>
  <c r="W57" i="13"/>
  <c r="S56" i="13"/>
  <c r="T56" i="13"/>
  <c r="U56" i="13"/>
  <c r="P56" i="13"/>
  <c r="R56" i="13"/>
  <c r="Q56" i="13"/>
  <c r="W56" i="13"/>
  <c r="V56" i="13"/>
  <c r="Y56" i="13"/>
  <c r="X56" i="13"/>
  <c r="U40" i="13"/>
  <c r="R40" i="13"/>
  <c r="Q40" i="13"/>
  <c r="T40" i="13"/>
  <c r="P40" i="13"/>
  <c r="S40" i="13"/>
  <c r="V40" i="13"/>
  <c r="X40" i="13"/>
  <c r="W40" i="13"/>
  <c r="Y40" i="13"/>
  <c r="V34" i="13"/>
  <c r="Y34" i="13"/>
  <c r="S34" i="13"/>
  <c r="T34" i="13"/>
  <c r="Q34" i="13"/>
  <c r="X34" i="13"/>
  <c r="W34" i="13"/>
  <c r="R34" i="13"/>
  <c r="U34" i="13"/>
  <c r="P34" i="13"/>
  <c r="Q69" i="13"/>
  <c r="P69" i="13"/>
  <c r="V69" i="13"/>
  <c r="T69" i="13"/>
  <c r="X69" i="13"/>
  <c r="U69" i="13"/>
  <c r="R69" i="13"/>
  <c r="Y69" i="13"/>
  <c r="W69" i="13"/>
  <c r="S69" i="13"/>
  <c r="S68" i="13"/>
  <c r="U68" i="13"/>
  <c r="Q68" i="13"/>
  <c r="Y68" i="13"/>
  <c r="R68" i="13"/>
  <c r="T68" i="13"/>
  <c r="X68" i="13"/>
  <c r="W68" i="13"/>
  <c r="P68" i="13"/>
  <c r="V68" i="13"/>
  <c r="X33" i="13"/>
  <c r="W33" i="13"/>
  <c r="Q33" i="13"/>
  <c r="T33" i="13"/>
  <c r="R33" i="13"/>
  <c r="S33" i="13"/>
  <c r="Y33" i="13"/>
  <c r="U33" i="13"/>
  <c r="S78" i="13"/>
  <c r="R78" i="13"/>
  <c r="P78" i="13"/>
  <c r="Q78" i="13"/>
  <c r="U78" i="13"/>
  <c r="T78" i="13"/>
  <c r="X78" i="13"/>
  <c r="Y78" i="13"/>
  <c r="V78" i="13"/>
  <c r="W78" i="13"/>
  <c r="T80" i="13"/>
  <c r="Q80" i="13"/>
  <c r="U80" i="13"/>
  <c r="P80" i="13"/>
  <c r="S80" i="13"/>
  <c r="R80" i="13"/>
  <c r="W80" i="13"/>
  <c r="V80" i="13"/>
  <c r="Y80" i="13"/>
  <c r="X80" i="13"/>
  <c r="P102" i="13"/>
  <c r="R102" i="13"/>
  <c r="Q102" i="13"/>
  <c r="T102" i="13"/>
  <c r="U102" i="13"/>
  <c r="S102" i="13"/>
  <c r="Y102" i="13"/>
  <c r="X102" i="13"/>
  <c r="W102" i="13"/>
  <c r="V102" i="13"/>
  <c r="Q70" i="13"/>
  <c r="R70" i="13"/>
  <c r="S70" i="13"/>
  <c r="P70" i="13"/>
  <c r="U70" i="13"/>
  <c r="T70" i="13"/>
  <c r="X70" i="13"/>
  <c r="Y70" i="13"/>
  <c r="V70" i="13"/>
  <c r="W70" i="13"/>
  <c r="U91" i="13"/>
  <c r="Y91" i="13"/>
  <c r="U42" i="13"/>
  <c r="S42" i="13"/>
  <c r="Q42" i="13"/>
  <c r="R42" i="13"/>
  <c r="T42" i="13"/>
  <c r="P42" i="13"/>
  <c r="V42" i="13"/>
  <c r="X42" i="13"/>
  <c r="W42" i="13"/>
  <c r="Y42" i="13"/>
  <c r="Y23" i="13"/>
  <c r="V23" i="13"/>
  <c r="P23" i="13"/>
  <c r="U23" i="13"/>
  <c r="S23" i="13"/>
  <c r="R23" i="13"/>
  <c r="T23" i="13"/>
  <c r="Q23" i="13"/>
  <c r="X23" i="13"/>
  <c r="W23" i="13"/>
  <c r="Q54" i="13"/>
  <c r="U54" i="13"/>
  <c r="R54" i="13"/>
  <c r="S54" i="13"/>
  <c r="P54" i="13"/>
  <c r="T54" i="13"/>
  <c r="X54" i="13"/>
  <c r="V54" i="13"/>
  <c r="W54" i="13"/>
  <c r="Y54" i="13"/>
  <c r="V50" i="13"/>
  <c r="W50" i="13"/>
  <c r="X50" i="13"/>
  <c r="Y50" i="13"/>
  <c r="Q50" i="13"/>
  <c r="S50" i="13"/>
  <c r="U50" i="13"/>
  <c r="R50" i="13"/>
  <c r="P50" i="13"/>
  <c r="T50" i="13"/>
  <c r="Z25" i="13"/>
  <c r="B24" i="14"/>
  <c r="B45" i="14"/>
  <c r="B33" i="14"/>
  <c r="B14" i="14"/>
  <c r="A84" i="14"/>
  <c r="D94" i="13"/>
  <c r="B48" i="14"/>
  <c r="B8" i="12"/>
  <c r="AA115" i="11"/>
  <c r="B69" i="14"/>
  <c r="C93" i="13"/>
  <c r="B60" i="14"/>
  <c r="B31" i="14"/>
  <c r="B32" i="14"/>
  <c r="B40" i="14"/>
  <c r="B47" i="14"/>
  <c r="AA68" i="13"/>
  <c r="Z69" i="13"/>
  <c r="B71" i="14"/>
  <c r="B93" i="14"/>
  <c r="B25" i="14"/>
  <c r="B61" i="14"/>
  <c r="C100" i="13"/>
  <c r="C106" i="13"/>
  <c r="B15" i="14"/>
  <c r="C92" i="13"/>
  <c r="B59" i="14"/>
  <c r="B41" i="14"/>
  <c r="B21" i="12"/>
  <c r="B18" i="12"/>
  <c r="AA43" i="13"/>
  <c r="Z45" i="13"/>
  <c r="B96" i="14"/>
  <c r="Z34" i="13"/>
  <c r="AA32" i="13"/>
  <c r="I112" i="10"/>
  <c r="I115" i="10" s="1"/>
  <c r="I122" i="10" s="1"/>
  <c r="I109" i="10"/>
  <c r="I111" i="10" s="1"/>
  <c r="I117" i="10" s="1"/>
  <c r="J109" i="10"/>
  <c r="J111" i="10" s="1"/>
  <c r="J117" i="10" s="1"/>
  <c r="B9" i="14"/>
  <c r="L108" i="10"/>
  <c r="AA25" i="13"/>
  <c r="AA76" i="13"/>
  <c r="Z77" i="13"/>
  <c r="B95" i="14"/>
  <c r="H109" i="10"/>
  <c r="L94" i="10"/>
  <c r="H106" i="10"/>
  <c r="L106" i="10" s="1"/>
  <c r="E41" i="11"/>
  <c r="U92" i="13" l="1"/>
  <c r="Y92" i="13"/>
  <c r="P106" i="13"/>
  <c r="Q106" i="13"/>
  <c r="U106" i="13"/>
  <c r="S106" i="13"/>
  <c r="R106" i="13"/>
  <c r="T106" i="13"/>
  <c r="X106" i="13"/>
  <c r="W106" i="13"/>
  <c r="Y106" i="13"/>
  <c r="V106" i="13"/>
  <c r="U100" i="13"/>
  <c r="Y100" i="13"/>
  <c r="U93" i="13"/>
  <c r="Y93" i="13"/>
  <c r="B84" i="14"/>
  <c r="D95" i="13"/>
  <c r="C94" i="13"/>
  <c r="J112" i="10"/>
  <c r="J115" i="10" s="1"/>
  <c r="J122" i="10" s="1"/>
  <c r="I120" i="10"/>
  <c r="AF106" i="11"/>
  <c r="AB106" i="11"/>
  <c r="J32" i="15"/>
  <c r="B83" i="14"/>
  <c r="AA69" i="13"/>
  <c r="Z70" i="13"/>
  <c r="B97" i="14"/>
  <c r="B91" i="14"/>
  <c r="AA34" i="13"/>
  <c r="H112" i="10"/>
  <c r="K110" i="10"/>
  <c r="H111" i="10"/>
  <c r="AA77" i="13"/>
  <c r="Z78" i="13"/>
  <c r="AA45" i="13"/>
  <c r="Z46" i="13"/>
  <c r="X97" i="11"/>
  <c r="S94" i="13" l="1"/>
  <c r="P94" i="13"/>
  <c r="R94" i="13"/>
  <c r="Q94" i="13"/>
  <c r="U94" i="13"/>
  <c r="T94" i="13"/>
  <c r="X94" i="13"/>
  <c r="Y94" i="13"/>
  <c r="W94" i="13"/>
  <c r="V94" i="13"/>
  <c r="AA70" i="13"/>
  <c r="O94" i="13" a="1"/>
  <c r="O94" i="13" s="1"/>
  <c r="B85" i="14"/>
  <c r="D96" i="13"/>
  <c r="C95" i="13"/>
  <c r="J120" i="10"/>
  <c r="G79" i="11"/>
  <c r="H79" i="11" s="1"/>
  <c r="I79" i="11" s="1"/>
  <c r="H115" i="10"/>
  <c r="Z79" i="13"/>
  <c r="AA78" i="13"/>
  <c r="Z47" i="13"/>
  <c r="AA46" i="13"/>
  <c r="H117" i="10"/>
  <c r="Q95" i="13" l="1"/>
  <c r="S95" i="13"/>
  <c r="T95" i="13"/>
  <c r="R95" i="13"/>
  <c r="U95" i="13"/>
  <c r="P95" i="13"/>
  <c r="V95" i="13"/>
  <c r="Y95" i="13"/>
  <c r="W95" i="13"/>
  <c r="X95" i="13"/>
  <c r="O95" i="13" a="1"/>
  <c r="O95" i="13" s="1"/>
  <c r="B86" i="14"/>
  <c r="D97" i="13"/>
  <c r="C96" i="13"/>
  <c r="H122" i="10"/>
  <c r="AA79" i="13"/>
  <c r="Z80" i="13"/>
  <c r="Z48" i="13"/>
  <c r="AA47" i="13"/>
  <c r="U96" i="13" l="1"/>
  <c r="R96" i="13"/>
  <c r="T96" i="13"/>
  <c r="P96" i="13"/>
  <c r="S96" i="13"/>
  <c r="Q96" i="13"/>
  <c r="V96" i="13"/>
  <c r="X96" i="13"/>
  <c r="W96" i="13"/>
  <c r="Y96" i="13"/>
  <c r="B87" i="14"/>
  <c r="O96" i="13" a="1"/>
  <c r="O96" i="13" s="1"/>
  <c r="D98" i="13"/>
  <c r="C97" i="13"/>
  <c r="AA80" i="13"/>
  <c r="Z81" i="13"/>
  <c r="Z49" i="13"/>
  <c r="AA48" i="13"/>
  <c r="H120" i="10"/>
  <c r="S97" i="13" l="1"/>
  <c r="R97" i="13"/>
  <c r="T97" i="13"/>
  <c r="U97" i="13"/>
  <c r="P97" i="13"/>
  <c r="Q97" i="13"/>
  <c r="V97" i="13"/>
  <c r="Y97" i="13"/>
  <c r="X97" i="13"/>
  <c r="W97" i="13"/>
  <c r="O97" i="13" a="1"/>
  <c r="O97" i="13" s="1"/>
  <c r="B88" i="14"/>
  <c r="D99" i="13"/>
  <c r="C99" i="13" s="1"/>
  <c r="C98" i="13"/>
  <c r="Z50" i="13"/>
  <c r="AA49" i="13"/>
  <c r="AA81" i="13"/>
  <c r="Z82" i="13"/>
  <c r="T98" i="13" l="1"/>
  <c r="S98" i="13"/>
  <c r="U98" i="13"/>
  <c r="P98" i="13"/>
  <c r="Q98" i="13"/>
  <c r="R98" i="13"/>
  <c r="W98" i="13"/>
  <c r="V98" i="13"/>
  <c r="Y98" i="13"/>
  <c r="X98" i="13"/>
  <c r="P99" i="13"/>
  <c r="T99" i="13"/>
  <c r="R99" i="13"/>
  <c r="Q99" i="13"/>
  <c r="U99" i="13"/>
  <c r="S99" i="13"/>
  <c r="Y99" i="13"/>
  <c r="W99" i="13"/>
  <c r="X99" i="13"/>
  <c r="V99" i="13"/>
  <c r="O98" i="13" a="1"/>
  <c r="O98" i="13" s="1"/>
  <c r="B89" i="14"/>
  <c r="O99" i="13" a="1"/>
  <c r="O99" i="13" s="1"/>
  <c r="B90" i="14"/>
  <c r="AA50" i="13"/>
  <c r="Z51" i="13"/>
  <c r="Z83" i="13"/>
  <c r="AA82" i="13"/>
  <c r="Z84" i="13" l="1"/>
  <c r="AA83" i="13"/>
  <c r="Z53" i="13"/>
  <c r="AA51" i="13"/>
  <c r="AA53" i="13" l="1"/>
  <c r="Z54" i="13"/>
  <c r="Z85" i="13"/>
  <c r="AA84" i="13"/>
  <c r="AA85" i="13" l="1"/>
  <c r="Z86" i="13"/>
  <c r="Z55" i="13"/>
  <c r="AA54" i="13"/>
  <c r="Z87" i="13" l="1"/>
  <c r="AA86" i="13"/>
  <c r="Z56" i="13"/>
  <c r="AA55" i="13"/>
  <c r="AA87" i="13" l="1"/>
  <c r="Z88" i="13"/>
  <c r="Z57" i="13"/>
  <c r="AA56" i="13"/>
  <c r="AA57" i="13" l="1"/>
  <c r="AA88" i="13"/>
  <c r="Z89" i="13"/>
  <c r="AA89" i="13" l="1"/>
  <c r="Z90" i="13"/>
  <c r="AA90" i="13" l="1"/>
  <c r="Z91" i="13"/>
  <c r="AA91" i="13" l="1"/>
  <c r="Z92" i="13"/>
  <c r="Z93" i="13" l="1"/>
  <c r="Z94" i="13" s="1"/>
  <c r="AA92" i="13"/>
  <c r="Z95" i="13" l="1"/>
  <c r="AA94" i="13"/>
  <c r="AA93" i="13"/>
  <c r="Z100" i="13"/>
  <c r="Z96" i="13" l="1"/>
  <c r="AA95" i="13"/>
  <c r="AA100" i="13"/>
  <c r="Z101" i="13"/>
  <c r="Z97" i="13" l="1"/>
  <c r="AA96" i="13"/>
  <c r="Z102" i="13"/>
  <c r="AA101" i="13"/>
  <c r="AA97" i="13" l="1"/>
  <c r="Z98" i="13"/>
  <c r="Z103" i="13"/>
  <c r="AA102" i="13"/>
  <c r="Z99" i="13" l="1"/>
  <c r="AA99" i="13" s="1"/>
  <c r="AA98" i="13"/>
  <c r="Z104" i="13"/>
  <c r="AA103" i="13"/>
  <c r="AA104" i="13" l="1"/>
  <c r="Z105" i="13"/>
  <c r="AA105" i="13" l="1"/>
  <c r="Z106" i="13"/>
  <c r="AA106" i="13" l="1"/>
  <c r="Z107" i="13"/>
  <c r="AA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J278" i="8"/>
  <c r="AC27" i="8" s="1"/>
  <c r="I278" i="8"/>
  <c r="AB27" i="8" s="1"/>
  <c r="H278" i="8"/>
  <c r="G278" i="8"/>
  <c r="AA27" i="8" s="1"/>
  <c r="F278" i="8"/>
  <c r="E278" i="8"/>
  <c r="Z27" i="8" s="1"/>
  <c r="D278" i="8"/>
  <c r="C278" i="8"/>
  <c r="A278" i="8"/>
  <c r="J277" i="8"/>
  <c r="I277" i="8"/>
  <c r="H277" i="8"/>
  <c r="G277" i="8"/>
  <c r="F277" i="8"/>
  <c r="E277" i="8"/>
  <c r="D277" i="8"/>
  <c r="C277" i="8"/>
  <c r="A277" i="8"/>
  <c r="W117" i="8"/>
  <c r="AD116" i="8"/>
  <c r="D116" i="8"/>
  <c r="P116" i="8" s="1"/>
  <c r="AD115" i="8"/>
  <c r="D115" i="8"/>
  <c r="P115" i="8" s="1"/>
  <c r="AD113" i="8"/>
  <c r="D113" i="8"/>
  <c r="P113" i="8" s="1"/>
  <c r="Q113" i="8" s="1"/>
  <c r="AD112" i="8"/>
  <c r="D112" i="8"/>
  <c r="P112" i="8" s="1"/>
  <c r="Q112" i="8" s="1"/>
  <c r="AD111" i="8"/>
  <c r="D111" i="8"/>
  <c r="P111" i="8" s="1"/>
  <c r="AD110" i="8"/>
  <c r="D110" i="8"/>
  <c r="P110" i="8" s="1"/>
  <c r="AD108" i="8"/>
  <c r="D108" i="8"/>
  <c r="P108" i="8" s="1"/>
  <c r="Q108" i="8" s="1"/>
  <c r="AD107" i="8"/>
  <c r="D107" i="8"/>
  <c r="P107" i="8" s="1"/>
  <c r="AD106" i="8"/>
  <c r="D106" i="8"/>
  <c r="P106" i="8" s="1"/>
  <c r="AD105" i="8"/>
  <c r="D105" i="8"/>
  <c r="P105" i="8" s="1"/>
  <c r="AD103" i="8"/>
  <c r="D103" i="8"/>
  <c r="P103" i="8" s="1"/>
  <c r="Q103" i="8" s="1"/>
  <c r="AD102" i="8"/>
  <c r="D102" i="8"/>
  <c r="P102" i="8" s="1"/>
  <c r="Q102" i="8" s="1"/>
  <c r="AD101" i="8"/>
  <c r="D101" i="8"/>
  <c r="P101" i="8" s="1"/>
  <c r="AD100" i="8"/>
  <c r="D100" i="8"/>
  <c r="P100" i="8" s="1"/>
  <c r="AD98" i="8"/>
  <c r="D98" i="8"/>
  <c r="P98" i="8" s="1"/>
  <c r="Q98" i="8" s="1"/>
  <c r="AD97" i="8"/>
  <c r="D97" i="8"/>
  <c r="P97" i="8" s="1"/>
  <c r="Q97" i="8" s="1"/>
  <c r="AD96" i="8"/>
  <c r="D96" i="8"/>
  <c r="P96" i="8" s="1"/>
  <c r="AD95" i="8"/>
  <c r="D95" i="8"/>
  <c r="P95" i="8" s="1"/>
  <c r="AD93" i="8"/>
  <c r="D93" i="8"/>
  <c r="P93" i="8" s="1"/>
  <c r="Q93" i="8" s="1"/>
  <c r="AD92" i="8"/>
  <c r="D92" i="8"/>
  <c r="P92" i="8" s="1"/>
  <c r="Q92" i="8" s="1"/>
  <c r="AD91" i="8"/>
  <c r="D91" i="8"/>
  <c r="P91" i="8" s="1"/>
  <c r="AD90" i="8"/>
  <c r="D90" i="8"/>
  <c r="P90" i="8" s="1"/>
  <c r="AD88" i="8"/>
  <c r="D88" i="8"/>
  <c r="P88" i="8" s="1"/>
  <c r="Q88" i="8" s="1"/>
  <c r="AD87" i="8"/>
  <c r="D87" i="8"/>
  <c r="P87" i="8" s="1"/>
  <c r="Q87" i="8" s="1"/>
  <c r="AD86" i="8"/>
  <c r="D86" i="8"/>
  <c r="P86" i="8" s="1"/>
  <c r="AD85" i="8"/>
  <c r="D85" i="8"/>
  <c r="P85" i="8" s="1"/>
  <c r="AD84" i="8"/>
  <c r="D84" i="8"/>
  <c r="P84" i="8" s="1"/>
  <c r="AD83" i="8"/>
  <c r="D83" i="8"/>
  <c r="P83" i="8" s="1"/>
  <c r="Q83" i="8" s="1"/>
  <c r="AD82" i="8"/>
  <c r="D82" i="8"/>
  <c r="P82" i="8" s="1"/>
  <c r="Q82" i="8" s="1"/>
  <c r="AD81" i="8"/>
  <c r="D81" i="8"/>
  <c r="P81" i="8" s="1"/>
  <c r="AD80" i="8"/>
  <c r="D80" i="8"/>
  <c r="P80" i="8" s="1"/>
  <c r="AD79" i="8"/>
  <c r="D79" i="8"/>
  <c r="P79" i="8" s="1"/>
  <c r="AD78" i="8"/>
  <c r="D78" i="8"/>
  <c r="P78" i="8" s="1"/>
  <c r="Q78" i="8" s="1"/>
  <c r="AD77" i="8"/>
  <c r="D77" i="8"/>
  <c r="P77" i="8" s="1"/>
  <c r="Q77" i="8" s="1"/>
  <c r="AD76" i="8"/>
  <c r="D76" i="8"/>
  <c r="P76" i="8" s="1"/>
  <c r="AD75" i="8"/>
  <c r="D75" i="8"/>
  <c r="P75" i="8" s="1"/>
  <c r="AD74" i="8"/>
  <c r="D74" i="8"/>
  <c r="P74" i="8" s="1"/>
  <c r="AD73" i="8"/>
  <c r="D73" i="8"/>
  <c r="P73" i="8" s="1"/>
  <c r="Q73" i="8" s="1"/>
  <c r="AD72" i="8"/>
  <c r="D72" i="8"/>
  <c r="P72" i="8" s="1"/>
  <c r="Q72" i="8" s="1"/>
  <c r="AD71" i="8"/>
  <c r="D71" i="8"/>
  <c r="P71" i="8" s="1"/>
  <c r="Q71" i="8" s="1"/>
  <c r="AD70" i="8"/>
  <c r="D70" i="8"/>
  <c r="P70" i="8" s="1"/>
  <c r="AD69" i="8"/>
  <c r="D69" i="8"/>
  <c r="P69" i="8" s="1"/>
  <c r="AD68" i="8"/>
  <c r="D68" i="8"/>
  <c r="P68" i="8" s="1"/>
  <c r="AD67" i="8"/>
  <c r="D67" i="8"/>
  <c r="P67" i="8" s="1"/>
  <c r="AD66" i="8"/>
  <c r="D66" i="8"/>
  <c r="P66" i="8" s="1"/>
  <c r="Q66" i="8" s="1"/>
  <c r="AM65" i="8"/>
  <c r="AD65" i="8"/>
  <c r="D65" i="8"/>
  <c r="P65" i="8" s="1"/>
  <c r="AM64" i="8"/>
  <c r="AD64" i="8"/>
  <c r="D64" i="8"/>
  <c r="P64" i="8" s="1"/>
  <c r="Q64" i="8" s="1"/>
  <c r="AD63" i="8"/>
  <c r="D63" i="8"/>
  <c r="P63" i="8" s="1"/>
  <c r="Q63" i="8" s="1"/>
  <c r="AD62" i="8"/>
  <c r="D62" i="8"/>
  <c r="P62" i="8" s="1"/>
  <c r="AD61" i="8"/>
  <c r="D61" i="8"/>
  <c r="P61" i="8" s="1"/>
  <c r="AD60" i="8"/>
  <c r="D60" i="8"/>
  <c r="P60" i="8" s="1"/>
  <c r="AD59" i="8"/>
  <c r="D59" i="8"/>
  <c r="P59" i="8" s="1"/>
  <c r="AD58" i="8"/>
  <c r="D58" i="8"/>
  <c r="P58" i="8" s="1"/>
  <c r="AD57" i="8"/>
  <c r="D57" i="8"/>
  <c r="P57" i="8" s="1"/>
  <c r="Q57" i="8" s="1"/>
  <c r="AD56" i="8"/>
  <c r="D56" i="8"/>
  <c r="P56" i="8" s="1"/>
  <c r="AD55" i="8"/>
  <c r="D55" i="8"/>
  <c r="P55" i="8" s="1"/>
  <c r="AD54" i="8"/>
  <c r="D54" i="8"/>
  <c r="P54" i="8" s="1"/>
  <c r="AD53" i="8"/>
  <c r="D53" i="8"/>
  <c r="P53" i="8" s="1"/>
  <c r="AD52" i="8"/>
  <c r="D52" i="8"/>
  <c r="P52" i="8" s="1"/>
  <c r="Q52" i="8" s="1"/>
  <c r="AD51" i="8"/>
  <c r="D51" i="8"/>
  <c r="P51" i="8" s="1"/>
  <c r="Q51" i="8" s="1"/>
  <c r="AD50" i="8"/>
  <c r="D50" i="8"/>
  <c r="P50" i="8" s="1"/>
  <c r="AD49" i="8"/>
  <c r="D49" i="8"/>
  <c r="P49" i="8" s="1"/>
  <c r="AD48" i="8"/>
  <c r="D48" i="8"/>
  <c r="P48" i="8" s="1"/>
  <c r="AD47" i="8"/>
  <c r="D47" i="8"/>
  <c r="P47" i="8" s="1"/>
  <c r="Q47" i="8" s="1"/>
  <c r="AD46" i="8"/>
  <c r="D46" i="8"/>
  <c r="P46" i="8" s="1"/>
  <c r="Q46" i="8" s="1"/>
  <c r="AD45" i="8"/>
  <c r="D45" i="8"/>
  <c r="P45" i="8" s="1"/>
  <c r="AD44" i="8"/>
  <c r="D44" i="8"/>
  <c r="P44" i="8" s="1"/>
  <c r="AD43" i="8"/>
  <c r="D43" i="8"/>
  <c r="P43" i="8" s="1"/>
  <c r="AD42" i="8"/>
  <c r="D42" i="8"/>
  <c r="P42" i="8" s="1"/>
  <c r="Q42" i="8" s="1"/>
  <c r="AD41" i="8"/>
  <c r="D41" i="8"/>
  <c r="P41" i="8" s="1"/>
  <c r="AD40" i="8"/>
  <c r="D40" i="8"/>
  <c r="P40" i="8" s="1"/>
  <c r="Q40" i="8" s="1"/>
  <c r="AD39" i="8"/>
  <c r="D39" i="8"/>
  <c r="P39" i="8" s="1"/>
  <c r="Q39" i="8" s="1"/>
  <c r="AD38" i="8"/>
  <c r="D38" i="8"/>
  <c r="P38" i="8" s="1"/>
  <c r="AD37" i="8"/>
  <c r="D37" i="8"/>
  <c r="P37" i="8" s="1"/>
  <c r="AD36" i="8"/>
  <c r="D36" i="8"/>
  <c r="P36" i="8" s="1"/>
  <c r="Q36" i="8" s="1"/>
  <c r="AD35" i="8"/>
  <c r="D35" i="8"/>
  <c r="P35" i="8" s="1"/>
  <c r="AD34" i="8"/>
  <c r="D34" i="8"/>
  <c r="P34" i="8" s="1"/>
  <c r="Q34" i="8" s="1"/>
  <c r="AD33" i="8"/>
  <c r="D33" i="8"/>
  <c r="P33" i="8" s="1"/>
  <c r="AD32" i="8"/>
  <c r="D32" i="8"/>
  <c r="P32" i="8" s="1"/>
  <c r="AD31" i="8"/>
  <c r="D31" i="8"/>
  <c r="P31" i="8" s="1"/>
  <c r="Q31" i="8" s="1"/>
  <c r="AD30" i="8"/>
  <c r="D30" i="8"/>
  <c r="P30" i="8" s="1"/>
  <c r="Q30" i="8" s="1"/>
  <c r="AD29" i="8"/>
  <c r="D29" i="8"/>
  <c r="P29" i="8" s="1"/>
  <c r="AD28" i="8"/>
  <c r="D28" i="8"/>
  <c r="P28" i="8" s="1"/>
  <c r="AD27" i="8"/>
  <c r="Y27" i="8"/>
  <c r="D27" i="8"/>
  <c r="AD26" i="8"/>
  <c r="D26" i="8"/>
  <c r="P26" i="8" s="1"/>
  <c r="AD25" i="8"/>
  <c r="D25" i="8"/>
  <c r="P25" i="8" s="1"/>
  <c r="AD24" i="8"/>
  <c r="D24" i="8"/>
  <c r="P24" i="8" s="1"/>
  <c r="AD23" i="8"/>
  <c r="D23" i="8"/>
  <c r="P23" i="8" s="1"/>
  <c r="AD22" i="8"/>
  <c r="D22" i="8"/>
  <c r="P22" i="8" s="1"/>
  <c r="Q22" i="8" s="1"/>
  <c r="AD21" i="8"/>
  <c r="D21" i="8"/>
  <c r="P21" i="8" s="1"/>
  <c r="AD20" i="8"/>
  <c r="D20" i="8"/>
  <c r="AI19" i="8"/>
  <c r="AH19" i="8"/>
  <c r="AG19" i="8"/>
  <c r="AF19" i="8"/>
  <c r="AE19"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C110" i="7"/>
  <c r="Q110" i="7"/>
  <c r="AQ109" i="7"/>
  <c r="Q109" i="7"/>
  <c r="AC109" i="7" s="1"/>
  <c r="AQ108" i="7"/>
  <c r="Q108" i="7"/>
  <c r="AC108" i="7" s="1"/>
  <c r="AQ107" i="7"/>
  <c r="Q107" i="7"/>
  <c r="AC107" i="7" s="1"/>
  <c r="AQ106" i="7"/>
  <c r="AC106" i="7"/>
  <c r="Q106" i="7"/>
  <c r="AQ105" i="7"/>
  <c r="Q105" i="7"/>
  <c r="AC105" i="7" s="1"/>
  <c r="AQ104" i="7"/>
  <c r="AC104" i="7"/>
  <c r="Q104" i="7"/>
  <c r="AQ103" i="7"/>
  <c r="Q103" i="7"/>
  <c r="AC103" i="7" s="1"/>
  <c r="AQ102" i="7"/>
  <c r="AC102" i="7"/>
  <c r="Q102" i="7"/>
  <c r="AQ101" i="7"/>
  <c r="Q101" i="7"/>
  <c r="AC101" i="7" s="1"/>
  <c r="AQ100" i="7"/>
  <c r="AC100" i="7"/>
  <c r="Q100" i="7"/>
  <c r="AQ99" i="7"/>
  <c r="Q99" i="7"/>
  <c r="AC99" i="7" s="1"/>
  <c r="AQ98" i="7"/>
  <c r="Q98" i="7"/>
  <c r="AC98" i="7" s="1"/>
  <c r="AQ97" i="7"/>
  <c r="Q97" i="7"/>
  <c r="AC97" i="7" s="1"/>
  <c r="AQ96" i="7"/>
  <c r="AC96" i="7"/>
  <c r="Q96" i="7"/>
  <c r="AQ95" i="7"/>
  <c r="Q95" i="7"/>
  <c r="AC95" i="7" s="1"/>
  <c r="AQ94" i="7"/>
  <c r="Q94" i="7"/>
  <c r="AC94" i="7" s="1"/>
  <c r="AQ93" i="7"/>
  <c r="Q93" i="7"/>
  <c r="AC93" i="7" s="1"/>
  <c r="AQ92" i="7"/>
  <c r="AC92" i="7"/>
  <c r="Q92" i="7"/>
  <c r="AQ91" i="7"/>
  <c r="AC91" i="7"/>
  <c r="Q91" i="7"/>
  <c r="AQ90" i="7"/>
  <c r="Q90" i="7"/>
  <c r="AC90" i="7" s="1"/>
  <c r="AQ89" i="7"/>
  <c r="AC89" i="7"/>
  <c r="Q89" i="7"/>
  <c r="AQ88" i="7"/>
  <c r="Q88" i="7"/>
  <c r="AC88" i="7" s="1"/>
  <c r="AQ87" i="7"/>
  <c r="AC87" i="7"/>
  <c r="Q87" i="7"/>
  <c r="AQ86" i="7"/>
  <c r="AC86" i="7"/>
  <c r="Q86" i="7"/>
  <c r="AQ85" i="7"/>
  <c r="Q85" i="7"/>
  <c r="AC85" i="7" s="1"/>
  <c r="AQ84" i="7"/>
  <c r="Q84" i="7"/>
  <c r="AC84" i="7" s="1"/>
  <c r="AQ83" i="7"/>
  <c r="AC83" i="7"/>
  <c r="Q83" i="7"/>
  <c r="AQ82" i="7"/>
  <c r="Q82" i="7"/>
  <c r="AC82" i="7" s="1"/>
  <c r="AQ81" i="7"/>
  <c r="AC81" i="7"/>
  <c r="Q81" i="7"/>
  <c r="AQ80" i="7"/>
  <c r="Q80" i="7"/>
  <c r="AC80" i="7" s="1"/>
  <c r="AQ79" i="7"/>
  <c r="AC79" i="7"/>
  <c r="Q79" i="7"/>
  <c r="AQ78" i="7"/>
  <c r="Q78" i="7"/>
  <c r="AC78" i="7" s="1"/>
  <c r="AQ77" i="7"/>
  <c r="Q77" i="7"/>
  <c r="AC77" i="7" s="1"/>
  <c r="AW76" i="7"/>
  <c r="AQ76" i="7"/>
  <c r="Q76" i="7"/>
  <c r="AC76" i="7" s="1"/>
  <c r="AW75" i="7"/>
  <c r="AQ75" i="7"/>
  <c r="AC75" i="7"/>
  <c r="Q75" i="7"/>
  <c r="AW74" i="7"/>
  <c r="AQ74" i="7"/>
  <c r="AC74" i="7"/>
  <c r="Q74" i="7"/>
  <c r="AW73" i="7"/>
  <c r="AQ73" i="7"/>
  <c r="Q73" i="7"/>
  <c r="AC73" i="7" s="1"/>
  <c r="AW72" i="7"/>
  <c r="AQ72" i="7"/>
  <c r="Q72" i="7"/>
  <c r="AC72" i="7" s="1"/>
  <c r="AW71" i="7"/>
  <c r="AQ71" i="7"/>
  <c r="AC71" i="7"/>
  <c r="Q71" i="7"/>
  <c r="AW70" i="7"/>
  <c r="AQ70" i="7"/>
  <c r="AC70" i="7"/>
  <c r="Q70" i="7"/>
  <c r="AW69" i="7"/>
  <c r="AQ69" i="7"/>
  <c r="AC69" i="7"/>
  <c r="Q69" i="7"/>
  <c r="AW68" i="7"/>
  <c r="AQ68" i="7"/>
  <c r="AC68" i="7"/>
  <c r="Q68" i="7"/>
  <c r="AW67" i="7"/>
  <c r="AQ67" i="7"/>
  <c r="Q67" i="7"/>
  <c r="AC67" i="7" s="1"/>
  <c r="AW66" i="7"/>
  <c r="AQ66" i="7"/>
  <c r="AC66" i="7"/>
  <c r="Q66" i="7"/>
  <c r="AW65" i="7"/>
  <c r="AQ65" i="7"/>
  <c r="AC65" i="7"/>
  <c r="Q65" i="7"/>
  <c r="AW64" i="7"/>
  <c r="AQ64" i="7"/>
  <c r="Q64" i="7"/>
  <c r="AC64" i="7" s="1"/>
  <c r="AQ63" i="7"/>
  <c r="Q63" i="7"/>
  <c r="AC63" i="7" s="1"/>
  <c r="AQ62" i="7"/>
  <c r="AC62" i="7"/>
  <c r="Q62" i="7"/>
  <c r="AQ61" i="7"/>
  <c r="AC61" i="7"/>
  <c r="Q61" i="7"/>
  <c r="AQ60" i="7"/>
  <c r="Q60" i="7"/>
  <c r="AC60" i="7" s="1"/>
  <c r="AQ59" i="7"/>
  <c r="Q59" i="7"/>
  <c r="AC59" i="7" s="1"/>
  <c r="AQ58" i="7"/>
  <c r="AC58" i="7"/>
  <c r="Q58" i="7"/>
  <c r="L58" i="7"/>
  <c r="AQ57" i="7"/>
  <c r="AC57" i="7"/>
  <c r="Q57" i="7"/>
  <c r="AQ56" i="7"/>
  <c r="AC56" i="7"/>
  <c r="Q56" i="7"/>
  <c r="AQ55" i="7"/>
  <c r="Q55" i="7"/>
  <c r="AC55" i="7" s="1"/>
  <c r="AQ54" i="7"/>
  <c r="AC54" i="7"/>
  <c r="Q54" i="7"/>
  <c r="AQ53" i="7"/>
  <c r="Q53" i="7"/>
  <c r="AC53" i="7" s="1"/>
  <c r="AQ52" i="7"/>
  <c r="Q52" i="7"/>
  <c r="AC52" i="7" s="1"/>
  <c r="AQ51" i="7"/>
  <c r="Q51" i="7"/>
  <c r="AC51" i="7" s="1"/>
  <c r="AQ50" i="7"/>
  <c r="Q50" i="7"/>
  <c r="AC50" i="7" s="1"/>
  <c r="AQ49" i="7"/>
  <c r="Q49" i="7"/>
  <c r="AC49" i="7" s="1"/>
  <c r="AQ48" i="7"/>
  <c r="Q48" i="7"/>
  <c r="AC48" i="7" s="1"/>
  <c r="AQ47" i="7"/>
  <c r="AC47" i="7"/>
  <c r="Q47" i="7"/>
  <c r="AQ46" i="7"/>
  <c r="AC46" i="7"/>
  <c r="Q46" i="7"/>
  <c r="AQ45" i="7"/>
  <c r="Q45" i="7"/>
  <c r="AC45" i="7" s="1"/>
  <c r="AQ44" i="7"/>
  <c r="Q44" i="7"/>
  <c r="AC44" i="7" s="1"/>
  <c r="AQ43" i="7"/>
  <c r="AC43" i="7"/>
  <c r="Q43" i="7"/>
  <c r="AQ42" i="7"/>
  <c r="AC42" i="7"/>
  <c r="Q42" i="7"/>
  <c r="AQ41" i="7"/>
  <c r="Q41" i="7"/>
  <c r="AC41" i="7" s="1"/>
  <c r="AQ40" i="7"/>
  <c r="Q40" i="7"/>
  <c r="AC40" i="7" s="1"/>
  <c r="AQ39" i="7"/>
  <c r="AC39" i="7"/>
  <c r="Q39" i="7"/>
  <c r="AQ38" i="7"/>
  <c r="AC38" i="7"/>
  <c r="Q38" i="7"/>
  <c r="AQ37" i="7"/>
  <c r="AC37" i="7"/>
  <c r="Q37" i="7"/>
  <c r="AQ36" i="7"/>
  <c r="Q36" i="7"/>
  <c r="AC36" i="7" s="1"/>
  <c r="AQ35" i="7"/>
  <c r="Q35" i="7"/>
  <c r="AC35" i="7" s="1"/>
  <c r="AQ34" i="7"/>
  <c r="AC34" i="7"/>
  <c r="Q34" i="7"/>
  <c r="AQ33" i="7"/>
  <c r="AC33" i="7"/>
  <c r="Q33" i="7"/>
  <c r="AQ32" i="7"/>
  <c r="Q32" i="7"/>
  <c r="AC32" i="7" s="1"/>
  <c r="AQ31" i="7"/>
  <c r="Q31" i="7"/>
  <c r="AC31" i="7" s="1"/>
  <c r="AQ30" i="7"/>
  <c r="AC30" i="7"/>
  <c r="Q30" i="7"/>
  <c r="AQ29" i="7"/>
  <c r="Q29" i="7"/>
  <c r="AC29" i="7" s="1"/>
  <c r="AQ28" i="7"/>
  <c r="AC28" i="7"/>
  <c r="Q28" i="7"/>
  <c r="AQ27" i="7"/>
  <c r="AL27" i="7"/>
  <c r="AC27" i="7"/>
  <c r="Q27" i="7"/>
  <c r="AQ26" i="7"/>
  <c r="AC26" i="7"/>
  <c r="Q26" i="7"/>
  <c r="AQ25" i="7"/>
  <c r="Q25" i="7"/>
  <c r="AC25" i="7" s="1"/>
  <c r="AQ24" i="7"/>
  <c r="AC24" i="7"/>
  <c r="Q24" i="7"/>
  <c r="AQ23" i="7"/>
  <c r="AC23" i="7"/>
  <c r="Q23" i="7"/>
  <c r="AQ22" i="7"/>
  <c r="AC22" i="7"/>
  <c r="Q22" i="7"/>
  <c r="AQ21" i="7"/>
  <c r="Q21" i="7"/>
  <c r="AC21" i="7" s="1"/>
  <c r="AQ20" i="7"/>
  <c r="Q20" i="7"/>
  <c r="AC20" i="7" s="1"/>
  <c r="J20" i="7"/>
  <c r="I20" i="7"/>
  <c r="AV19" i="7"/>
  <c r="AU19" i="7"/>
  <c r="AT19" i="7"/>
  <c r="AS19" i="7"/>
  <c r="AR19" i="7"/>
  <c r="AD11" i="7"/>
  <c r="AD12" i="7" s="1"/>
  <c r="AE12" i="7" s="1"/>
  <c r="AG10" i="7"/>
  <c r="AH10" i="7" s="1"/>
  <c r="AE10" i="7"/>
  <c r="AF10" i="7" s="1"/>
  <c r="AD7" i="7"/>
  <c r="AE7" i="7" s="1"/>
  <c r="AC2" i="7"/>
  <c r="AH1" i="7"/>
  <c r="AG1" i="7"/>
  <c r="AD1" i="7"/>
  <c r="AC1" i="7"/>
  <c r="W1" i="7"/>
  <c r="AX24" i="7" a="1"/>
  <c r="AX22" i="7" a="1"/>
  <c r="AR71" i="7" a="1"/>
  <c r="AR77" i="7" a="1"/>
  <c r="AR57" i="7" a="1"/>
  <c r="AR87" i="7" a="1"/>
  <c r="AX26" i="7" a="1"/>
  <c r="AR39" i="7" a="1"/>
  <c r="AX21" i="7" a="1"/>
  <c r="AN65" i="8" a="1"/>
  <c r="AX25" i="7" a="1"/>
  <c r="AX23" i="7" a="1"/>
  <c r="AR107" i="7" a="1"/>
  <c r="AX20" i="7" a="1"/>
  <c r="AN64" i="8" a="1"/>
  <c r="AR91" i="7" a="1"/>
  <c r="C49" i="6" l="1"/>
  <c r="D49" i="6"/>
  <c r="E49" i="6"/>
  <c r="F49" i="6"/>
  <c r="G49" i="6"/>
  <c r="H49" i="6"/>
  <c r="I49" i="6"/>
  <c r="J49" i="6"/>
  <c r="R34" i="8" a="1"/>
  <c r="R34" i="8" s="1"/>
  <c r="S34" i="8" s="1" a="1"/>
  <c r="S34" i="8" s="1"/>
  <c r="T34" i="8" s="1" a="1"/>
  <c r="T34" i="8" s="1"/>
  <c r="U34" i="8" s="1" a="1"/>
  <c r="U34" i="8" s="1"/>
  <c r="R36" i="8" a="1"/>
  <c r="R36" i="8" s="1"/>
  <c r="S36" i="8" s="1" a="1"/>
  <c r="S36" i="8" s="1"/>
  <c r="T36" i="8" s="1" a="1"/>
  <c r="T36" i="8" s="1"/>
  <c r="U36" i="8" a="1"/>
  <c r="U36" i="8" s="1"/>
  <c r="R42" i="8" a="1"/>
  <c r="R42" i="8" s="1"/>
  <c r="S42" i="8" s="1" a="1"/>
  <c r="S42" i="8" s="1"/>
  <c r="T42" i="8" s="1" a="1"/>
  <c r="T42" i="8" s="1"/>
  <c r="U42" i="8" s="1" a="1"/>
  <c r="U42" i="8" s="1"/>
  <c r="R52" i="8" a="1"/>
  <c r="R52" i="8" s="1"/>
  <c r="S52" i="8" s="1" a="1"/>
  <c r="S52" i="8" s="1"/>
  <c r="T52" i="8" s="1" a="1"/>
  <c r="T52" i="8" s="1"/>
  <c r="U52" i="8" s="1" a="1"/>
  <c r="U52" i="8" s="1"/>
  <c r="R66" i="8" a="1"/>
  <c r="R66" i="8" s="1"/>
  <c r="S66" i="8" a="1"/>
  <c r="S66" i="8" s="1"/>
  <c r="T66" i="8" s="1" a="1"/>
  <c r="T66" i="8" s="1"/>
  <c r="U66" i="8" s="1" a="1"/>
  <c r="U66" i="8" s="1"/>
  <c r="R72" i="8" a="1"/>
  <c r="R72" i="8" s="1"/>
  <c r="S72" i="8" s="1" a="1"/>
  <c r="S72" i="8" s="1"/>
  <c r="T72" i="8" s="1" a="1"/>
  <c r="T72" i="8" s="1"/>
  <c r="U72" i="8" s="1" a="1"/>
  <c r="U72" i="8" s="1"/>
  <c r="R82" i="8" a="1"/>
  <c r="R82" i="8" s="1"/>
  <c r="S82" i="8" a="1"/>
  <c r="S82" i="8" s="1"/>
  <c r="T82" i="8" s="1" a="1"/>
  <c r="T82" i="8" s="1"/>
  <c r="U82" i="8" s="1" a="1"/>
  <c r="U82" i="8" s="1"/>
  <c r="R88" i="8" a="1"/>
  <c r="R88" i="8" s="1"/>
  <c r="S88" i="8" a="1"/>
  <c r="S88" i="8" s="1"/>
  <c r="T88" i="8" s="1" a="1"/>
  <c r="T88" i="8" s="1"/>
  <c r="U88" i="8" s="1" a="1"/>
  <c r="U88" i="8" s="1"/>
  <c r="R92" i="8" a="1"/>
  <c r="R92" i="8" s="1"/>
  <c r="S92" i="8" s="1" a="1"/>
  <c r="S92" i="8" s="1"/>
  <c r="T92" i="8" s="1" a="1"/>
  <c r="T92" i="8" s="1"/>
  <c r="U92" i="8" a="1"/>
  <c r="U92" i="8" s="1"/>
  <c r="R97" i="8" a="1"/>
  <c r="R97" i="8" s="1"/>
  <c r="S97" i="8" s="1" a="1"/>
  <c r="S97" i="8" s="1"/>
  <c r="T97" i="8" s="1" a="1"/>
  <c r="T97" i="8" s="1"/>
  <c r="U97" i="8" s="1" a="1"/>
  <c r="U97" i="8" s="1"/>
  <c r="R102" i="8" a="1"/>
  <c r="R102" i="8" s="1"/>
  <c r="S102" i="8" s="1" a="1"/>
  <c r="S102" i="8" s="1"/>
  <c r="T102" i="8" s="1" a="1"/>
  <c r="T102" i="8" s="1"/>
  <c r="U102" i="8" s="1" a="1"/>
  <c r="U102" i="8" s="1"/>
  <c r="R108" i="8" a="1"/>
  <c r="R108" i="8" s="1"/>
  <c r="S108" i="8" s="1" a="1"/>
  <c r="S108" i="8" s="1"/>
  <c r="T108" i="8" s="1" a="1"/>
  <c r="T108" i="8" s="1"/>
  <c r="U108" i="8" s="1" a="1"/>
  <c r="U108" i="8" s="1"/>
  <c r="R103" i="8" a="1"/>
  <c r="R103" i="8" s="1"/>
  <c r="S103" i="8" s="1" a="1"/>
  <c r="S103" i="8" s="1"/>
  <c r="T103" i="8" s="1" a="1"/>
  <c r="T103" i="8" s="1"/>
  <c r="U103" i="8" s="1" a="1"/>
  <c r="U103" i="8" s="1"/>
  <c r="R87" i="8" a="1"/>
  <c r="R87" i="8" s="1"/>
  <c r="S87" i="8" s="1" a="1"/>
  <c r="S87" i="8" s="1"/>
  <c r="T87" i="8" s="1" a="1"/>
  <c r="T87" i="8" s="1"/>
  <c r="U87" i="8" s="1" a="1"/>
  <c r="U87" i="8" s="1"/>
  <c r="R78" i="8" a="1"/>
  <c r="R78" i="8" s="1"/>
  <c r="S78" i="8" s="1" a="1"/>
  <c r="S78" i="8" s="1"/>
  <c r="T78" i="8" s="1" a="1"/>
  <c r="T78" i="8" s="1"/>
  <c r="U78" i="8" s="1" a="1"/>
  <c r="U78" i="8" s="1"/>
  <c r="R77" i="8" a="1"/>
  <c r="R77" i="8" s="1"/>
  <c r="S77" i="8" s="1" a="1"/>
  <c r="S77" i="8" s="1"/>
  <c r="T77" i="8" s="1" a="1"/>
  <c r="T77" i="8" s="1"/>
  <c r="U77" i="8" s="1" a="1"/>
  <c r="U77" i="8" s="1"/>
  <c r="R73" i="8" a="1"/>
  <c r="R73" i="8" s="1"/>
  <c r="S73" i="8" s="1" a="1"/>
  <c r="S73" i="8" s="1"/>
  <c r="T73" i="8" s="1" a="1"/>
  <c r="T73" i="8" s="1"/>
  <c r="U73" i="8" s="1" a="1"/>
  <c r="U73" i="8" s="1"/>
  <c r="R71" i="8" a="1"/>
  <c r="R71" i="8" s="1"/>
  <c r="S71" i="8" s="1" a="1"/>
  <c r="S71" i="8" s="1"/>
  <c r="T71" i="8" s="1" a="1"/>
  <c r="T71" i="8" s="1"/>
  <c r="U71" i="8" s="1" a="1"/>
  <c r="U71" i="8" s="1"/>
  <c r="R64" i="8" a="1"/>
  <c r="R64" i="8" s="1"/>
  <c r="S64" i="8" s="1" a="1"/>
  <c r="S64" i="8" s="1"/>
  <c r="T64" i="8" s="1" a="1"/>
  <c r="T64" i="8" s="1"/>
  <c r="U64" i="8" s="1" a="1"/>
  <c r="U64" i="8" s="1"/>
  <c r="R63" i="8" a="1"/>
  <c r="R63" i="8" s="1"/>
  <c r="S63" i="8" s="1" a="1"/>
  <c r="S63" i="8" s="1"/>
  <c r="T63" i="8" s="1" a="1"/>
  <c r="T63" i="8" s="1"/>
  <c r="U63" i="8" s="1" a="1"/>
  <c r="U63" i="8" s="1"/>
  <c r="R57" i="8" a="1"/>
  <c r="R57" i="8" s="1"/>
  <c r="S57" i="8" s="1" a="1"/>
  <c r="S57" i="8" s="1"/>
  <c r="T57" i="8" s="1" a="1"/>
  <c r="T57" i="8" s="1"/>
  <c r="U57" i="8" s="1" a="1"/>
  <c r="U57" i="8" s="1"/>
  <c r="R51" i="8" a="1"/>
  <c r="R51" i="8" s="1"/>
  <c r="S51" i="8" s="1" a="1"/>
  <c r="S51" i="8" s="1"/>
  <c r="T51" i="8" s="1" a="1"/>
  <c r="T51" i="8" s="1"/>
  <c r="U51" i="8" s="1" a="1"/>
  <c r="U51" i="8" s="1"/>
  <c r="R47" i="8" a="1"/>
  <c r="R47" i="8" s="1"/>
  <c r="S47" i="8" s="1" a="1"/>
  <c r="S47" i="8" s="1"/>
  <c r="T47" i="8" s="1" a="1"/>
  <c r="T47" i="8" s="1"/>
  <c r="U47" i="8" s="1" a="1"/>
  <c r="U47" i="8" s="1"/>
  <c r="R46" i="8" a="1"/>
  <c r="R46" i="8" s="1"/>
  <c r="S46" i="8" s="1" a="1"/>
  <c r="S46" i="8" s="1"/>
  <c r="T46" i="8" s="1" a="1"/>
  <c r="T46" i="8" s="1"/>
  <c r="U46" i="8" s="1" a="1"/>
  <c r="U46" i="8" s="1"/>
  <c r="R40" i="8" a="1"/>
  <c r="R40" i="8" s="1"/>
  <c r="S40" i="8" s="1" a="1"/>
  <c r="S40" i="8" s="1"/>
  <c r="T40" i="8" s="1" a="1"/>
  <c r="T40" i="8" s="1"/>
  <c r="U40" i="8" s="1" a="1"/>
  <c r="U40" i="8" s="1"/>
  <c r="R39" i="8" a="1"/>
  <c r="R39" i="8" s="1"/>
  <c r="S39" i="8" s="1" a="1"/>
  <c r="S39" i="8" s="1"/>
  <c r="T39" i="8" s="1" a="1"/>
  <c r="T39" i="8" s="1"/>
  <c r="U39" i="8" s="1" a="1"/>
  <c r="U39" i="8" s="1"/>
  <c r="R31" i="8" a="1"/>
  <c r="R31" i="8" s="1"/>
  <c r="S31" i="8" s="1" a="1"/>
  <c r="S31" i="8" s="1"/>
  <c r="T31" i="8" s="1" a="1"/>
  <c r="T31" i="8" s="1"/>
  <c r="U31" i="8" s="1" a="1"/>
  <c r="U31" i="8" s="1"/>
  <c r="R30" i="8" a="1"/>
  <c r="R30" i="8" s="1"/>
  <c r="S30" i="8" s="1" a="1"/>
  <c r="S30" i="8" s="1"/>
  <c r="T30" i="8" s="1" a="1"/>
  <c r="T30" i="8" s="1"/>
  <c r="U30" i="8" s="1" a="1"/>
  <c r="U30" i="8" s="1"/>
  <c r="R22" i="8" a="1"/>
  <c r="R22" i="8" s="1"/>
  <c r="S22" i="8" s="1" a="1"/>
  <c r="S22" i="8" s="1"/>
  <c r="T22" i="8" s="1" a="1"/>
  <c r="T22" i="8" s="1"/>
  <c r="U22" i="8" s="1" a="1"/>
  <c r="U22" i="8" s="1"/>
  <c r="R27" i="8" a="1"/>
  <c r="R27" i="8" s="1"/>
  <c r="S27" i="8" s="1" a="1"/>
  <c r="S27" i="8" s="1"/>
  <c r="T27" i="8" s="1" a="1"/>
  <c r="T27" i="8" s="1"/>
  <c r="U27" i="8" s="1" a="1"/>
  <c r="U27" i="8" s="1"/>
  <c r="R20" i="8" a="1"/>
  <c r="R20" i="8" s="1"/>
  <c r="S20" i="8" s="1" a="1"/>
  <c r="S20" i="8" s="1"/>
  <c r="T20" i="8" s="1" a="1"/>
  <c r="T20" i="8" s="1"/>
  <c r="U20" i="8" s="1" a="1"/>
  <c r="U20" i="8" s="1"/>
  <c r="R98" i="8" a="1"/>
  <c r="R98" i="8" s="1"/>
  <c r="S98" i="8" s="1" a="1"/>
  <c r="S98" i="8" s="1"/>
  <c r="T98" i="8" s="1" a="1"/>
  <c r="T98" i="8" s="1"/>
  <c r="U98" i="8" s="1" a="1"/>
  <c r="U98" i="8" s="1"/>
  <c r="R93" i="8" a="1"/>
  <c r="R93" i="8" s="1"/>
  <c r="S93" i="8" s="1" a="1"/>
  <c r="S93" i="8" s="1"/>
  <c r="T93" i="8" s="1" a="1"/>
  <c r="T93" i="8" s="1"/>
  <c r="U93" i="8" s="1" a="1"/>
  <c r="U93" i="8" s="1"/>
  <c r="R83" i="8" a="1"/>
  <c r="R83" i="8" s="1"/>
  <c r="S83" i="8" s="1" a="1"/>
  <c r="S83" i="8" s="1"/>
  <c r="T83" i="8" s="1" a="1"/>
  <c r="T83" i="8" s="1"/>
  <c r="U83" i="8" s="1" a="1"/>
  <c r="U83" i="8" s="1"/>
  <c r="AA69" i="4"/>
  <c r="AG49" i="17"/>
  <c r="AF49" i="17"/>
  <c r="AE49" i="17"/>
  <c r="AD49" i="17"/>
  <c r="AC49" i="17"/>
  <c r="AG49" i="6"/>
  <c r="AF49" i="6"/>
  <c r="AE49" i="6"/>
  <c r="AD49" i="6"/>
  <c r="AC49" i="6"/>
  <c r="AD54" i="4"/>
  <c r="J49" i="17"/>
  <c r="H49" i="17"/>
  <c r="F49" i="17"/>
  <c r="D49" i="17"/>
  <c r="C49" i="17"/>
  <c r="E49" i="17"/>
  <c r="G49" i="17"/>
  <c r="I49" i="17"/>
  <c r="W18" i="7"/>
  <c r="AX20" i="7"/>
  <c r="AX21" i="7"/>
  <c r="AX26" i="7"/>
  <c r="AR39" i="7"/>
  <c r="AX22" i="7"/>
  <c r="AR57" i="7"/>
  <c r="AX23" i="7"/>
  <c r="AR71" i="7"/>
  <c r="AX24" i="7"/>
  <c r="AX25" i="7"/>
  <c r="AR77" i="7"/>
  <c r="AR87" i="7"/>
  <c r="AR91" i="7"/>
  <c r="AR107" i="7"/>
  <c r="AN65" i="8"/>
  <c r="AN64" i="8"/>
  <c r="AE57" i="7" a="1"/>
  <c r="AE57" i="7" s="1"/>
  <c r="AF1" i="7"/>
  <c r="AE1" i="7"/>
  <c r="AE11" i="7"/>
  <c r="AF11" i="7" s="1"/>
  <c r="AD2" i="7"/>
  <c r="C185" i="7"/>
  <c r="C177" i="7"/>
  <c r="C183" i="7"/>
  <c r="C182" i="7"/>
  <c r="C181" i="7"/>
  <c r="C178" i="7"/>
  <c r="R112" i="8" a="1"/>
  <c r="R112" i="8" s="1"/>
  <c r="S112" i="8" s="1" a="1"/>
  <c r="S112" i="8" s="1"/>
  <c r="T112" i="8" s="1" a="1"/>
  <c r="T112" i="8" s="1"/>
  <c r="U112" i="8" s="1" a="1"/>
  <c r="U112" i="8" s="1"/>
  <c r="K271" i="7"/>
  <c r="C271" i="7"/>
  <c r="AI4" i="6"/>
  <c r="AO4" i="6" s="1"/>
  <c r="AJ4" i="6"/>
  <c r="AP4" i="6" s="1"/>
  <c r="AK4" i="6"/>
  <c r="AQ4" i="6" s="1"/>
  <c r="AL4" i="6"/>
  <c r="AR4" i="6" s="1"/>
  <c r="AM4" i="6"/>
  <c r="AS4" i="6" s="1"/>
  <c r="A6" i="6"/>
  <c r="A7" i="6" s="1"/>
  <c r="A8" i="6" s="1"/>
  <c r="AO6" i="6"/>
  <c r="AP6" i="6"/>
  <c r="AQ6" i="6"/>
  <c r="AR6" i="6"/>
  <c r="AS6" i="6"/>
  <c r="AO7" i="6"/>
  <c r="AP7" i="6"/>
  <c r="AQ7" i="6"/>
  <c r="AR7" i="6"/>
  <c r="AS7" i="6"/>
  <c r="AO8" i="6"/>
  <c r="AP8" i="6"/>
  <c r="AQ8" i="6"/>
  <c r="AR8" i="6"/>
  <c r="AS8" i="6"/>
  <c r="AO9" i="6"/>
  <c r="AP9" i="6"/>
  <c r="AQ9" i="6"/>
  <c r="AR9" i="6"/>
  <c r="AS9" i="6"/>
  <c r="AO10" i="6"/>
  <c r="AP10" i="6"/>
  <c r="AQ10" i="6"/>
  <c r="AR10" i="6"/>
  <c r="AS10" i="6"/>
  <c r="AO11" i="6"/>
  <c r="AP11" i="6"/>
  <c r="AQ11" i="6"/>
  <c r="AR11" i="6"/>
  <c r="AS11" i="6"/>
  <c r="AO12" i="6"/>
  <c r="AP12" i="6"/>
  <c r="AQ12" i="6"/>
  <c r="AR12" i="6"/>
  <c r="AS12" i="6"/>
  <c r="AO13" i="6"/>
  <c r="AP13" i="6"/>
  <c r="AQ13" i="6"/>
  <c r="AR13" i="6"/>
  <c r="AS13" i="6"/>
  <c r="AJ14" i="6"/>
  <c r="AK14" i="6" s="1"/>
  <c r="AO14" i="6"/>
  <c r="AZ14" i="6"/>
  <c r="AO15" i="6"/>
  <c r="AP15" i="6"/>
  <c r="AQ15" i="6"/>
  <c r="AR15" i="6"/>
  <c r="AS15" i="6"/>
  <c r="AO16" i="6"/>
  <c r="AP16" i="6"/>
  <c r="AQ16" i="6"/>
  <c r="AR16" i="6"/>
  <c r="AS16" i="6"/>
  <c r="AO17" i="6"/>
  <c r="AP17" i="6"/>
  <c r="AQ17" i="6"/>
  <c r="AR17" i="6"/>
  <c r="AS17" i="6"/>
  <c r="AO18" i="6"/>
  <c r="AP18" i="6"/>
  <c r="AQ18" i="6"/>
  <c r="AR18" i="6"/>
  <c r="AS18" i="6"/>
  <c r="A21" i="6"/>
  <c r="A22" i="6" s="1"/>
  <c r="A23" i="6" s="1"/>
  <c r="A24" i="6" s="1"/>
  <c r="A25" i="6" s="1"/>
  <c r="A26" i="6" s="1"/>
  <c r="A27" i="6" s="1"/>
  <c r="A28" i="6" s="1"/>
  <c r="A29" i="6"/>
  <c r="A30" i="6" s="1"/>
  <c r="A31" i="6" s="1"/>
  <c r="A32" i="6" s="1"/>
  <c r="A33" i="6" s="1"/>
  <c r="A34" i="6" s="1"/>
  <c r="A35" i="6" s="1"/>
  <c r="A36" i="6" s="1"/>
  <c r="A37" i="6" s="1"/>
  <c r="A38" i="6" s="1"/>
  <c r="A39" i="6" s="1"/>
  <c r="A40" i="6" s="1"/>
  <c r="A41" i="6" s="1"/>
  <c r="A42" i="6" s="1"/>
  <c r="A43" i="6" s="1"/>
  <c r="A44" i="6" s="1"/>
  <c r="A45" i="6" s="1"/>
  <c r="A46" i="6"/>
  <c r="A47" i="6" s="1"/>
  <c r="A48" i="6" s="1"/>
  <c r="A59" i="6"/>
  <c r="A60" i="6" s="1"/>
  <c r="A61" i="6" s="1"/>
  <c r="A62" i="6" s="1"/>
  <c r="A63" i="6" s="1"/>
  <c r="A64" i="6" s="1"/>
  <c r="A65" i="6" s="1"/>
  <c r="A66" i="6" s="1"/>
  <c r="A67" i="6" s="1"/>
  <c r="A68" i="6" s="1"/>
  <c r="A69" i="6" s="1"/>
  <c r="A70" i="6" s="1"/>
  <c r="A71" i="6"/>
  <c r="A72" i="6" s="1"/>
  <c r="A73" i="6" s="1"/>
  <c r="A74" i="6" s="1"/>
  <c r="A75" i="6" s="1"/>
  <c r="A76" i="6" s="1"/>
  <c r="A77" i="6" s="1"/>
  <c r="A78" i="6" s="1"/>
  <c r="A79" i="6" s="1"/>
  <c r="A80" i="6" s="1"/>
  <c r="A81" i="6" s="1"/>
  <c r="A82" i="6" s="1"/>
  <c r="A83" i="6"/>
  <c r="A84" i="6" s="1"/>
  <c r="A85" i="6" s="1"/>
  <c r="A86" i="6" s="1"/>
  <c r="A87" i="6" s="1"/>
  <c r="A88" i="6" s="1"/>
  <c r="A89" i="6" s="1"/>
  <c r="A90" i="6" s="1"/>
  <c r="A91" i="6" s="1"/>
  <c r="A92" i="6" s="1"/>
  <c r="A93" i="6" s="1"/>
  <c r="A94" i="6" s="1"/>
  <c r="A95" i="6"/>
  <c r="A96" i="6" s="1"/>
  <c r="A97" i="6" s="1"/>
  <c r="A98" i="6" s="1"/>
  <c r="A99" i="6" s="1"/>
  <c r="A100" i="6" s="1"/>
  <c r="A101" i="6" s="1"/>
  <c r="A102" i="6" s="1"/>
  <c r="A103" i="6" s="1"/>
  <c r="A104" i="6" s="1"/>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BC59" i="4"/>
  <c r="A60" i="4"/>
  <c r="B60" i="4"/>
  <c r="AH60" i="4"/>
  <c r="AI60" i="4"/>
  <c r="BC60" i="4"/>
  <c r="A61" i="4"/>
  <c r="B61" i="4"/>
  <c r="BC61" i="4"/>
  <c r="A62" i="4"/>
  <c r="B62" i="4"/>
  <c r="S62" i="4"/>
  <c r="A63" i="4"/>
  <c r="B63" i="4"/>
  <c r="AG63" i="4"/>
  <c r="A64" i="4"/>
  <c r="B64" i="4"/>
  <c r="F64" i="4"/>
  <c r="T64" i="4"/>
  <c r="AH64" i="4"/>
  <c r="F65" i="4"/>
  <c r="G65" i="4"/>
  <c r="G64" i="4" s="1"/>
  <c r="T65" i="4"/>
  <c r="A66" i="4"/>
  <c r="B66" i="4"/>
  <c r="F66" i="4"/>
  <c r="G66" i="4"/>
  <c r="S66" i="4"/>
  <c r="T66" i="4"/>
  <c r="F67" i="4"/>
  <c r="F68" i="4" s="1"/>
  <c r="T67" i="4"/>
  <c r="BC67" i="4"/>
  <c r="A68" i="4"/>
  <c r="B68" i="4"/>
  <c r="T68" i="4"/>
  <c r="BC68" i="4"/>
  <c r="A69" i="4"/>
  <c r="B69" i="4"/>
  <c r="AH69" i="4"/>
  <c r="A70" i="4"/>
  <c r="B70" i="4"/>
  <c r="AH70" i="4"/>
  <c r="AI70" i="4"/>
  <c r="BC70" i="4"/>
  <c r="BD69" i="4" s="1"/>
  <c r="A71" i="4"/>
  <c r="B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BA80" i="4"/>
  <c r="F81" i="4"/>
  <c r="G81" i="4"/>
  <c r="Z81" i="4"/>
  <c r="AI81" i="4"/>
  <c r="A82" i="4"/>
  <c r="B82" i="4"/>
  <c r="G82" i="4"/>
  <c r="S82" i="4"/>
  <c r="AH82" i="4"/>
  <c r="AI82" i="4"/>
  <c r="BA82" i="4"/>
  <c r="BC82" i="4"/>
  <c r="BD82" i="4"/>
  <c r="A83" i="4"/>
  <c r="B83" i="4"/>
  <c r="G83" i="4"/>
  <c r="S83" i="4"/>
  <c r="AI83" i="4"/>
  <c r="A84" i="4"/>
  <c r="B84" i="4"/>
  <c r="S84" i="4"/>
  <c r="AI84" i="4"/>
  <c r="BA84" i="4"/>
  <c r="A85" i="4"/>
  <c r="B85" i="4"/>
  <c r="F85" i="4"/>
  <c r="G85" i="4"/>
  <c r="S85" i="4"/>
  <c r="AI85" i="4"/>
  <c r="BA85" i="4"/>
  <c r="A86" i="4"/>
  <c r="B86" i="4"/>
  <c r="G86" i="4"/>
  <c r="G103" i="4" s="1"/>
  <c r="S86" i="4"/>
  <c r="AI86" i="4"/>
  <c r="BA86" i="4"/>
  <c r="A87" i="4"/>
  <c r="B87" i="4"/>
  <c r="G87" i="4"/>
  <c r="S87" i="4"/>
  <c r="AI87" i="4"/>
  <c r="A88" i="4"/>
  <c r="B88" i="4"/>
  <c r="G88" i="4"/>
  <c r="G105" i="4" s="1"/>
  <c r="S88" i="4"/>
  <c r="AI88" i="4"/>
  <c r="BA88" i="4"/>
  <c r="A89" i="4"/>
  <c r="B89" i="4"/>
  <c r="G89" i="4"/>
  <c r="S89" i="4"/>
  <c r="AI89" i="4"/>
  <c r="BA89" i="4"/>
  <c r="A90" i="4"/>
  <c r="B90" i="4"/>
  <c r="G90" i="4"/>
  <c r="S90" i="4"/>
  <c r="AI90" i="4"/>
  <c r="BA90" i="4"/>
  <c r="D91" i="4"/>
  <c r="A91" i="4" s="1"/>
  <c r="F91" i="4"/>
  <c r="G91" i="4"/>
  <c r="F92" i="4"/>
  <c r="G92" i="4"/>
  <c r="G93" i="4"/>
  <c r="D100" i="4"/>
  <c r="G100" i="4"/>
  <c r="D101" i="4"/>
  <c r="BA101" i="4"/>
  <c r="G101" i="4"/>
  <c r="D102" i="4"/>
  <c r="G102" i="4"/>
  <c r="D103" i="4"/>
  <c r="BA103" i="4"/>
  <c r="F103" i="4"/>
  <c r="D104" i="4"/>
  <c r="B104" i="4" s="1"/>
  <c r="G104" i="4"/>
  <c r="D105" i="4"/>
  <c r="D106" i="4"/>
  <c r="BA106" i="4"/>
  <c r="G106" i="4"/>
  <c r="D107" i="4"/>
  <c r="A107" i="4" s="1"/>
  <c r="G107" i="4"/>
  <c r="A108" i="4"/>
  <c r="B108" i="4"/>
  <c r="F108" i="4"/>
  <c r="G108" i="4"/>
  <c r="T108" i="4"/>
  <c r="AH108" i="4"/>
  <c r="B109" i="4"/>
  <c r="G109" i="4"/>
  <c r="T109" i="4"/>
  <c r="B110" i="4"/>
  <c r="F110" i="4"/>
  <c r="G110" i="4"/>
  <c r="T110" i="4"/>
  <c r="T112" i="4" s="1"/>
  <c r="T113" i="4" s="1"/>
  <c r="Z110" i="4"/>
  <c r="BC110" i="4"/>
  <c r="G111" i="4"/>
  <c r="T111" i="4"/>
  <c r="BC111" i="4"/>
  <c r="A112" i="4"/>
  <c r="B112" i="4"/>
  <c r="G112" i="4"/>
  <c r="S112" i="4"/>
  <c r="AH112" i="4"/>
  <c r="AH113" i="4" s="1"/>
  <c r="AI112" i="4"/>
  <c r="BC112" i="4"/>
  <c r="A113" i="4"/>
  <c r="B113" i="4"/>
  <c r="G113" i="4"/>
  <c r="AI113" i="4"/>
  <c r="BB113" i="4"/>
  <c r="BC113" i="4"/>
  <c r="A114" i="4"/>
  <c r="B114" i="4"/>
  <c r="S114" i="4"/>
  <c r="AH114" i="4"/>
  <c r="AI114" i="4"/>
  <c r="BA114" i="4"/>
  <c r="BC114" i="4"/>
  <c r="BD114" i="4" s="1"/>
  <c r="F115" i="4"/>
  <c r="T115" i="4"/>
  <c r="BA115" i="4"/>
  <c r="F116" i="4"/>
  <c r="G116" i="4"/>
  <c r="T116" i="4"/>
  <c r="BA116" i="4"/>
  <c r="BC116" i="4"/>
  <c r="A117" i="4"/>
  <c r="B117" i="4"/>
  <c r="G117" i="4"/>
  <c r="S117" i="4"/>
  <c r="AH117" i="4"/>
  <c r="AI117" i="4"/>
  <c r="BA117" i="4"/>
  <c r="BC117" i="4"/>
  <c r="A118" i="4"/>
  <c r="B118" i="4"/>
  <c r="A119" i="4"/>
  <c r="B119" i="4"/>
  <c r="T119" i="4"/>
  <c r="A120" i="4"/>
  <c r="B120" i="4"/>
  <c r="T120" i="4"/>
  <c r="A121" i="4"/>
  <c r="B121" i="4"/>
  <c r="AH121" i="4"/>
  <c r="AH123" i="4" s="1"/>
  <c r="AH109" i="4" s="1"/>
  <c r="AI121" i="4"/>
  <c r="BC121" i="4"/>
  <c r="BD121" i="4" s="1"/>
  <c r="B122" i="4"/>
  <c r="F122" i="4"/>
  <c r="G122" i="4"/>
  <c r="S122" i="4"/>
  <c r="T122" i="4"/>
  <c r="T121" i="4" s="1"/>
  <c r="A123" i="4"/>
  <c r="B123" i="4"/>
  <c r="F123" i="4"/>
  <c r="G123" i="4"/>
  <c r="G121" i="4" s="1"/>
  <c r="S123" i="4"/>
  <c r="T123" i="4"/>
  <c r="B124" i="4"/>
  <c r="F124" i="4"/>
  <c r="G124" i="4"/>
  <c r="T124" i="4"/>
  <c r="BC124" i="4"/>
  <c r="A125" i="4"/>
  <c r="B125" i="4"/>
  <c r="G125" i="4"/>
  <c r="S125" i="4"/>
  <c r="BC125" i="4"/>
  <c r="BC127" i="4" s="1"/>
  <c r="B126" i="4"/>
  <c r="G126" i="4"/>
  <c r="BC126" i="4"/>
  <c r="A127" i="4"/>
  <c r="B127" i="4"/>
  <c r="G127" i="4"/>
  <c r="T127" i="4"/>
  <c r="A128" i="4"/>
  <c r="B128" i="4"/>
  <c r="G128" i="4"/>
  <c r="T128" i="4"/>
  <c r="BC128" i="4"/>
  <c r="F129" i="4"/>
  <c r="G129" i="4"/>
  <c r="S129" i="4"/>
  <c r="BA129" i="4"/>
  <c r="A130" i="4"/>
  <c r="B130" i="4"/>
  <c r="BA130" i="4"/>
  <c r="F130" i="4"/>
  <c r="G130" i="4"/>
  <c r="S130" i="4"/>
  <c r="D131" i="4"/>
  <c r="G131" i="4"/>
  <c r="S131" i="4"/>
  <c r="T131" i="4"/>
  <c r="AH131" i="4"/>
  <c r="AI131" i="4"/>
  <c r="AI132" i="4" s="1"/>
  <c r="AI134" i="4" s="1"/>
  <c r="A132" i="4"/>
  <c r="B132" i="4"/>
  <c r="G132" i="4"/>
  <c r="G133" i="4" s="1"/>
  <c r="G134" i="4" s="1"/>
  <c r="M132" i="4"/>
  <c r="AH132" i="4"/>
  <c r="A133" i="4"/>
  <c r="B133" i="4"/>
  <c r="M133" i="4"/>
  <c r="M135" i="4" s="1"/>
  <c r="M136" i="4" s="1"/>
  <c r="M137" i="4" s="1"/>
  <c r="AH133" i="4"/>
  <c r="AI133" i="4"/>
  <c r="A134" i="4"/>
  <c r="B134" i="4"/>
  <c r="M134" i="4"/>
  <c r="AH134" i="4"/>
  <c r="A135" i="4"/>
  <c r="B135" i="4"/>
  <c r="S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J130" i="1"/>
  <c r="BJ138" i="1" s="1"/>
  <c r="BI129" i="1"/>
  <c r="BJ129" i="1"/>
  <c r="BM129" i="1"/>
  <c r="BJ132" i="1"/>
  <c r="BJ136" i="1" s="1"/>
  <c r="BJ133" i="1"/>
  <c r="BK133" i="1" s="1"/>
  <c r="BK137" i="1" s="1"/>
  <c r="BJ134" i="1"/>
  <c r="BK134" i="1" s="1"/>
  <c r="BH136" i="1"/>
  <c r="BD86" i="1" s="1"/>
  <c r="BL136" i="1"/>
  <c r="BH137" i="1"/>
  <c r="BI137" i="1"/>
  <c r="BF147" i="1"/>
  <c r="R49" i="6" l="1"/>
  <c r="Z49" i="6"/>
  <c r="Q49" i="6"/>
  <c r="Y49" i="6"/>
  <c r="P49" i="6"/>
  <c r="X49" i="6"/>
  <c r="O49" i="6"/>
  <c r="W49" i="6"/>
  <c r="N49" i="6"/>
  <c r="V49" i="6"/>
  <c r="M49" i="6"/>
  <c r="U49" i="6"/>
  <c r="L49" i="6"/>
  <c r="T49" i="6"/>
  <c r="K49" i="6"/>
  <c r="S49" i="6"/>
  <c r="X21" i="20" a="1"/>
  <c r="X21" i="20" s="1"/>
  <c r="AA28" i="20" a="1"/>
  <c r="AA28" i="20" s="1"/>
  <c r="Y23" i="20" a="1"/>
  <c r="Y23" i="20" s="1"/>
  <c r="Z21" i="20" a="1"/>
  <c r="Z21" i="20" s="1"/>
  <c r="Z24" i="20" a="1"/>
  <c r="Z24" i="20" s="1"/>
  <c r="AB28" i="20" a="1"/>
  <c r="AB28" i="20" s="1"/>
  <c r="Z26" i="20" a="1"/>
  <c r="Z26" i="20" s="1"/>
  <c r="V21" i="20" a="1"/>
  <c r="V21" i="20" s="1"/>
  <c r="W22" i="20" a="1"/>
  <c r="W22" i="20" s="1"/>
  <c r="X20" i="20" a="1"/>
  <c r="X20" i="20" s="1"/>
  <c r="AA23" i="20" a="1"/>
  <c r="AA23" i="20" s="1"/>
  <c r="AA27" i="20" a="1"/>
  <c r="AA27" i="20" s="1"/>
  <c r="Y20" i="20" a="1"/>
  <c r="Y20" i="20" s="1"/>
  <c r="Z20" i="20" a="1"/>
  <c r="Z20" i="20" s="1"/>
  <c r="Z25" i="20" a="1"/>
  <c r="Z25" i="20" s="1"/>
  <c r="AB23" i="20" a="1"/>
  <c r="AB23" i="20" s="1"/>
  <c r="AA26" i="20" a="1"/>
  <c r="AA26" i="20" s="1"/>
  <c r="V20" i="20" a="1"/>
  <c r="V20" i="20" s="1"/>
  <c r="X22" i="20" a="1"/>
  <c r="X22" i="20" s="1"/>
  <c r="AA22" i="20" a="1"/>
  <c r="AA22" i="20" s="1"/>
  <c r="AA25" i="20" a="1"/>
  <c r="AA25" i="20" s="1"/>
  <c r="Y22" i="20" a="1"/>
  <c r="Y22" i="20" s="1"/>
  <c r="Z27" i="20" a="1"/>
  <c r="Z27" i="20" s="1"/>
  <c r="AB27" i="20" a="1"/>
  <c r="AB27" i="20" s="1"/>
  <c r="Y27" i="20" a="1"/>
  <c r="Y27" i="20" s="1"/>
  <c r="Y24" i="20" a="1"/>
  <c r="Y24" i="20" s="1"/>
  <c r="V22" i="20" a="1"/>
  <c r="V22" i="20" s="1"/>
  <c r="AA21" i="20" a="1"/>
  <c r="AA21" i="20" s="1"/>
  <c r="Y21" i="20" a="1"/>
  <c r="Y21" i="20" s="1"/>
  <c r="Z29" i="20" a="1"/>
  <c r="Z29" i="20" s="1"/>
  <c r="AB22" i="20" a="1"/>
  <c r="AB22" i="20" s="1"/>
  <c r="AB26" i="20" a="1"/>
  <c r="AB26" i="20" s="1"/>
  <c r="AB20" i="20" a="1"/>
  <c r="AB20" i="20" s="1"/>
  <c r="Y26" i="20" a="1"/>
  <c r="Y26" i="20" s="1"/>
  <c r="AA20" i="20" a="1"/>
  <c r="AA20" i="20" s="1"/>
  <c r="Y29" i="20" a="1"/>
  <c r="Y29" i="20" s="1"/>
  <c r="Z28" i="20" a="1"/>
  <c r="Z28" i="20" s="1"/>
  <c r="AB25" i="20" a="1"/>
  <c r="AB25" i="20" s="1"/>
  <c r="AB24" i="20" a="1"/>
  <c r="AB24" i="20" s="1"/>
  <c r="W21" i="20" a="1"/>
  <c r="W21" i="20" s="1"/>
  <c r="Z22" i="20" a="1"/>
  <c r="Z22" i="20" s="1"/>
  <c r="AA24" i="20" a="1"/>
  <c r="AA24" i="20" s="1"/>
  <c r="AA29" i="20" a="1"/>
  <c r="AA29" i="20" s="1"/>
  <c r="Y28" i="20" a="1"/>
  <c r="Y28" i="20" s="1"/>
  <c r="Z23" i="20" a="1"/>
  <c r="Z23" i="20" s="1"/>
  <c r="AB21" i="20" a="1"/>
  <c r="AB21" i="20" s="1"/>
  <c r="W20" i="20" a="1"/>
  <c r="W20" i="20" s="1"/>
  <c r="S20" i="20" s="1"/>
  <c r="Y25" i="20" a="1"/>
  <c r="Y25" i="20" s="1"/>
  <c r="AB29" i="20" a="1"/>
  <c r="AB29" i="20" s="1"/>
  <c r="X23" i="20" a="1"/>
  <c r="X23" i="20" s="1"/>
  <c r="V23" i="20" a="1"/>
  <c r="V23" i="20" s="1"/>
  <c r="W23" i="20" a="1"/>
  <c r="W23" i="20" s="1"/>
  <c r="AD22" i="7" a="1"/>
  <c r="AD22" i="7" s="1"/>
  <c r="AD20" i="7" a="1"/>
  <c r="AD20" i="7" s="1"/>
  <c r="AD23" i="7" a="1"/>
  <c r="AD23" i="7" s="1"/>
  <c r="Q23" i="8" s="1"/>
  <c r="R23" i="8" s="1" a="1"/>
  <c r="R23" i="8" s="1"/>
  <c r="S23" i="8" s="1" a="1"/>
  <c r="S23" i="8" s="1"/>
  <c r="T23" i="8" s="1" a="1"/>
  <c r="T23" i="8" s="1"/>
  <c r="U23" i="8" s="1" a="1"/>
  <c r="U23" i="8" s="1"/>
  <c r="AD21" i="7" a="1"/>
  <c r="AD21" i="7" s="1"/>
  <c r="Q21" i="8" s="1"/>
  <c r="R21" i="8" s="1" a="1"/>
  <c r="R21" i="8" s="1"/>
  <c r="S21" i="8" s="1" a="1"/>
  <c r="S21" i="8" s="1"/>
  <c r="T21" i="8" s="1" a="1"/>
  <c r="T21" i="8" s="1"/>
  <c r="U21" i="8" s="1" a="1"/>
  <c r="U21" i="8" s="1"/>
  <c r="V23" i="7" a="1"/>
  <c r="V23" i="7" s="1"/>
  <c r="AP14" i="6"/>
  <c r="W27" i="8"/>
  <c r="R113" i="8" a="1"/>
  <c r="R113" i="8" s="1"/>
  <c r="X18" i="7"/>
  <c r="Y18" i="7" s="1"/>
  <c r="W23" i="7" a="1"/>
  <c r="W23" i="7" s="1"/>
  <c r="W22" i="7" a="1"/>
  <c r="W22" i="7" s="1"/>
  <c r="W20" i="7" a="1"/>
  <c r="W20" i="7" s="1"/>
  <c r="S20" i="7" s="1"/>
  <c r="BC118" i="4"/>
  <c r="H116" i="4"/>
  <c r="M116" i="4" s="1"/>
  <c r="R116" i="4" s="1"/>
  <c r="S109" i="4"/>
  <c r="A106" i="4"/>
  <c r="B106" i="4"/>
  <c r="A105" i="4"/>
  <c r="A103" i="4"/>
  <c r="B103" i="4"/>
  <c r="BA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M19" i="4"/>
  <c r="T55" i="11"/>
  <c r="Y49" i="17"/>
  <c r="Q49" i="17"/>
  <c r="W49" i="17"/>
  <c r="O49" i="17"/>
  <c r="U49" i="17"/>
  <c r="M49" i="17"/>
  <c r="S49" i="17"/>
  <c r="K49" i="17"/>
  <c r="T49" i="17"/>
  <c r="L49" i="17"/>
  <c r="V49" i="17"/>
  <c r="N49" i="17"/>
  <c r="X49" i="17"/>
  <c r="P49" i="17"/>
  <c r="Z49" i="17"/>
  <c r="R49" i="17"/>
  <c r="W21" i="7" a="1"/>
  <c r="W21" i="7" s="1"/>
  <c r="V21" i="7" a="1"/>
  <c r="V21" i="7" s="1"/>
  <c r="V20" i="7" a="1"/>
  <c r="V20" i="7" s="1"/>
  <c r="V22" i="7" a="1"/>
  <c r="V22" i="7" s="1"/>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O29" i="13" a="1"/>
  <c r="O29" i="13" s="1"/>
  <c r="F82" i="4"/>
  <c r="H129" i="4"/>
  <c r="M129" i="4" s="1"/>
  <c r="R129" i="4" s="1"/>
  <c r="H59" i="4"/>
  <c r="M59" i="4" s="1"/>
  <c r="R59" i="4" s="1"/>
  <c r="R131" i="4" s="1"/>
  <c r="R132" i="4" s="1"/>
  <c r="R133" i="4" s="1"/>
  <c r="O39" i="13" a="1"/>
  <c r="O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A65" i="4"/>
  <c r="AA49" i="4" s="1"/>
  <c r="Z70" i="4"/>
  <c r="W24" i="7" a="1"/>
  <c r="W24" i="7" s="1"/>
  <c r="F113" i="4"/>
  <c r="F109" i="4"/>
  <c r="I116" i="4"/>
  <c r="N116" i="4" s="1"/>
  <c r="U68" i="4"/>
  <c r="Z82" i="4"/>
  <c r="Z83" i="4"/>
  <c r="AA67" i="4"/>
  <c r="T129" i="4"/>
  <c r="U53" i="4"/>
  <c r="U112" i="4" s="1"/>
  <c r="X20" i="7" a="1"/>
  <c r="X20" i="7" s="1"/>
  <c r="X23" i="7" a="1"/>
  <c r="X23" i="7" s="1"/>
  <c r="T89" i="4"/>
  <c r="AJ57" i="7"/>
  <c r="Y29" i="7" a="1"/>
  <c r="Y29" i="7" s="1"/>
  <c r="Y27" i="7" a="1"/>
  <c r="Y27" i="7" s="1"/>
  <c r="Y28" i="7" a="1"/>
  <c r="Y28" i="7" s="1"/>
  <c r="Y24" i="7" a="1"/>
  <c r="Y24" i="7" s="1"/>
  <c r="Y25" i="7" a="1"/>
  <c r="Y25" i="7" s="1"/>
  <c r="Y21" i="7" a="1"/>
  <c r="Y21" i="7" s="1"/>
  <c r="AF2" i="7"/>
  <c r="AG11" i="7"/>
  <c r="AE39" i="7" a="1"/>
  <c r="AE39" i="7" s="1"/>
  <c r="AE2" i="7"/>
  <c r="AE21" i="7" a="1"/>
  <c r="AE21" i="7" s="1"/>
  <c r="T82" i="4"/>
  <c r="C191" i="7"/>
  <c r="C192" i="7" s="1"/>
  <c r="AF57" i="7" a="1"/>
  <c r="AF57" i="7" s="1"/>
  <c r="T114" i="4"/>
  <c r="T87" i="4"/>
  <c r="T70" i="4"/>
  <c r="T125" i="4" s="1"/>
  <c r="T130" i="4"/>
  <c r="T133" i="4"/>
  <c r="U62" i="4"/>
  <c r="A49" i="6"/>
  <c r="A50" i="6"/>
  <c r="A51" i="6" s="1"/>
  <c r="A52" i="6" s="1"/>
  <c r="A53" i="6" s="1"/>
  <c r="A54" i="6" s="1"/>
  <c r="A55" i="6" s="1"/>
  <c r="A56" i="6" s="1"/>
  <c r="A57" i="6" s="1"/>
  <c r="A58" i="6" s="1"/>
  <c r="A9" i="6"/>
  <c r="W24" i="20" s="1" a="1"/>
  <c r="W24" i="20" s="1"/>
  <c r="AQ14" i="6"/>
  <c r="AL14"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B115" i="4"/>
  <c r="A115" i="4"/>
  <c r="C69" i="2"/>
  <c r="F62" i="2"/>
  <c r="I46" i="2"/>
  <c r="K37" i="2"/>
  <c r="J105" i="3"/>
  <c r="K76" i="2"/>
  <c r="K23" i="2"/>
  <c r="K44" i="2" s="1"/>
  <c r="AE38" i="3"/>
  <c r="L42" i="2"/>
  <c r="L35" i="2"/>
  <c r="AV136" i="4"/>
  <c r="AW136" i="4"/>
  <c r="AY136" i="4"/>
  <c r="AU136" i="4"/>
  <c r="T134" i="4"/>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J123" i="4"/>
  <c r="BA105" i="4"/>
  <c r="B105" i="4"/>
  <c r="F121" i="4"/>
  <c r="H122" i="4"/>
  <c r="M122" i="4" s="1"/>
  <c r="R122" i="4" s="1"/>
  <c r="H109" i="4"/>
  <c r="M109" i="4" s="1"/>
  <c r="R109" i="4" s="1"/>
  <c r="D92" i="4"/>
  <c r="A100" i="4"/>
  <c r="B100" i="4"/>
  <c r="B91" i="4"/>
  <c r="BA91" i="4"/>
  <c r="T86" i="4"/>
  <c r="Z86" i="4"/>
  <c r="I108" i="4"/>
  <c r="B107" i="4"/>
  <c r="BA107" i="4"/>
  <c r="H88" i="4"/>
  <c r="I88" i="4" s="1"/>
  <c r="J88" i="4" s="1"/>
  <c r="A122" i="4"/>
  <c r="F120" i="4"/>
  <c r="F112" i="4"/>
  <c r="A109" i="4"/>
  <c r="H84" i="4"/>
  <c r="I84" i="4" s="1"/>
  <c r="BD61" i="4"/>
  <c r="BC62" i="4"/>
  <c r="B93" i="4"/>
  <c r="H86" i="4"/>
  <c r="I86" i="4" s="1"/>
  <c r="J86" i="4" s="1"/>
  <c r="B102" i="4"/>
  <c r="A93" i="4"/>
  <c r="Z65" i="4"/>
  <c r="S60" i="4"/>
  <c r="U65" i="4"/>
  <c r="S64" i="4"/>
  <c r="F111"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74" i="4"/>
  <c r="H72" i="4"/>
  <c r="U66" i="4"/>
  <c r="Z66" i="4"/>
  <c r="B78" i="4"/>
  <c r="B74" i="4"/>
  <c r="AQ34" i="4"/>
  <c r="BA73" i="4"/>
  <c r="AQ24" i="4"/>
  <c r="BA64" i="4"/>
  <c r="AQ20" i="4"/>
  <c r="AQ19" i="4"/>
  <c r="A81" i="4"/>
  <c r="H73" i="4"/>
  <c r="I73" i="4" s="1"/>
  <c r="J73" i="4" s="1"/>
  <c r="B81" i="4"/>
  <c r="A80" i="4"/>
  <c r="A73" i="4"/>
  <c r="H66" i="4"/>
  <c r="M66" i="4" s="1"/>
  <c r="R66" i="4" s="1"/>
  <c r="M65" i="4"/>
  <c r="R65" i="4" s="1"/>
  <c r="I65" i="4"/>
  <c r="AQ35" i="4"/>
  <c r="AZ29" i="4"/>
  <c r="BA104" i="4" s="1"/>
  <c r="BA29" i="4"/>
  <c r="H77" i="4"/>
  <c r="B73" i="4"/>
  <c r="G40" i="4"/>
  <c r="P40" i="4"/>
  <c r="BA66" i="4"/>
  <c r="AQ21" i="4"/>
  <c r="H44" i="4"/>
  <c r="F44" i="4" s="1"/>
  <c r="G44" i="4"/>
  <c r="BA60" i="4"/>
  <c r="AQ17" i="4"/>
  <c r="BA59" i="4"/>
  <c r="AM22" i="4"/>
  <c r="AM44" i="4" s="1"/>
  <c r="BA20" i="4"/>
  <c r="A20"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I64" i="4"/>
  <c r="N64" i="4" s="1"/>
  <c r="F60" i="4"/>
  <c r="O40" i="13" s="1" a="1"/>
  <c r="O40" i="13" s="1"/>
  <c r="BA17" i="4"/>
  <c r="B17" i="4"/>
  <c r="AR22" i="7" a="1"/>
  <c r="AR20" i="7" a="1"/>
  <c r="AR23" i="7" a="1"/>
  <c r="AR21" i="7" a="1"/>
  <c r="AS57" i="7" a="1"/>
  <c r="S113" i="8" l="1" a="1"/>
  <c r="S113" i="8" s="1"/>
  <c r="T113" i="8" s="1" a="1"/>
  <c r="T113" i="8" s="1"/>
  <c r="U113" i="8" s="1" a="1"/>
  <c r="U113" i="8" s="1"/>
  <c r="AD24" i="7" a="1"/>
  <c r="AD24" i="7" s="1"/>
  <c r="Q24" i="8" s="1"/>
  <c r="R24" i="8" s="1" a="1"/>
  <c r="R24" i="8" s="1"/>
  <c r="S24" i="8" s="1" a="1"/>
  <c r="S24" i="8" s="1"/>
  <c r="T24" i="8" s="1" a="1"/>
  <c r="T24" i="8" s="1"/>
  <c r="U24" i="8" s="1" a="1"/>
  <c r="U24" i="8" s="1"/>
  <c r="AR21" i="7"/>
  <c r="AR23" i="7"/>
  <c r="AR20" i="7"/>
  <c r="AR22" i="7"/>
  <c r="W22" i="8"/>
  <c r="AE23" i="7" a="1"/>
  <c r="AE23" i="7" s="1"/>
  <c r="AE20" i="7" a="1"/>
  <c r="AE20" i="7" s="1"/>
  <c r="X24" i="7" a="1"/>
  <c r="X24" i="7" s="1"/>
  <c r="V24" i="7" a="1"/>
  <c r="V24" i="7" s="1"/>
  <c r="A10" i="6"/>
  <c r="V25" i="7" s="1" a="1"/>
  <c r="V25" i="7" s="1"/>
  <c r="X24" i="20" a="1"/>
  <c r="X24" i="20" s="1"/>
  <c r="V24" i="20" a="1"/>
  <c r="V24" i="20" s="1"/>
  <c r="AE22" i="7" a="1"/>
  <c r="AE22" i="7" s="1"/>
  <c r="Z116" i="20"/>
  <c r="Y116" i="20"/>
  <c r="AA116" i="20"/>
  <c r="AB69" i="4"/>
  <c r="F31" i="13" s="1" a="1"/>
  <c r="F31" i="13" s="1"/>
  <c r="Y20" i="7" a="1"/>
  <c r="Y20" i="7" s="1"/>
  <c r="Z18" i="7"/>
  <c r="Y23" i="7" a="1"/>
  <c r="Y23" i="7" s="1"/>
  <c r="Y22" i="7" a="1"/>
  <c r="Y22" i="7" s="1"/>
  <c r="X22" i="7" a="1"/>
  <c r="X22" i="7" s="1"/>
  <c r="X21" i="7" a="1"/>
  <c r="X21" i="7" s="1"/>
  <c r="Y26" i="7" a="1"/>
  <c r="Y26" i="7"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F94" i="11" a="1"/>
  <c r="F94" i="11" s="1"/>
  <c r="P94" i="11" a="1"/>
  <c r="P94" i="11" s="1"/>
  <c r="G94" i="11" a="1"/>
  <c r="G94" i="11" s="1"/>
  <c r="Q94" i="11" a="1"/>
  <c r="Q94" i="11" s="1"/>
  <c r="O77" i="11" a="1"/>
  <c r="O77" i="11" s="1"/>
  <c r="T77" i="11" a="1"/>
  <c r="T77" i="11" s="1"/>
  <c r="E77" i="11" a="1"/>
  <c r="E77" i="11" s="1"/>
  <c r="W77" i="11"/>
  <c r="X77" i="1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T91" i="11" a="1"/>
  <c r="T91" i="11" s="1"/>
  <c r="H88" i="11" a="1"/>
  <c r="H88" i="11" s="1"/>
  <c r="F83" i="11" a="1"/>
  <c r="F83" i="11" s="1"/>
  <c r="X83" i="1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H90" i="11" a="1"/>
  <c r="H90" i="11" s="1"/>
  <c r="P90" i="11" a="1"/>
  <c r="P90" i="11" s="1"/>
  <c r="T87" i="11" a="1"/>
  <c r="T87" i="11" s="1"/>
  <c r="Q87" i="11" a="1"/>
  <c r="Q87" i="11" s="1"/>
  <c r="I90" i="11" a="1"/>
  <c r="I90" i="11" s="1"/>
  <c r="O87" i="11" a="1"/>
  <c r="O87" i="11" s="1"/>
  <c r="W74" i="11"/>
  <c r="F90" i="11" a="1"/>
  <c r="F90" i="11" s="1"/>
  <c r="R87" i="11" a="1"/>
  <c r="R87" i="11" s="1"/>
  <c r="I77" i="11" a="1"/>
  <c r="I77" i="11" s="1"/>
  <c r="X90" i="1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N66" i="11" a="1"/>
  <c r="N66" i="11" s="1"/>
  <c r="M66" i="11" a="1"/>
  <c r="M66" i="11" s="1"/>
  <c r="L66" i="11" a="1"/>
  <c r="L66" i="11" s="1"/>
  <c r="K66" i="11" a="1"/>
  <c r="K66" i="11" s="1"/>
  <c r="D18" i="10"/>
  <c r="E18" i="10" s="1"/>
  <c r="L64" i="11" a="1"/>
  <c r="L64" i="11" s="1"/>
  <c r="K64" i="11" a="1"/>
  <c r="K64" i="11" s="1"/>
  <c r="J64" i="11" a="1"/>
  <c r="J64" i="11" s="1"/>
  <c r="D19" i="10"/>
  <c r="E19" i="10" s="1"/>
  <c r="N65" i="11" a="1"/>
  <c r="N65" i="11" s="1"/>
  <c r="M65" i="11" a="1"/>
  <c r="M65" i="11" s="1"/>
  <c r="L65" i="11" a="1"/>
  <c r="L65" i="11" s="1"/>
  <c r="K65" i="11" a="1"/>
  <c r="K65" i="11" s="1"/>
  <c r="J65" i="11" a="1"/>
  <c r="J65" i="11" s="1"/>
  <c r="L18" i="10"/>
  <c r="M18" i="10" s="1"/>
  <c r="M17" i="10" s="1"/>
  <c r="N63" i="11" a="1"/>
  <c r="N63" i="11" s="1"/>
  <c r="M63" i="11" a="1"/>
  <c r="M63" i="11" s="1"/>
  <c r="L63" i="11" a="1"/>
  <c r="L63" i="11" s="1"/>
  <c r="K63" i="11" a="1"/>
  <c r="K63" i="11" s="1"/>
  <c r="J63" i="11" a="1"/>
  <c r="J63" i="11" s="1"/>
  <c r="D23" i="10"/>
  <c r="E23" i="10" s="1"/>
  <c r="M77" i="11" a="1"/>
  <c r="M77" i="11" s="1"/>
  <c r="L77" i="11" a="1"/>
  <c r="L77" i="11" s="1"/>
  <c r="J77" i="11" a="1"/>
  <c r="J77" i="11" s="1"/>
  <c r="L23" i="10"/>
  <c r="M23" i="10" s="1"/>
  <c r="P23" i="10" s="1"/>
  <c r="N76" i="11" a="1"/>
  <c r="N76" i="11" s="1"/>
  <c r="M76" i="11" a="1"/>
  <c r="M76" i="11" s="1"/>
  <c r="L76" i="11" a="1"/>
  <c r="L76" i="11" s="1"/>
  <c r="K76" i="11" a="1"/>
  <c r="K76" i="11" s="1"/>
  <c r="J76" i="11" a="1"/>
  <c r="J76" i="11" s="1"/>
  <c r="D36" i="10"/>
  <c r="E36" i="10" s="1"/>
  <c r="N83" i="11" a="1"/>
  <c r="N83" i="11" s="1"/>
  <c r="L83" i="11" a="1"/>
  <c r="L83" i="11" s="1"/>
  <c r="K83" i="11" a="1"/>
  <c r="K83" i="11" s="1"/>
  <c r="J83" i="11" a="1"/>
  <c r="J83" i="11" s="1"/>
  <c r="L36" i="10"/>
  <c r="M36" i="10" s="1"/>
  <c r="P36" i="10" s="1"/>
  <c r="AF36" i="10" s="1"/>
  <c r="N82" i="11" a="1"/>
  <c r="N82" i="11" s="1"/>
  <c r="M82" i="11" a="1"/>
  <c r="M82" i="11" s="1"/>
  <c r="L82" i="11" a="1"/>
  <c r="L82" i="11" s="1"/>
  <c r="K82" i="11" a="1"/>
  <c r="K82" i="11" s="1"/>
  <c r="J82" i="11" a="1"/>
  <c r="J82" i="11" s="1"/>
  <c r="L34" i="10"/>
  <c r="M34" i="10" s="1"/>
  <c r="P34" i="10" s="1"/>
  <c r="N94" i="11" a="1"/>
  <c r="N94" i="11" s="1"/>
  <c r="M94" i="11" a="1"/>
  <c r="M94" i="11" s="1"/>
  <c r="L94" i="11" a="1"/>
  <c r="L94" i="11" s="1"/>
  <c r="K94" i="11" a="1"/>
  <c r="K94" i="11" s="1"/>
  <c r="J94" i="11" a="1"/>
  <c r="J94" i="11" s="1"/>
  <c r="L33" i="10"/>
  <c r="M33" i="10" s="1"/>
  <c r="P33" i="10" s="1"/>
  <c r="N93" i="11" a="1"/>
  <c r="N93" i="11" s="1"/>
  <c r="M93" i="11" a="1"/>
  <c r="M93" i="11" s="1"/>
  <c r="L93" i="11" a="1"/>
  <c r="L93" i="11" s="1"/>
  <c r="K93" i="11" a="1"/>
  <c r="K93" i="11" s="1"/>
  <c r="J93" i="11" a="1"/>
  <c r="J93" i="11" s="1"/>
  <c r="L32" i="10"/>
  <c r="M32" i="10" s="1"/>
  <c r="P32" i="10" s="1"/>
  <c r="N92" i="11" a="1"/>
  <c r="N92" i="11" s="1"/>
  <c r="M92" i="11" a="1"/>
  <c r="M92" i="11" s="1"/>
  <c r="L92" i="11" a="1"/>
  <c r="L92" i="11" s="1"/>
  <c r="K92" i="11" a="1"/>
  <c r="K92" i="11" s="1"/>
  <c r="J92" i="11" a="1"/>
  <c r="J92" i="11" s="1"/>
  <c r="L31" i="10"/>
  <c r="M31" i="10" s="1"/>
  <c r="P31" i="10" s="1"/>
  <c r="N91" i="11" a="1"/>
  <c r="N91" i="11" s="1"/>
  <c r="M91" i="11" a="1"/>
  <c r="M91" i="11" s="1"/>
  <c r="L91" i="11" a="1"/>
  <c r="L91" i="11" s="1"/>
  <c r="K91" i="11" a="1"/>
  <c r="K91" i="11" s="1"/>
  <c r="J91" i="11" a="1"/>
  <c r="J91" i="11" s="1"/>
  <c r="L30" i="10"/>
  <c r="M30" i="10" s="1"/>
  <c r="P30" i="10" s="1"/>
  <c r="N90" i="11" a="1"/>
  <c r="N90" i="11" s="1"/>
  <c r="M90" i="11" a="1"/>
  <c r="M90" i="11" s="1"/>
  <c r="L90" i="11" a="1"/>
  <c r="L90" i="11" s="1"/>
  <c r="K90" i="11" a="1"/>
  <c r="K90" i="11" s="1"/>
  <c r="J90" i="11" a="1"/>
  <c r="J90" i="11" s="1"/>
  <c r="L29" i="10"/>
  <c r="M29" i="10" s="1"/>
  <c r="P29" i="10" s="1"/>
  <c r="N89" i="11" a="1"/>
  <c r="N89" i="11" s="1"/>
  <c r="M89" i="11" a="1"/>
  <c r="M89" i="11" s="1"/>
  <c r="L89" i="11" a="1"/>
  <c r="L89" i="11" s="1"/>
  <c r="K89" i="11" a="1"/>
  <c r="K89" i="11" s="1"/>
  <c r="J89" i="11" a="1"/>
  <c r="J89" i="11" s="1"/>
  <c r="L28" i="10"/>
  <c r="M28" i="10" s="1"/>
  <c r="P28" i="10" s="1"/>
  <c r="N88" i="11" a="1"/>
  <c r="N88" i="11" s="1"/>
  <c r="M88" i="11" a="1"/>
  <c r="M88" i="11" s="1"/>
  <c r="L88" i="11" a="1"/>
  <c r="L88" i="11" s="1"/>
  <c r="K88" i="11" a="1"/>
  <c r="K88" i="11" s="1"/>
  <c r="J88" i="11" a="1"/>
  <c r="J88" i="11" s="1"/>
  <c r="L27" i="10"/>
  <c r="M27" i="10" s="1"/>
  <c r="P27" i="10" s="1"/>
  <c r="N87" i="11" a="1"/>
  <c r="N87" i="11" s="1"/>
  <c r="M87" i="11" a="1"/>
  <c r="M87" i="11" s="1"/>
  <c r="L87" i="11" a="1"/>
  <c r="L87" i="11" s="1"/>
  <c r="K87" i="11" a="1"/>
  <c r="K87" i="11" s="1"/>
  <c r="J87" i="11" a="1"/>
  <c r="J87" i="11" s="1"/>
  <c r="D35" i="10"/>
  <c r="E35" i="10" s="1"/>
  <c r="M86" i="11" a="1"/>
  <c r="M86" i="11" s="1"/>
  <c r="L86" i="11" a="1"/>
  <c r="L86" i="11" s="1"/>
  <c r="K86" i="11" a="1"/>
  <c r="K86" i="11" s="1"/>
  <c r="J86" i="11" a="1"/>
  <c r="J86" i="11" s="1"/>
  <c r="L35" i="10"/>
  <c r="M35" i="10" s="1"/>
  <c r="P35" i="10" s="1"/>
  <c r="AF35" i="10" s="1"/>
  <c r="N85" i="11" a="1"/>
  <c r="N85" i="11" s="1"/>
  <c r="M85" i="11" a="1"/>
  <c r="M85" i="11" s="1"/>
  <c r="L85" i="11" a="1"/>
  <c r="L85" i="11" s="1"/>
  <c r="K85" i="11" a="1"/>
  <c r="K85" i="11" s="1"/>
  <c r="J85" i="11" a="1"/>
  <c r="J85" i="11" s="1"/>
  <c r="D21" i="10"/>
  <c r="E21" i="10" s="1"/>
  <c r="N70" i="11" a="1"/>
  <c r="N70" i="11" s="1"/>
  <c r="M70" i="11" a="1"/>
  <c r="M70" i="11" s="1"/>
  <c r="L70" i="11" a="1"/>
  <c r="L70" i="11" s="1"/>
  <c r="K70" i="11" a="1"/>
  <c r="K70" i="11" s="1"/>
  <c r="J70" i="11" a="1"/>
  <c r="J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L24" i="10"/>
  <c r="M24" i="10" s="1"/>
  <c r="M25" i="10" s="1"/>
  <c r="N74" i="11" a="1"/>
  <c r="N74" i="11" s="1"/>
  <c r="M74" i="11" a="1"/>
  <c r="M74" i="11" s="1"/>
  <c r="L74" i="11" a="1"/>
  <c r="L74" i="11" s="1"/>
  <c r="K74" i="11" a="1"/>
  <c r="K74" i="11" s="1"/>
  <c r="J74" i="11" a="1"/>
  <c r="J74" i="11" s="1"/>
  <c r="N64" i="11" a="1"/>
  <c r="N64" i="11" s="1"/>
  <c r="M83" i="11" a="1"/>
  <c r="M83" i="11" s="1"/>
  <c r="N86" i="11" a="1"/>
  <c r="N86" i="11" s="1"/>
  <c r="M64" i="11" a="1"/>
  <c r="M64" i="11" s="1"/>
  <c r="N77" i="11" a="1"/>
  <c r="N77" i="11" s="1"/>
  <c r="K77" i="11" a="1"/>
  <c r="K77" i="11" s="1"/>
  <c r="O91" i="13" a="1"/>
  <c r="O91" i="13" s="1"/>
  <c r="O85" i="13" a="1"/>
  <c r="O85" i="13" s="1"/>
  <c r="O81" i="13" a="1"/>
  <c r="O81" i="13" s="1"/>
  <c r="O80" i="13" a="1"/>
  <c r="O80" i="13" s="1"/>
  <c r="O79" i="13" a="1"/>
  <c r="O79" i="13" s="1"/>
  <c r="O78" i="13" a="1"/>
  <c r="O78" i="13" s="1"/>
  <c r="O77" i="13" a="1"/>
  <c r="O77" i="13" s="1"/>
  <c r="O76" i="13" a="1"/>
  <c r="O76" i="13" s="1"/>
  <c r="O75" i="13" a="1"/>
  <c r="O75" i="13" s="1"/>
  <c r="O74" i="13" a="1"/>
  <c r="O74" i="13" s="1"/>
  <c r="O73" i="13" a="1"/>
  <c r="O73" i="13" s="1"/>
  <c r="O72" i="13" a="1"/>
  <c r="O72" i="13" s="1"/>
  <c r="O34" i="13" a="1"/>
  <c r="O34" i="13" s="1"/>
  <c r="O30" i="13" a="1"/>
  <c r="O30" i="13" s="1"/>
  <c r="O27" i="13" a="1"/>
  <c r="O27" i="13" s="1"/>
  <c r="O28" i="13" a="1"/>
  <c r="O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O83" i="13" a="1"/>
  <c r="O83" i="13" s="1"/>
  <c r="O90" i="13" a="1"/>
  <c r="O90" i="13" s="1"/>
  <c r="O88" i="13" a="1"/>
  <c r="O88" i="13" s="1"/>
  <c r="O87" i="13" a="1"/>
  <c r="O87" i="13" s="1"/>
  <c r="O84" i="13" a="1"/>
  <c r="O84" i="13" s="1"/>
  <c r="O86" i="13" a="1"/>
  <c r="O86" i="13" s="1"/>
  <c r="O89" i="13" a="1"/>
  <c r="O89" i="13" s="1"/>
  <c r="AE52" i="20" a="1"/>
  <c r="AE52" i="20" s="1"/>
  <c r="AJ52" i="20" s="1"/>
  <c r="AE22" i="20" a="1"/>
  <c r="AE22" i="20" s="1"/>
  <c r="AJ22" i="20" s="1"/>
  <c r="AE20" i="20" a="1"/>
  <c r="AE20" i="20" s="1"/>
  <c r="AJ20" i="20" s="1"/>
  <c r="AD21" i="20"/>
  <c r="AD23" i="20"/>
  <c r="AD24" i="20"/>
  <c r="U78" i="4"/>
  <c r="U59" i="4"/>
  <c r="U131" i="4" s="1"/>
  <c r="V53" i="4"/>
  <c r="V112" i="4" s="1"/>
  <c r="U110" i="4"/>
  <c r="U88" i="4"/>
  <c r="U86" i="4"/>
  <c r="V86" i="4" s="1"/>
  <c r="U89" i="4"/>
  <c r="BL140" i="1"/>
  <c r="AK85" i="1"/>
  <c r="I110" i="4"/>
  <c r="I78" i="4"/>
  <c r="N78" i="4" s="1"/>
  <c r="I66" i="4"/>
  <c r="N66" i="4" s="1"/>
  <c r="Y109" i="11"/>
  <c r="P109" i="11" s="1"/>
  <c r="X107" i="11"/>
  <c r="J51" i="11"/>
  <c r="J52" i="11" s="1"/>
  <c r="I7" i="11" s="1"/>
  <c r="I16" i="11" s="1"/>
  <c r="O40" i="4"/>
  <c r="Q40" i="4" s="1"/>
  <c r="J66" i="11" s="1" a="1"/>
  <c r="J66" i="11" s="1"/>
  <c r="F70" i="4"/>
  <c r="O31" i="13" a="1"/>
  <c r="O31" i="13" s="1"/>
  <c r="M85" i="4"/>
  <c r="H102" i="4"/>
  <c r="R134" i="4"/>
  <c r="R135" i="4"/>
  <c r="N85" i="4"/>
  <c r="I102" i="4"/>
  <c r="N102" i="4" s="1"/>
  <c r="O82" i="13" a="1"/>
  <c r="O82" i="13" s="1"/>
  <c r="H82" i="4"/>
  <c r="M82" i="4" s="1"/>
  <c r="R82" i="4" s="1"/>
  <c r="J66" i="4"/>
  <c r="O66" i="4" s="1"/>
  <c r="I74" i="4"/>
  <c r="I130" i="4"/>
  <c r="I59" i="4"/>
  <c r="AB65" i="4"/>
  <c r="F27" i="13" s="1" a="1"/>
  <c r="F27" i="13" s="1"/>
  <c r="AB59" i="4"/>
  <c r="F39" i="13" s="1" a="1"/>
  <c r="F39" i="13" s="1"/>
  <c r="AA59" i="4"/>
  <c r="BL141" i="1"/>
  <c r="U76" i="4"/>
  <c r="U85" i="4"/>
  <c r="U90" i="4"/>
  <c r="U111" i="4"/>
  <c r="U84" i="4"/>
  <c r="U83" i="4"/>
  <c r="U87" i="4"/>
  <c r="U82" i="4"/>
  <c r="U124" i="4"/>
  <c r="U75" i="4"/>
  <c r="U80" i="4"/>
  <c r="U81" i="4"/>
  <c r="U79" i="4"/>
  <c r="T117" i="4"/>
  <c r="U117" i="4" s="1"/>
  <c r="U109" i="4"/>
  <c r="U113" i="4"/>
  <c r="U74" i="4"/>
  <c r="U72" i="4"/>
  <c r="U73" i="4" s="1"/>
  <c r="U77" i="4"/>
  <c r="U108" i="4"/>
  <c r="J129" i="4"/>
  <c r="O129" i="4" s="1"/>
  <c r="J116" i="4"/>
  <c r="H113" i="4"/>
  <c r="M113" i="4" s="1"/>
  <c r="R113" i="4" s="1"/>
  <c r="I115" i="4"/>
  <c r="N115" i="4" s="1"/>
  <c r="P37" i="3"/>
  <c r="BK142" i="1"/>
  <c r="F20" i="8"/>
  <c r="BH146" i="1"/>
  <c r="BL146" i="1"/>
  <c r="BL142" i="1"/>
  <c r="T132" i="4"/>
  <c r="AA122" i="4"/>
  <c r="AA74" i="4"/>
  <c r="AA72" i="4"/>
  <c r="AA75" i="4"/>
  <c r="AA78" i="4"/>
  <c r="AA129" i="4"/>
  <c r="AA124" i="4"/>
  <c r="AB67" i="4"/>
  <c r="F28" i="13" s="1" a="1"/>
  <c r="F28" i="13" s="1"/>
  <c r="AA66" i="4"/>
  <c r="AA80" i="4"/>
  <c r="AA116" i="4"/>
  <c r="AA128" i="4"/>
  <c r="AA108" i="4"/>
  <c r="AA79" i="4"/>
  <c r="AA110" i="4"/>
  <c r="AA77" i="4"/>
  <c r="AA73" i="4"/>
  <c r="AA81" i="4"/>
  <c r="Y116" i="7"/>
  <c r="AS57" i="7"/>
  <c r="D192" i="7"/>
  <c r="U133" i="4"/>
  <c r="C194" i="7"/>
  <c r="D194" i="7" s="1"/>
  <c r="C195" i="7"/>
  <c r="D195" i="7" s="1"/>
  <c r="C199" i="7"/>
  <c r="D199" i="7" s="1"/>
  <c r="BI146" i="1"/>
  <c r="AS21" i="7"/>
  <c r="AF21" i="7" a="1"/>
  <c r="AF21" i="7" s="1"/>
  <c r="AJ21" i="7"/>
  <c r="C196" i="7"/>
  <c r="D196" i="7" s="1"/>
  <c r="C193" i="7"/>
  <c r="D193" i="7" s="1"/>
  <c r="C198" i="7"/>
  <c r="D198" i="7" s="1"/>
  <c r="C197" i="7"/>
  <c r="D197" i="7" s="1"/>
  <c r="AJ39" i="7"/>
  <c r="AF39" i="7" a="1"/>
  <c r="AF39" i="7" s="1"/>
  <c r="Z26" i="7" a="1"/>
  <c r="Z26" i="7" s="1"/>
  <c r="Z28" i="7" a="1"/>
  <c r="Z28" i="7" s="1"/>
  <c r="Z24" i="7" a="1"/>
  <c r="Z24" i="7" s="1"/>
  <c r="Z25" i="7" a="1"/>
  <c r="Z25" i="7" s="1"/>
  <c r="Z21" i="7" a="1"/>
  <c r="Z21" i="7" s="1"/>
  <c r="Z20" i="7" a="1"/>
  <c r="Z20" i="7" s="1"/>
  <c r="Z27" i="7" a="1"/>
  <c r="Z27" i="7" s="1"/>
  <c r="Z23" i="7" a="1"/>
  <c r="Z23" i="7" s="1"/>
  <c r="Z29" i="7" a="1"/>
  <c r="Z29" i="7" s="1"/>
  <c r="Z22" i="7" a="1"/>
  <c r="Z22" i="7" s="1"/>
  <c r="AA18" i="7"/>
  <c r="BI142" i="1"/>
  <c r="U114" i="4"/>
  <c r="AG57" i="7" a="1"/>
  <c r="AG57" i="7" s="1"/>
  <c r="AE87" i="7" a="1"/>
  <c r="AE87" i="7" s="1"/>
  <c r="AE107" i="7" a="1"/>
  <c r="AE107" i="7" s="1"/>
  <c r="AE71" i="7" a="1"/>
  <c r="AE71" i="7" s="1"/>
  <c r="AE91" i="7" a="1"/>
  <c r="AE91" i="7" s="1"/>
  <c r="AE77" i="7" a="1"/>
  <c r="AE77" i="7" s="1"/>
  <c r="AH11" i="7"/>
  <c r="AH2" i="7" s="1"/>
  <c r="AG2" i="7"/>
  <c r="BI141" i="1"/>
  <c r="F27" i="8"/>
  <c r="V111" i="4"/>
  <c r="BM141" i="1"/>
  <c r="AR14" i="6"/>
  <c r="AM14" i="6"/>
  <c r="AS14" i="6" s="1"/>
  <c r="BH141" i="1"/>
  <c r="U121" i="4"/>
  <c r="V68" i="4"/>
  <c r="U127" i="4"/>
  <c r="U129" i="4"/>
  <c r="W53" i="4"/>
  <c r="X53" i="4" s="1"/>
  <c r="V81" i="4"/>
  <c r="V78" i="4"/>
  <c r="V62" i="4"/>
  <c r="U134" i="4"/>
  <c r="V109" i="4"/>
  <c r="BH140" i="1"/>
  <c r="U69" i="4"/>
  <c r="V57" i="4"/>
  <c r="V120" i="4" s="1"/>
  <c r="U115" i="4"/>
  <c r="U128" i="4"/>
  <c r="U119" i="4"/>
  <c r="U122" i="4"/>
  <c r="U116" i="4"/>
  <c r="U123" i="4"/>
  <c r="U130" i="4"/>
  <c r="T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O23" i="13" s="1" a="1"/>
  <c r="O23" i="13" s="1"/>
  <c r="H125" i="4"/>
  <c r="M125" i="4" s="1"/>
  <c r="R125" i="4" s="1"/>
  <c r="F128" i="4"/>
  <c r="O25" i="13" s="1" a="1"/>
  <c r="O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O41" i="13" s="1" a="1"/>
  <c r="O41" i="13" s="1"/>
  <c r="M80" i="4"/>
  <c r="R80" i="4" s="1"/>
  <c r="I80" i="4"/>
  <c r="K85" i="4"/>
  <c r="M90" i="4"/>
  <c r="H107" i="4"/>
  <c r="H132" i="4"/>
  <c r="I132" i="4" s="1"/>
  <c r="J132" i="4" s="1"/>
  <c r="K132" i="4" s="1"/>
  <c r="L132" i="4" s="1"/>
  <c r="F133" i="4"/>
  <c r="O55" i="13" s="1" a="1"/>
  <c r="O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R24" i="7" a="1"/>
  <c r="AS39" i="7" a="1"/>
  <c r="AR20" i="20" a="1"/>
  <c r="AT57" i="7" a="1"/>
  <c r="AR22" i="20" a="1"/>
  <c r="AR52" i="20" a="1"/>
  <c r="Q109" i="11" l="1"/>
  <c r="R109" i="11" s="1"/>
  <c r="Z109" i="11"/>
  <c r="Z90" i="11"/>
  <c r="J23" i="15" s="1"/>
  <c r="Z63" i="11"/>
  <c r="Z92" i="11"/>
  <c r="AR24" i="7"/>
  <c r="AA64" i="4"/>
  <c r="Z65" i="11"/>
  <c r="Z88" i="11"/>
  <c r="J21" i="15" s="1"/>
  <c r="AE24" i="7" a="1"/>
  <c r="AE24" i="7" s="1"/>
  <c r="Y72" i="11"/>
  <c r="Y73" i="11" s="1"/>
  <c r="Y65" i="11"/>
  <c r="AA68" i="4"/>
  <c r="Z82" i="11"/>
  <c r="Y63" i="11"/>
  <c r="Y83" i="11"/>
  <c r="W25" i="20" a="1"/>
  <c r="W25" i="20" s="1"/>
  <c r="V25" i="20" a="1"/>
  <c r="V25" i="20" s="1"/>
  <c r="AD25" i="7" a="1"/>
  <c r="AD25" i="7" s="1"/>
  <c r="Q25" i="8" s="1"/>
  <c r="R25" i="8" s="1" a="1"/>
  <c r="R25" i="8" s="1"/>
  <c r="S25" i="8" s="1" a="1"/>
  <c r="S25" i="8" s="1"/>
  <c r="T25" i="8" s="1" a="1"/>
  <c r="T25" i="8" s="1"/>
  <c r="U25" i="8" s="1" a="1"/>
  <c r="U25" i="8" s="1"/>
  <c r="X25" i="20" a="1"/>
  <c r="X25" i="20" s="1"/>
  <c r="Z85" i="11"/>
  <c r="Z70" i="11"/>
  <c r="Z72" i="11"/>
  <c r="J11" i="15" s="1"/>
  <c r="Y77" i="11"/>
  <c r="Z86" i="11"/>
  <c r="AF22" i="7" a="1"/>
  <c r="AF22" i="7" s="1"/>
  <c r="AS22" i="7"/>
  <c r="AJ22" i="7"/>
  <c r="Z89" i="11"/>
  <c r="AS23" i="7"/>
  <c r="AJ23" i="7"/>
  <c r="AF23" i="7" a="1"/>
  <c r="AF23" i="7" s="1"/>
  <c r="A11" i="6"/>
  <c r="X26" i="20" s="1" a="1"/>
  <c r="X26" i="20" s="1"/>
  <c r="X25" i="7" a="1"/>
  <c r="X25" i="7" s="1"/>
  <c r="W25" i="7" a="1"/>
  <c r="W25" i="7" s="1"/>
  <c r="AJ20" i="7"/>
  <c r="AS20" i="7"/>
  <c r="AF20" i="7" a="1"/>
  <c r="AF20" i="7" s="1"/>
  <c r="AB63" i="11"/>
  <c r="Z83" i="11"/>
  <c r="AC69" i="4"/>
  <c r="G31" i="13" s="1" a="1"/>
  <c r="G31" i="13" s="1"/>
  <c r="Z94" i="11"/>
  <c r="J27" i="15" s="1"/>
  <c r="Y90" i="11"/>
  <c r="Z64" i="11"/>
  <c r="P50" i="11"/>
  <c r="Z87" i="11"/>
  <c r="Z91" i="11"/>
  <c r="Z77" i="11"/>
  <c r="Z68" i="11"/>
  <c r="Y94" i="11"/>
  <c r="Z76" i="11"/>
  <c r="Y68" i="11"/>
  <c r="Z66" i="11"/>
  <c r="Z74" i="11"/>
  <c r="Z93" i="11"/>
  <c r="J26" i="15" s="1"/>
  <c r="Y76" i="11"/>
  <c r="Y87" i="11"/>
  <c r="AB87" i="11" s="1"/>
  <c r="Y74" i="11"/>
  <c r="Y75" i="11" s="1"/>
  <c r="Y70" i="11"/>
  <c r="AR52" i="20"/>
  <c r="AR22" i="20"/>
  <c r="AR20" i="20"/>
  <c r="O19" i="13" a="1"/>
  <c r="O19" i="13" s="1"/>
  <c r="O18" i="13" a="1"/>
  <c r="O18" i="13" s="1"/>
  <c r="O45" i="13" a="1"/>
  <c r="O45" i="13" s="1"/>
  <c r="O67" i="13" a="1"/>
  <c r="O67" i="13" s="1"/>
  <c r="O103" i="13" a="1"/>
  <c r="O103" i="13" s="1"/>
  <c r="O92" i="13" a="1"/>
  <c r="O92" i="13" s="1"/>
  <c r="R26" i="13" a="1"/>
  <c r="R26" i="13" s="1"/>
  <c r="W26" i="13" a="1"/>
  <c r="W26" i="13" s="1"/>
  <c r="F26" i="13" a="1"/>
  <c r="F26" i="13" s="1"/>
  <c r="U26" i="13" a="1"/>
  <c r="U26" i="13" s="1"/>
  <c r="P26" i="13" a="1"/>
  <c r="P26" i="13" s="1"/>
  <c r="Y26" i="13" a="1"/>
  <c r="Y26" i="13" s="1"/>
  <c r="R35" i="13" a="1"/>
  <c r="R35" i="13" s="1"/>
  <c r="W35" i="13" a="1"/>
  <c r="W35" i="13" s="1"/>
  <c r="O26" i="13" a="1"/>
  <c r="O26" i="13" s="1"/>
  <c r="I35" i="13" a="1"/>
  <c r="I35" i="13" s="1"/>
  <c r="Q26" i="13" a="1"/>
  <c r="Q26" i="13" s="1"/>
  <c r="S26" i="13" a="1"/>
  <c r="S26" i="13" s="1"/>
  <c r="T26" i="13" a="1"/>
  <c r="T26" i="13" s="1"/>
  <c r="F35" i="13" a="1"/>
  <c r="F35" i="13" s="1"/>
  <c r="V26" i="13" a="1"/>
  <c r="V26" i="13" s="1"/>
  <c r="X26" i="13" a="1"/>
  <c r="X26" i="13" s="1"/>
  <c r="H35" i="13" a="1"/>
  <c r="H35" i="13" s="1"/>
  <c r="U35" i="13" a="1"/>
  <c r="U35" i="13" s="1"/>
  <c r="O35" i="13" a="1"/>
  <c r="O35" i="13" s="1"/>
  <c r="V35" i="13" a="1"/>
  <c r="V35" i="13" s="1"/>
  <c r="P35" i="13" a="1"/>
  <c r="P35" i="13" s="1"/>
  <c r="X35" i="13" a="1"/>
  <c r="X35" i="13" s="1"/>
  <c r="Q38" i="13" a="1"/>
  <c r="Q38" i="13" s="1"/>
  <c r="S44" i="13" a="1"/>
  <c r="S44" i="13" s="1"/>
  <c r="Q35" i="13" a="1"/>
  <c r="Q35" i="13" s="1"/>
  <c r="Y35" i="13" a="1"/>
  <c r="Y35" i="13" s="1"/>
  <c r="R38" i="13" a="1"/>
  <c r="R38" i="13" s="1"/>
  <c r="G35" i="13" a="1"/>
  <c r="G35" i="13" s="1"/>
  <c r="F38" i="13" a="1"/>
  <c r="F38" i="13" s="1"/>
  <c r="H44" i="13" a="1"/>
  <c r="H44" i="13" s="1"/>
  <c r="V44" i="13" a="1"/>
  <c r="V44" i="13" s="1"/>
  <c r="T44" i="13" a="1"/>
  <c r="T44" i="13" s="1"/>
  <c r="S38" i="13" a="1"/>
  <c r="S38" i="13" s="1"/>
  <c r="F44" i="13" a="1"/>
  <c r="F44" i="13" s="1"/>
  <c r="U44" i="13" a="1"/>
  <c r="U44" i="13" s="1"/>
  <c r="S35" i="13" a="1"/>
  <c r="S35" i="13" s="1"/>
  <c r="G38" i="13" a="1"/>
  <c r="G38" i="13" s="1"/>
  <c r="W44" i="13" a="1"/>
  <c r="W44" i="13" s="1"/>
  <c r="I52" i="13" a="1"/>
  <c r="I52" i="13" s="1"/>
  <c r="Q44" i="13" a="1"/>
  <c r="Q44" i="13" s="1"/>
  <c r="R44" i="13" a="1"/>
  <c r="R44" i="13" s="1"/>
  <c r="T35" i="13" a="1"/>
  <c r="T35" i="13" s="1"/>
  <c r="P52" i="13" a="1"/>
  <c r="P52" i="13" s="1"/>
  <c r="H52" i="13" a="1"/>
  <c r="H52" i="13" s="1"/>
  <c r="S52" i="13" a="1"/>
  <c r="S52" i="13" s="1"/>
  <c r="H58" i="13" a="1"/>
  <c r="H58" i="13" s="1"/>
  <c r="O52" i="13" a="1"/>
  <c r="O52" i="13" s="1"/>
  <c r="H38" i="13" a="1"/>
  <c r="H38" i="13" s="1"/>
  <c r="V52" i="13" a="1"/>
  <c r="V52" i="13" s="1"/>
  <c r="U52" i="13" a="1"/>
  <c r="U52" i="13" s="1"/>
  <c r="F52" i="13" a="1"/>
  <c r="F52" i="13" s="1"/>
  <c r="R60" i="13" a="1"/>
  <c r="R60" i="13" s="1"/>
  <c r="W60" i="13" a="1"/>
  <c r="W60" i="13" s="1"/>
  <c r="U62" i="13" a="1"/>
  <c r="U62" i="13" s="1"/>
  <c r="H63" i="13" a="1"/>
  <c r="H63" i="13" s="1"/>
  <c r="S64" i="13" a="1"/>
  <c r="S64" i="13" s="1"/>
  <c r="X64" i="13" a="1"/>
  <c r="X64" i="13" s="1"/>
  <c r="G52" i="13" a="1"/>
  <c r="G52" i="13" s="1"/>
  <c r="F58" i="13" a="1"/>
  <c r="F58" i="13" s="1"/>
  <c r="P58" i="13" a="1"/>
  <c r="P58" i="13" s="1"/>
  <c r="I60" i="13" a="1"/>
  <c r="I60" i="13" s="1"/>
  <c r="F62" i="13" a="1"/>
  <c r="F62" i="13" s="1"/>
  <c r="R63" i="13" a="1"/>
  <c r="R63" i="13" s="1"/>
  <c r="W63" i="13" a="1"/>
  <c r="W63" i="13" s="1"/>
  <c r="G44" i="13" a="1"/>
  <c r="G44" i="13" s="1"/>
  <c r="W52" i="13" a="1"/>
  <c r="W52" i="13" s="1"/>
  <c r="X52" i="13" a="1"/>
  <c r="X52" i="13" s="1"/>
  <c r="X44" i="13" a="1"/>
  <c r="X44" i="13" s="1"/>
  <c r="Y44" i="13" a="1"/>
  <c r="Y44" i="13" s="1"/>
  <c r="Y52" i="13" a="1"/>
  <c r="Y52" i="13" s="1"/>
  <c r="X58" i="13" a="1"/>
  <c r="X58" i="13" s="1"/>
  <c r="H62" i="13" a="1"/>
  <c r="H62" i="13" s="1"/>
  <c r="O63" i="13" a="1"/>
  <c r="O63" i="13" s="1"/>
  <c r="T63" i="13" a="1"/>
  <c r="T63" i="13" s="1"/>
  <c r="Y63" i="13" a="1"/>
  <c r="Y63" i="13" s="1"/>
  <c r="F64" i="13" a="1"/>
  <c r="F64" i="13" s="1"/>
  <c r="I58" i="13" a="1"/>
  <c r="I58" i="13" s="1"/>
  <c r="S58" i="13" a="1"/>
  <c r="S58" i="13" s="1"/>
  <c r="U60" i="13" a="1"/>
  <c r="U60" i="13" s="1"/>
  <c r="Z60" i="13" a="1"/>
  <c r="Z60" i="13" s="1"/>
  <c r="AA60" i="13" s="1"/>
  <c r="R62" i="13" a="1"/>
  <c r="R62" i="13" s="1"/>
  <c r="W62" i="13" a="1"/>
  <c r="W62" i="13" s="1"/>
  <c r="P64" i="13" a="1"/>
  <c r="P64" i="13" s="1"/>
  <c r="T58" i="13" a="1"/>
  <c r="T58" i="13" s="1"/>
  <c r="P60" i="13" a="1"/>
  <c r="P60" i="13" s="1"/>
  <c r="S62" i="13" a="1"/>
  <c r="S62" i="13" s="1"/>
  <c r="X62" i="13" a="1"/>
  <c r="X62" i="13" s="1"/>
  <c r="Q64" i="13" a="1"/>
  <c r="Q64" i="13" s="1"/>
  <c r="V64" i="13" a="1"/>
  <c r="V64" i="13" s="1"/>
  <c r="V58" i="13" a="1"/>
  <c r="V58" i="13" s="1"/>
  <c r="G62" i="13" a="1"/>
  <c r="G62" i="13" s="1"/>
  <c r="W58" i="13" a="1"/>
  <c r="W58" i="13" s="1"/>
  <c r="S60" i="13" a="1"/>
  <c r="S60" i="13" s="1"/>
  <c r="S63" i="13" a="1"/>
  <c r="S63" i="13" s="1"/>
  <c r="O64" i="13" a="1"/>
  <c r="O64" i="13" s="1"/>
  <c r="O58" i="13" a="1"/>
  <c r="O58" i="13" s="1"/>
  <c r="F60" i="13" a="1"/>
  <c r="F60" i="13" s="1"/>
  <c r="I62" i="13" a="1"/>
  <c r="I62" i="13" s="1"/>
  <c r="W64" i="13" a="1"/>
  <c r="W64" i="13" s="1"/>
  <c r="G71" i="13" a="1"/>
  <c r="G71" i="13" s="1"/>
  <c r="Y58" i="13" a="1"/>
  <c r="Y58" i="13" s="1"/>
  <c r="O62" i="13" a="1"/>
  <c r="O62" i="13" s="1"/>
  <c r="H71" i="13" a="1"/>
  <c r="H71" i="13" s="1"/>
  <c r="W71" i="13" a="1"/>
  <c r="W71" i="13" s="1"/>
  <c r="H60" i="13" a="1"/>
  <c r="H60" i="13" s="1"/>
  <c r="I63" i="13" a="1"/>
  <c r="I63" i="13" s="1"/>
  <c r="Q58" i="13" a="1"/>
  <c r="Q58" i="13" s="1"/>
  <c r="V60" i="13" a="1"/>
  <c r="V60" i="13" s="1"/>
  <c r="P62" i="13" a="1"/>
  <c r="P62" i="13" s="1"/>
  <c r="Y62" i="13" a="1"/>
  <c r="Y62" i="13" s="1"/>
  <c r="V63" i="13" a="1"/>
  <c r="V63" i="13" s="1"/>
  <c r="R64" i="13" a="1"/>
  <c r="R64" i="13" s="1"/>
  <c r="R58" i="13" a="1"/>
  <c r="R58" i="13" s="1"/>
  <c r="S71" i="13" a="1"/>
  <c r="S71" i="13" s="1"/>
  <c r="O60" i="13" a="1"/>
  <c r="O60" i="13" s="1"/>
  <c r="X60" i="13" a="1"/>
  <c r="X60" i="13" s="1"/>
  <c r="Q62" i="13" a="1"/>
  <c r="Q62" i="13" s="1"/>
  <c r="X63" i="13" a="1"/>
  <c r="X63" i="13" s="1"/>
  <c r="T52" i="13" a="1"/>
  <c r="T52" i="13" s="1"/>
  <c r="Q60" i="13" a="1"/>
  <c r="Q60" i="13" s="1"/>
  <c r="T62" i="13" a="1"/>
  <c r="T62" i="13" s="1"/>
  <c r="Q63" i="13" a="1"/>
  <c r="Q63" i="13" s="1"/>
  <c r="I64" i="13" a="1"/>
  <c r="I64" i="13" s="1"/>
  <c r="U64" i="13" a="1"/>
  <c r="U64" i="13" s="1"/>
  <c r="U71" i="13" a="1"/>
  <c r="U71" i="13" s="1"/>
  <c r="V62" i="13" a="1"/>
  <c r="V62" i="13" s="1"/>
  <c r="Y60" i="13" a="1"/>
  <c r="Y60" i="13" s="1"/>
  <c r="Y64" i="13" a="1"/>
  <c r="Y64" i="13" s="1"/>
  <c r="T71" i="13" a="1"/>
  <c r="T71" i="13" s="1"/>
  <c r="G64" i="13" a="1"/>
  <c r="G64" i="13" s="1"/>
  <c r="H64" i="13" a="1"/>
  <c r="H64" i="13" s="1"/>
  <c r="G63" i="13" a="1"/>
  <c r="G63" i="13" s="1"/>
  <c r="O71" i="13" a="1"/>
  <c r="O71" i="13" s="1"/>
  <c r="V71" i="13"/>
  <c r="G60" i="13" a="1"/>
  <c r="G60" i="13" s="1"/>
  <c r="U61" i="13" a="1"/>
  <c r="U61" i="13" s="1"/>
  <c r="P63" i="13" a="1"/>
  <c r="P63" i="13" s="1"/>
  <c r="X71" i="13" a="1"/>
  <c r="X71" i="13" s="1"/>
  <c r="Y61" i="13" a="1"/>
  <c r="Y61" i="13" s="1"/>
  <c r="U63" i="13" a="1"/>
  <c r="U63" i="13" s="1"/>
  <c r="Q71" i="13" a="1"/>
  <c r="Q71" i="13" s="1"/>
  <c r="Q52" i="13" a="1"/>
  <c r="Q52" i="13" s="1"/>
  <c r="T64" i="13" a="1"/>
  <c r="T64" i="13" s="1"/>
  <c r="R52" i="13" a="1"/>
  <c r="R52" i="13" s="1"/>
  <c r="F71" i="13" a="1"/>
  <c r="F71" i="13" s="1"/>
  <c r="G58" i="13" a="1"/>
  <c r="G58" i="13" s="1"/>
  <c r="I71" i="13" a="1"/>
  <c r="I71" i="13" s="1"/>
  <c r="U58" i="13" a="1"/>
  <c r="U58" i="13" s="1"/>
  <c r="P71" i="13" a="1"/>
  <c r="P71" i="13" s="1"/>
  <c r="T60" i="13" a="1"/>
  <c r="T60" i="13" s="1"/>
  <c r="R71" i="13" a="1"/>
  <c r="R71" i="13" s="1"/>
  <c r="Y71" i="13" a="1"/>
  <c r="Y71" i="13" s="1"/>
  <c r="V110" i="13" a="1"/>
  <c r="V110" i="13" s="1"/>
  <c r="AB110" i="13" a="1"/>
  <c r="AB110" i="13" s="1"/>
  <c r="A110" i="13" s="1"/>
  <c r="X108" i="13" a="1"/>
  <c r="X108" i="13" s="1"/>
  <c r="X114" i="13" a="1"/>
  <c r="X114" i="13" s="1"/>
  <c r="X119" i="13" a="1"/>
  <c r="X119" i="13" s="1"/>
  <c r="X120" i="13" a="1"/>
  <c r="X120" i="13" s="1"/>
  <c r="X121" i="13" a="1"/>
  <c r="X121" i="13" s="1"/>
  <c r="X122" i="13" a="1"/>
  <c r="X122" i="13" s="1"/>
  <c r="W110" i="13" a="1"/>
  <c r="W110" i="13" s="1"/>
  <c r="Y108" i="13" a="1"/>
  <c r="Y108" i="13" s="1"/>
  <c r="X110" i="13" a="1"/>
  <c r="X110" i="13" s="1"/>
  <c r="Y110" i="13" a="1"/>
  <c r="Y110" i="13" s="1"/>
  <c r="Z110" i="13" a="1"/>
  <c r="Z110" i="13" s="1"/>
  <c r="V108" i="13" a="1"/>
  <c r="V108" i="13" s="1"/>
  <c r="V114" i="13" a="1"/>
  <c r="V114" i="13" s="1"/>
  <c r="V119" i="13" a="1"/>
  <c r="V119" i="13" s="1"/>
  <c r="W108" i="13" a="1"/>
  <c r="W108" i="13" s="1"/>
  <c r="W114" i="13" a="1"/>
  <c r="W114" i="13" s="1"/>
  <c r="Y122" i="13" a="1"/>
  <c r="Y122" i="13" s="1"/>
  <c r="V118" i="13" a="1"/>
  <c r="V118" i="13" s="1"/>
  <c r="V121" i="13" a="1"/>
  <c r="V121" i="13" s="1"/>
  <c r="Y114" i="13" a="1"/>
  <c r="Y114" i="13" s="1"/>
  <c r="Y121" i="13" a="1"/>
  <c r="Y121" i="13" s="1"/>
  <c r="V120" i="13" a="1"/>
  <c r="V120" i="13" s="1"/>
  <c r="Y120" i="13" a="1"/>
  <c r="Y120" i="13" s="1"/>
  <c r="Y115" i="13" a="1"/>
  <c r="Y115" i="13" s="1"/>
  <c r="AA110" i="13" a="1"/>
  <c r="AA110" i="13" s="1"/>
  <c r="W113" i="13" a="1"/>
  <c r="W113" i="13" s="1"/>
  <c r="V122" i="13" a="1"/>
  <c r="V122" i="13" s="1"/>
  <c r="Y119" i="13" a="1"/>
  <c r="Y119" i="13" s="1"/>
  <c r="W118" i="13" a="1"/>
  <c r="W118" i="13" s="1"/>
  <c r="X118" i="13" a="1"/>
  <c r="X118" i="13" s="1"/>
  <c r="Q61" i="13" a="1"/>
  <c r="Q61" i="13" s="1"/>
  <c r="P61" i="13" a="1"/>
  <c r="P61" i="13" s="1"/>
  <c r="Y118" i="13" a="1"/>
  <c r="Y118" i="13" s="1"/>
  <c r="G109" i="13"/>
  <c r="X115" i="13" a="1"/>
  <c r="X115" i="13" s="1"/>
  <c r="V61" i="13" a="1"/>
  <c r="V61" i="13" s="1"/>
  <c r="R61" i="13" a="1"/>
  <c r="R61" i="13" s="1"/>
  <c r="F109" i="13"/>
  <c r="V111" i="13" a="1"/>
  <c r="V111" i="13" s="1"/>
  <c r="V109" i="13" a="1"/>
  <c r="V109" i="13" s="1"/>
  <c r="Y109" i="13" a="1"/>
  <c r="Y109" i="13" s="1"/>
  <c r="W111" i="13" a="1"/>
  <c r="W111" i="13" s="1"/>
  <c r="W122" i="13" a="1"/>
  <c r="W122" i="13" s="1"/>
  <c r="S61" i="13" a="1"/>
  <c r="S61" i="13" s="1"/>
  <c r="T61" i="13" a="1"/>
  <c r="T61" i="13" s="1"/>
  <c r="W61" i="13" a="1"/>
  <c r="W61" i="13" s="1"/>
  <c r="X111" i="13" a="1"/>
  <c r="X111" i="13" s="1"/>
  <c r="H109" i="13"/>
  <c r="V115" i="13" a="1"/>
  <c r="V115" i="13" s="1"/>
  <c r="W121" i="13" a="1"/>
  <c r="W121" i="13" s="1"/>
  <c r="X61" i="13" a="1"/>
  <c r="X61" i="13" s="1"/>
  <c r="Y111" i="13" a="1"/>
  <c r="Y111" i="13" s="1"/>
  <c r="W115" i="13" a="1"/>
  <c r="W115" i="13" s="1"/>
  <c r="W120" i="13" a="1"/>
  <c r="W120" i="13" s="1"/>
  <c r="Y113" i="13" a="1"/>
  <c r="Y113" i="13" s="1"/>
  <c r="I109" i="13"/>
  <c r="W119" i="13" a="1"/>
  <c r="W119" i="13" s="1"/>
  <c r="O61" i="13" a="1"/>
  <c r="O61" i="13" s="1"/>
  <c r="W109" i="13" a="1"/>
  <c r="W109" i="13" s="1"/>
  <c r="V113" i="13" a="1"/>
  <c r="V113" i="13" s="1"/>
  <c r="X113" i="13" a="1"/>
  <c r="X113" i="13" s="1"/>
  <c r="X109" i="13" a="1"/>
  <c r="X109" i="13" s="1"/>
  <c r="Q59" i="13" a="1"/>
  <c r="Q59" i="13" s="1"/>
  <c r="X59" i="13" a="1"/>
  <c r="X59" i="13" s="1"/>
  <c r="W59" i="13" a="1"/>
  <c r="W59" i="13" s="1"/>
  <c r="Y59" i="13" a="1"/>
  <c r="Y59" i="13" s="1"/>
  <c r="P59" i="13" a="1"/>
  <c r="P59" i="13" s="1"/>
  <c r="T59" i="13" a="1"/>
  <c r="T59" i="13" s="1"/>
  <c r="R59" i="13" a="1"/>
  <c r="R59" i="13" s="1"/>
  <c r="U59" i="13" a="1"/>
  <c r="U59" i="13" s="1"/>
  <c r="V59" i="13" a="1"/>
  <c r="V59" i="13" s="1"/>
  <c r="O59" i="13" a="1"/>
  <c r="O59" i="13" s="1"/>
  <c r="S59" i="13" a="1"/>
  <c r="S59" i="13" s="1"/>
  <c r="O36" i="13" a="1"/>
  <c r="O36" i="13" s="1"/>
  <c r="O53" i="13" a="1"/>
  <c r="O53" i="13" s="1"/>
  <c r="O65" i="13" a="1"/>
  <c r="O65" i="13" s="1"/>
  <c r="O46" i="13" a="1"/>
  <c r="O46" i="13" s="1"/>
  <c r="O37" i="13" a="1"/>
  <c r="O37" i="13" s="1"/>
  <c r="O21" i="13" a="1"/>
  <c r="O21" i="13" s="1"/>
  <c r="O68" i="13" a="1"/>
  <c r="O68" i="13" s="1"/>
  <c r="O69" i="13" a="1"/>
  <c r="O69" i="13" s="1"/>
  <c r="O51" i="13" a="1"/>
  <c r="O51" i="13" s="1"/>
  <c r="O20" i="13" a="1"/>
  <c r="O20" i="13" s="1"/>
  <c r="O47" i="13" a="1"/>
  <c r="O47" i="13" s="1"/>
  <c r="O54" i="13" a="1"/>
  <c r="O54" i="13" s="1"/>
  <c r="O24" i="13" a="1"/>
  <c r="O24" i="13" s="1"/>
  <c r="O22" i="13" a="1"/>
  <c r="O22" i="13" s="1"/>
  <c r="O66" i="13" a="1"/>
  <c r="O66" i="13" s="1"/>
  <c r="O70" i="13" a="1"/>
  <c r="O70" i="13" s="1"/>
  <c r="O107" i="13" a="1"/>
  <c r="O107" i="13" s="1"/>
  <c r="O105" i="13" a="1"/>
  <c r="O105" i="13" s="1"/>
  <c r="O48" i="13" a="1"/>
  <c r="O48" i="13" s="1"/>
  <c r="O50" i="13" a="1"/>
  <c r="O50" i="13" s="1"/>
  <c r="O102" i="13" a="1"/>
  <c r="O102" i="13" s="1"/>
  <c r="O49" i="13" a="1"/>
  <c r="O49" i="13" s="1"/>
  <c r="O100" i="13" a="1"/>
  <c r="O100" i="13" s="1"/>
  <c r="O104" i="13" a="1"/>
  <c r="O104" i="13" s="1"/>
  <c r="O93" i="13" a="1"/>
  <c r="O93" i="13" s="1"/>
  <c r="O106" i="13" a="1"/>
  <c r="O106" i="13" s="1"/>
  <c r="O101" i="13" a="1"/>
  <c r="O101" i="13" s="1"/>
  <c r="AE24" i="20" a="1"/>
  <c r="AE24" i="20" s="1"/>
  <c r="AE23" i="20" a="1"/>
  <c r="AE23" i="20" s="1"/>
  <c r="AE21" i="20" a="1"/>
  <c r="AE21" i="20" s="1"/>
  <c r="AF20" i="20" a="1"/>
  <c r="AF20" i="20" s="1"/>
  <c r="AF22" i="20" a="1"/>
  <c r="AF22" i="20" s="1"/>
  <c r="AF52" i="20" a="1"/>
  <c r="AF52" i="20" s="1"/>
  <c r="AE108" i="20" a="1"/>
  <c r="AE108" i="20" s="1"/>
  <c r="AJ108" i="20" s="1"/>
  <c r="AE107" i="20" a="1"/>
  <c r="AE107" i="20" s="1"/>
  <c r="AJ107" i="20" s="1"/>
  <c r="AE104" i="20" a="1"/>
  <c r="AE104" i="20" s="1"/>
  <c r="AJ104" i="20" s="1"/>
  <c r="AE100" i="20" a="1"/>
  <c r="AE100" i="20" s="1"/>
  <c r="AJ100" i="20" s="1"/>
  <c r="AE99" i="20" a="1"/>
  <c r="AE99" i="20" s="1"/>
  <c r="AJ99" i="20" s="1"/>
  <c r="AE96" i="20" a="1"/>
  <c r="AE96" i="20" s="1"/>
  <c r="AJ96" i="20" s="1"/>
  <c r="AE95" i="20" a="1"/>
  <c r="AE95" i="20" s="1"/>
  <c r="AJ95" i="20" s="1"/>
  <c r="AE92" i="20" a="1"/>
  <c r="AE92" i="20" s="1"/>
  <c r="AJ92" i="20" s="1"/>
  <c r="AE91" i="20" a="1"/>
  <c r="AE91" i="20" s="1"/>
  <c r="AJ91" i="20" s="1"/>
  <c r="AE88" i="20" a="1"/>
  <c r="AE88" i="20" s="1"/>
  <c r="AJ88" i="20" s="1"/>
  <c r="AE87" i="20" a="1"/>
  <c r="AE87" i="20" s="1"/>
  <c r="AJ87" i="20" s="1"/>
  <c r="AE83" i="20" a="1"/>
  <c r="AE83" i="20" s="1"/>
  <c r="AJ83" i="20" s="1"/>
  <c r="AE82" i="20" a="1"/>
  <c r="AE82" i="20" s="1"/>
  <c r="AJ82" i="20" s="1"/>
  <c r="AE78" i="20" a="1"/>
  <c r="AE78" i="20" s="1"/>
  <c r="AJ78" i="20" s="1"/>
  <c r="AE77" i="20" a="1"/>
  <c r="AE77" i="20" s="1"/>
  <c r="AJ77" i="20" s="1"/>
  <c r="AE73" i="20" a="1"/>
  <c r="AE73" i="20" s="1"/>
  <c r="AJ73" i="20" s="1"/>
  <c r="AE72" i="20" a="1"/>
  <c r="AE72" i="20" s="1"/>
  <c r="AJ72" i="20" s="1"/>
  <c r="AE71" i="20" a="1"/>
  <c r="AE71" i="20" s="1"/>
  <c r="AJ71" i="20" s="1"/>
  <c r="AE66" i="20" a="1"/>
  <c r="AE66" i="20" s="1"/>
  <c r="AJ66" i="20" s="1"/>
  <c r="AE64" i="20" a="1"/>
  <c r="AE64" i="20" s="1"/>
  <c r="AJ64" i="20" s="1"/>
  <c r="AE63" i="20" a="1"/>
  <c r="AE63" i="20" s="1"/>
  <c r="AJ63" i="20" s="1"/>
  <c r="AE57" i="20" a="1"/>
  <c r="AE57" i="20" s="1"/>
  <c r="AE51" i="20" a="1"/>
  <c r="AE51" i="20" s="1"/>
  <c r="AJ51" i="20" s="1"/>
  <c r="AE47" i="20" a="1"/>
  <c r="AE47" i="20" s="1"/>
  <c r="AJ47" i="20" s="1"/>
  <c r="AE46" i="20" a="1"/>
  <c r="AE46" i="20" s="1"/>
  <c r="AJ46" i="20" s="1"/>
  <c r="AE42" i="20" a="1"/>
  <c r="AE42" i="20" s="1"/>
  <c r="AJ42" i="20" s="1"/>
  <c r="AE40" i="20" a="1"/>
  <c r="AE40" i="20" s="1"/>
  <c r="AJ40" i="20" s="1"/>
  <c r="AE39" i="20" a="1"/>
  <c r="AE39" i="20" s="1"/>
  <c r="AJ39" i="20" s="1"/>
  <c r="AE36" i="20" a="1"/>
  <c r="AE36" i="20" s="1"/>
  <c r="AJ36" i="20" s="1"/>
  <c r="AE34" i="20" a="1"/>
  <c r="AE34" i="20" s="1"/>
  <c r="AJ34" i="20" s="1"/>
  <c r="AE31" i="20" a="1"/>
  <c r="AE31" i="20" s="1"/>
  <c r="AJ31" i="20" s="1"/>
  <c r="AR30" i="20"/>
  <c r="AE30" i="20" a="1"/>
  <c r="AE30" i="20" s="1"/>
  <c r="AF30" i="20" s="1" a="1"/>
  <c r="AF30" i="20" s="1"/>
  <c r="AG30" i="20" s="1" a="1"/>
  <c r="AG30" i="20" s="1"/>
  <c r="AH30" i="20" s="1" a="1"/>
  <c r="AH30" i="20" s="1"/>
  <c r="AK30" i="20" s="1"/>
  <c r="J12" i="15"/>
  <c r="Z69" i="11"/>
  <c r="J20" i="15"/>
  <c r="J22" i="15"/>
  <c r="J25" i="15"/>
  <c r="X114" i="11"/>
  <c r="Y66" i="11"/>
  <c r="Y93" i="11"/>
  <c r="Y85" i="11"/>
  <c r="Y64" i="11"/>
  <c r="X113" i="11"/>
  <c r="Y86" i="11"/>
  <c r="Y92" i="11"/>
  <c r="AB92" i="11" s="1"/>
  <c r="Y89" i="11"/>
  <c r="AB89" i="11" s="1"/>
  <c r="Y91" i="11"/>
  <c r="E44" i="11"/>
  <c r="Y69" i="11"/>
  <c r="Y8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AA76" i="4"/>
  <c r="V77" i="4"/>
  <c r="V74" i="4"/>
  <c r="X74" i="4" s="1"/>
  <c r="V113" i="4"/>
  <c r="W113" i="4" s="1"/>
  <c r="X113" i="4" s="1"/>
  <c r="V59" i="4"/>
  <c r="W59" i="4" s="1"/>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AC65" i="4"/>
  <c r="G27" i="13" s="1" a="1"/>
  <c r="G27" i="13" s="1"/>
  <c r="V72" i="4"/>
  <c r="V73" i="4" s="1"/>
  <c r="V90" i="4"/>
  <c r="W90" i="4" s="1"/>
  <c r="X90" i="4" s="1"/>
  <c r="W52" i="8"/>
  <c r="AC59" i="4"/>
  <c r="G39" i="13" s="1" a="1"/>
  <c r="G39" i="13" s="1"/>
  <c r="J60" i="4"/>
  <c r="O60" i="4" s="1"/>
  <c r="I125" i="4"/>
  <c r="N125" i="4" s="1"/>
  <c r="N110" i="4"/>
  <c r="J110" i="4"/>
  <c r="I82" i="4"/>
  <c r="J35" i="15"/>
  <c r="Y107" i="11"/>
  <c r="P107" i="11" s="1"/>
  <c r="G21" i="3"/>
  <c r="H21" i="3" s="1"/>
  <c r="O35" i="3"/>
  <c r="N59" i="4"/>
  <c r="N131" i="4" s="1"/>
  <c r="N132" i="4" s="1"/>
  <c r="N133" i="4" s="1"/>
  <c r="J59" i="4"/>
  <c r="I113" i="4"/>
  <c r="N113" i="4" s="1"/>
  <c r="N130" i="4"/>
  <c r="J130" i="4"/>
  <c r="R85" i="4"/>
  <c r="M102" i="4"/>
  <c r="R102" i="4" s="1"/>
  <c r="F71" i="4"/>
  <c r="O33" i="13" s="1" a="1"/>
  <c r="O33" i="13" s="1"/>
  <c r="O32" i="13" a="1"/>
  <c r="O32" i="13" s="1"/>
  <c r="O30" i="3"/>
  <c r="O32" i="3"/>
  <c r="O27" i="3"/>
  <c r="AD27" i="3" s="1"/>
  <c r="AA115" i="4"/>
  <c r="AA114" i="4"/>
  <c r="AK68" i="1"/>
  <c r="D53" i="11" s="1"/>
  <c r="P37" i="10"/>
  <c r="D88" i="9"/>
  <c r="I114" i="4"/>
  <c r="N114" i="4" s="1"/>
  <c r="I127" i="4"/>
  <c r="O116" i="4"/>
  <c r="K116" i="4"/>
  <c r="J125" i="4"/>
  <c r="O125" i="4" s="1"/>
  <c r="W20" i="8"/>
  <c r="V70" i="4"/>
  <c r="X81" i="4"/>
  <c r="W80" i="4"/>
  <c r="V124" i="4"/>
  <c r="W78" i="4"/>
  <c r="AD65" i="4"/>
  <c r="H27" i="13" s="1" a="1"/>
  <c r="H27" i="13" s="1"/>
  <c r="W76" i="4"/>
  <c r="V64" i="4"/>
  <c r="W77" i="4"/>
  <c r="AB81" i="4"/>
  <c r="F81" i="13" s="1" a="1"/>
  <c r="F81" i="13" s="1"/>
  <c r="AB74" i="4"/>
  <c r="F74" i="13" s="1" a="1"/>
  <c r="F74" i="13" s="1"/>
  <c r="AB73" i="4"/>
  <c r="AB68" i="4"/>
  <c r="F34" i="13" s="1" a="1"/>
  <c r="F34" i="13" s="1"/>
  <c r="W63" i="8"/>
  <c r="W71" i="8"/>
  <c r="W57" i="8"/>
  <c r="O36" i="3"/>
  <c r="AD36" i="3" s="1"/>
  <c r="W87" i="8"/>
  <c r="W92" i="8"/>
  <c r="W82" i="8"/>
  <c r="AB124" i="4"/>
  <c r="F19" i="13" s="1" a="1"/>
  <c r="F19" i="13" s="1"/>
  <c r="W97" i="8"/>
  <c r="AB64" i="4"/>
  <c r="F29" i="13" s="1" a="1"/>
  <c r="F29" i="13" s="1"/>
  <c r="AB66" i="4"/>
  <c r="F30" i="13" s="1" a="1"/>
  <c r="F30" i="13" s="1"/>
  <c r="W77" i="8"/>
  <c r="AB75" i="4"/>
  <c r="F75" i="13" s="1" a="1"/>
  <c r="F75" i="13" s="1"/>
  <c r="W112" i="8"/>
  <c r="W102" i="8"/>
  <c r="AC67" i="4"/>
  <c r="G28" i="13" s="1" a="1"/>
  <c r="G28" i="13" s="1"/>
  <c r="W39" i="8"/>
  <c r="AB108" i="4"/>
  <c r="F65" i="13" s="1" a="1"/>
  <c r="F65" i="13" s="1"/>
  <c r="AB116" i="4"/>
  <c r="F46" i="13" s="1" a="1"/>
  <c r="F46" i="13" s="1"/>
  <c r="AB72" i="4"/>
  <c r="F72" i="13" s="1" a="1"/>
  <c r="F72" i="13" s="1"/>
  <c r="F73" i="13" s="1"/>
  <c r="AS39" i="7"/>
  <c r="AT57" i="7"/>
  <c r="AG39" i="7" a="1"/>
  <c r="AG39" i="7" s="1"/>
  <c r="AJ77" i="7"/>
  <c r="AF77" i="7" a="1"/>
  <c r="AF77" i="7" s="1"/>
  <c r="AJ71" i="7"/>
  <c r="AF71" i="7" a="1"/>
  <c r="AF71" i="7" s="1"/>
  <c r="AD59" i="4"/>
  <c r="H39" i="13" s="1" a="1"/>
  <c r="H39" i="13" s="1"/>
  <c r="AA25" i="7" a="1"/>
  <c r="AA25" i="7" s="1"/>
  <c r="AA28" i="7" a="1"/>
  <c r="AA28" i="7" s="1"/>
  <c r="AA24" i="7" a="1"/>
  <c r="AA24" i="7" s="1"/>
  <c r="AA23" i="7" a="1"/>
  <c r="AA23" i="7" s="1"/>
  <c r="AA26" i="7" a="1"/>
  <c r="AA26" i="7" s="1"/>
  <c r="AA21" i="7" a="1"/>
  <c r="AA21" i="7" s="1"/>
  <c r="AA22" i="7" a="1"/>
  <c r="AA22" i="7" s="1"/>
  <c r="AA29" i="7" a="1"/>
  <c r="AA29" i="7" s="1"/>
  <c r="AA20" i="7" a="1"/>
  <c r="AA20" i="7" s="1"/>
  <c r="AA27" i="7" a="1"/>
  <c r="AA27" i="7" s="1"/>
  <c r="AB18" i="7"/>
  <c r="W110" i="4"/>
  <c r="X110" i="4" s="1"/>
  <c r="AJ91" i="7"/>
  <c r="AF91" i="7" a="1"/>
  <c r="AF91" i="7" s="1"/>
  <c r="AJ107" i="7"/>
  <c r="AF107" i="7" a="1"/>
  <c r="AF107" i="7" s="1"/>
  <c r="AH57" i="7" a="1"/>
  <c r="AH57" i="7" s="1"/>
  <c r="W81" i="4"/>
  <c r="AJ87" i="7"/>
  <c r="AF87" i="7" a="1"/>
  <c r="AF87" i="7" s="1"/>
  <c r="W86" i="4"/>
  <c r="X86" i="4" s="1"/>
  <c r="D200" i="7"/>
  <c r="D191" i="7" s="1"/>
  <c r="U125" i="4"/>
  <c r="AT21" i="7"/>
  <c r="AG21" i="7" a="1"/>
  <c r="AG21" i="7" s="1"/>
  <c r="C200" i="7"/>
  <c r="V115" i="4"/>
  <c r="V114" i="4"/>
  <c r="V130" i="4"/>
  <c r="V123" i="4"/>
  <c r="V69" i="4"/>
  <c r="W75" i="4"/>
  <c r="V65" i="4"/>
  <c r="X78" i="4"/>
  <c r="W112" i="4"/>
  <c r="X112" i="4" s="1"/>
  <c r="V116" i="4"/>
  <c r="V133" i="4"/>
  <c r="W108" i="4"/>
  <c r="X108" i="4" s="1"/>
  <c r="V66" i="4"/>
  <c r="X77" i="4"/>
  <c r="V131" i="4"/>
  <c r="V122" i="4"/>
  <c r="W82" i="4"/>
  <c r="X82" i="4" s="1"/>
  <c r="V119" i="4"/>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O57" i="13" s="1" a="1"/>
  <c r="O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O42" i="13" s="1" a="1"/>
  <c r="O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25" i="7" a="1"/>
  <c r="AR46" i="20" a="1"/>
  <c r="AR72" i="20" a="1"/>
  <c r="AR47" i="20" a="1"/>
  <c r="AR71" i="20" a="1"/>
  <c r="AS22" i="20" a="1"/>
  <c r="AS77" i="7" a="1"/>
  <c r="AR88" i="20" a="1"/>
  <c r="AR73" i="20" a="1"/>
  <c r="AR51" i="20" a="1"/>
  <c r="AR31" i="20" a="1"/>
  <c r="AR107" i="20" a="1"/>
  <c r="AS71" i="7" a="1"/>
  <c r="AR40" i="20" a="1"/>
  <c r="AR92" i="20" a="1"/>
  <c r="AS52" i="20" a="1"/>
  <c r="AR95" i="20" a="1"/>
  <c r="AU57" i="7" a="1"/>
  <c r="AR21" i="20" a="1"/>
  <c r="AR63" i="20" a="1"/>
  <c r="AT39" i="7" a="1"/>
  <c r="AS20" i="20" a="1"/>
  <c r="AR100" i="20" a="1"/>
  <c r="AR91" i="20" a="1"/>
  <c r="AR96" i="20" a="1"/>
  <c r="AR78" i="20" a="1"/>
  <c r="AS107" i="7" a="1"/>
  <c r="AR77" i="20" a="1"/>
  <c r="AR87" i="20" a="1"/>
  <c r="AR34" i="20" a="1"/>
  <c r="AR83" i="20" a="1"/>
  <c r="AR23" i="20" a="1"/>
  <c r="AR24" i="20" a="1"/>
  <c r="AR64" i="20" a="1"/>
  <c r="AR99" i="20" a="1"/>
  <c r="AR36" i="20" a="1"/>
  <c r="AR57" i="20" a="1"/>
  <c r="AR42" i="20" a="1"/>
  <c r="AR39" i="20" a="1"/>
  <c r="AS87" i="7" a="1"/>
  <c r="AR104" i="20" a="1"/>
  <c r="AR66" i="20" a="1"/>
  <c r="AR108" i="20" a="1"/>
  <c r="AS91" i="7" a="1"/>
  <c r="AR82" i="20" a="1"/>
  <c r="Z107" i="11" l="1"/>
  <c r="Q107" i="11"/>
  <c r="R107" i="11" s="1"/>
  <c r="AB68" i="11"/>
  <c r="AB86" i="11"/>
  <c r="AB88" i="11"/>
  <c r="J19" i="15"/>
  <c r="AB90" i="11"/>
  <c r="J18" i="15"/>
  <c r="Y71" i="11"/>
  <c r="Y78" i="11"/>
  <c r="AB72" i="11"/>
  <c r="AB70" i="11"/>
  <c r="AB77" i="11"/>
  <c r="AB83" i="11"/>
  <c r="J9" i="15"/>
  <c r="Z84" i="11"/>
  <c r="AB65" i="11"/>
  <c r="AS24" i="7"/>
  <c r="AF24" i="7" a="1"/>
  <c r="AF24" i="7" s="1"/>
  <c r="AJ24" i="7"/>
  <c r="X26" i="7" a="1"/>
  <c r="X26" i="7" s="1"/>
  <c r="AR25" i="7"/>
  <c r="AB66" i="11"/>
  <c r="AD25" i="20"/>
  <c r="AB94" i="11"/>
  <c r="AE25" i="7" a="1"/>
  <c r="AE25" i="7" s="1"/>
  <c r="AS25" i="7" s="1"/>
  <c r="Z95" i="11"/>
  <c r="AG20" i="7" a="1"/>
  <c r="AG20" i="7" s="1"/>
  <c r="AT20" i="7"/>
  <c r="AT22" i="7"/>
  <c r="AG22" i="7" a="1"/>
  <c r="AG22" i="7" s="1"/>
  <c r="AT23" i="7"/>
  <c r="AG23" i="7" a="1"/>
  <c r="AG23" i="7" s="1"/>
  <c r="AF25" i="7" a="1"/>
  <c r="AF25" i="7" s="1"/>
  <c r="A12" i="6"/>
  <c r="V26" i="7" a="1"/>
  <c r="V26" i="7" s="1"/>
  <c r="W26" i="7" a="1"/>
  <c r="W26" i="7" s="1"/>
  <c r="V26" i="20" a="1"/>
  <c r="V26" i="20" s="1"/>
  <c r="W26" i="20" a="1"/>
  <c r="W26" i="20" s="1"/>
  <c r="AD26" i="7" a="1"/>
  <c r="AD26" i="7" s="1"/>
  <c r="Q26" i="8" s="1"/>
  <c r="R26" i="8" s="1" a="1"/>
  <c r="R26" i="8" s="1"/>
  <c r="S26" i="8" s="1" a="1"/>
  <c r="S26" i="8" s="1"/>
  <c r="T26" i="8" s="1" a="1"/>
  <c r="T26" i="8" s="1"/>
  <c r="U26" i="8" s="1" a="1"/>
  <c r="U26" i="8" s="1"/>
  <c r="AB91" i="11"/>
  <c r="AE69" i="4"/>
  <c r="I31" i="13" s="1" a="1"/>
  <c r="I31" i="13" s="1"/>
  <c r="AD69" i="4"/>
  <c r="H31" i="13" s="1" a="1"/>
  <c r="H31" i="13" s="1"/>
  <c r="AB76" i="11"/>
  <c r="AB93" i="11"/>
  <c r="J13" i="15"/>
  <c r="J24" i="15"/>
  <c r="AB74" i="11"/>
  <c r="AR73" i="20"/>
  <c r="AR88" i="20"/>
  <c r="AS22" i="20"/>
  <c r="AR71" i="20"/>
  <c r="AR77" i="20"/>
  <c r="AR100" i="20"/>
  <c r="AR34" i="20"/>
  <c r="AR108" i="20"/>
  <c r="AS20" i="20"/>
  <c r="AR40" i="20"/>
  <c r="AR47" i="20"/>
  <c r="AR91" i="20"/>
  <c r="AR31" i="20"/>
  <c r="AR95" i="20"/>
  <c r="AR83" i="20"/>
  <c r="AR96" i="20"/>
  <c r="AS52" i="20"/>
  <c r="AR21" i="20"/>
  <c r="AR36" i="20"/>
  <c r="AR82" i="20"/>
  <c r="AR42" i="20"/>
  <c r="AR51" i="20"/>
  <c r="AR104" i="20"/>
  <c r="AR23" i="20"/>
  <c r="AR57" i="20"/>
  <c r="AR64" i="20"/>
  <c r="AR72" i="20"/>
  <c r="AR78" i="20"/>
  <c r="AR87" i="20"/>
  <c r="AR99" i="20"/>
  <c r="AR66" i="20"/>
  <c r="AR39" i="20"/>
  <c r="AR92" i="20"/>
  <c r="AR24" i="20"/>
  <c r="AR46" i="20"/>
  <c r="AR63" i="20"/>
  <c r="AR107" i="20"/>
  <c r="AJ30" i="20"/>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69" i="11"/>
  <c r="J10" i="15"/>
  <c r="AF31" i="20" a="1"/>
  <c r="AF31" i="20" s="1"/>
  <c r="AF34" i="20" a="1"/>
  <c r="AF34" i="20" s="1"/>
  <c r="AF36" i="20" a="1"/>
  <c r="AF36" i="20" s="1"/>
  <c r="AF39" i="20" a="1"/>
  <c r="AF39" i="20" s="1"/>
  <c r="AF40" i="20" a="1"/>
  <c r="AF40" i="20" s="1"/>
  <c r="AF42" i="20" a="1"/>
  <c r="AF42" i="20" s="1"/>
  <c r="AF46" i="20" a="1"/>
  <c r="AF46" i="20" s="1"/>
  <c r="AF47" i="20" a="1"/>
  <c r="AF47" i="20" s="1"/>
  <c r="AF51" i="20" a="1"/>
  <c r="AF51" i="20" s="1"/>
  <c r="AJ57" i="20"/>
  <c r="AF57" i="20" a="1"/>
  <c r="AF57" i="20" s="1"/>
  <c r="AF63" i="20" a="1"/>
  <c r="AF63" i="20" s="1"/>
  <c r="AF64" i="20" a="1"/>
  <c r="AF64" i="20" s="1"/>
  <c r="AF66" i="20" a="1"/>
  <c r="AF66" i="20" s="1"/>
  <c r="AF71" i="20" a="1"/>
  <c r="AF71" i="20" s="1"/>
  <c r="AF72" i="20" a="1"/>
  <c r="AF72" i="20" s="1"/>
  <c r="AF73" i="20" a="1"/>
  <c r="AF73" i="20" s="1"/>
  <c r="AF77" i="20" a="1"/>
  <c r="AF77" i="20" s="1"/>
  <c r="AF78" i="20" a="1"/>
  <c r="AF78" i="20" s="1"/>
  <c r="AF82" i="20" a="1"/>
  <c r="AF82" i="20" s="1"/>
  <c r="AF83" i="20" a="1"/>
  <c r="AF83" i="20" s="1"/>
  <c r="AF87" i="20" a="1"/>
  <c r="AF87" i="20" s="1"/>
  <c r="AF88" i="20" a="1"/>
  <c r="AF88" i="20" s="1"/>
  <c r="AF91" i="20" a="1"/>
  <c r="AF91" i="20" s="1"/>
  <c r="AF92" i="20" a="1"/>
  <c r="AF92" i="20" s="1"/>
  <c r="AF95" i="20" a="1"/>
  <c r="AF95" i="20" s="1"/>
  <c r="AF96" i="20" a="1"/>
  <c r="AF96" i="20" s="1"/>
  <c r="AF99" i="20" a="1"/>
  <c r="AF99" i="20" s="1"/>
  <c r="AF100" i="20" a="1"/>
  <c r="AF100" i="20" s="1"/>
  <c r="AF104" i="20" a="1"/>
  <c r="AF104" i="20" s="1"/>
  <c r="AF107" i="20" a="1"/>
  <c r="AF107" i="20" s="1"/>
  <c r="AF108" i="20" a="1"/>
  <c r="AF108" i="20" s="1"/>
  <c r="AG52" i="20" a="1"/>
  <c r="AG52" i="20" s="1"/>
  <c r="AG22" i="20" a="1"/>
  <c r="AG22" i="20" s="1"/>
  <c r="AG20" i="20" a="1"/>
  <c r="AG20" i="20" s="1"/>
  <c r="AJ21" i="20"/>
  <c r="AF21" i="20" a="1"/>
  <c r="AF21" i="20" s="1"/>
  <c r="AJ23" i="20"/>
  <c r="AF23" i="20" a="1"/>
  <c r="AF23" i="20" s="1"/>
  <c r="AJ24" i="20"/>
  <c r="AF24" i="20" a="1"/>
  <c r="AF24" i="20" s="1"/>
  <c r="W72" i="4"/>
  <c r="X72" i="4" s="1"/>
  <c r="X73" i="4" s="1"/>
  <c r="O110" i="4"/>
  <c r="K110" i="4"/>
  <c r="N82" i="4"/>
  <c r="J82" i="4"/>
  <c r="AB109" i="11"/>
  <c r="AB107" i="11"/>
  <c r="J33" i="15"/>
  <c r="P27" i="3"/>
  <c r="P36" i="3"/>
  <c r="J113" i="4"/>
  <c r="K113" i="4" s="1"/>
  <c r="O130" i="4"/>
  <c r="K130" i="4"/>
  <c r="O59" i="4"/>
  <c r="O131" i="4" s="1"/>
  <c r="O132" i="4" s="1"/>
  <c r="O133" i="4" s="1"/>
  <c r="K59" i="4"/>
  <c r="N135" i="4"/>
  <c r="N134" i="4"/>
  <c r="AG44" i="3"/>
  <c r="E102" i="11"/>
  <c r="W73" i="8"/>
  <c r="P41" i="10"/>
  <c r="W47" i="8"/>
  <c r="AB129" i="4"/>
  <c r="F36" i="13" s="1" a="1"/>
  <c r="F36" i="13" s="1"/>
  <c r="W78" i="8"/>
  <c r="W42" i="8"/>
  <c r="AB115" i="4"/>
  <c r="F45" i="13" s="1" a="1"/>
  <c r="F45" i="13" s="1"/>
  <c r="AB114" i="4"/>
  <c r="F47" i="13" s="1" a="1"/>
  <c r="F47" i="13" s="1"/>
  <c r="W34" i="8"/>
  <c r="AB122" i="4"/>
  <c r="F18" i="13" s="1" a="1"/>
  <c r="F18" i="13" s="1"/>
  <c r="W64" i="8"/>
  <c r="AB110" i="4"/>
  <c r="F67" i="13" s="1" a="1"/>
  <c r="F67" i="13" s="1"/>
  <c r="W36" i="8"/>
  <c r="AB128" i="4"/>
  <c r="F25" i="13" s="1" a="1"/>
  <c r="F25" i="13" s="1"/>
  <c r="L116" i="4"/>
  <c r="Q116" i="4" s="1"/>
  <c r="P116" i="4"/>
  <c r="N127" i="4"/>
  <c r="J127" i="4"/>
  <c r="W23" i="8"/>
  <c r="W103" i="8"/>
  <c r="AB79" i="4"/>
  <c r="F79" i="13" s="1" a="1"/>
  <c r="F79" i="13" s="1"/>
  <c r="W83" i="8"/>
  <c r="W88" i="8"/>
  <c r="AB76" i="4"/>
  <c r="F76" i="13" s="1" a="1"/>
  <c r="F76" i="13" s="1"/>
  <c r="W108" i="8"/>
  <c r="AB80" i="4"/>
  <c r="F80" i="13" s="1" a="1"/>
  <c r="F80" i="13" s="1"/>
  <c r="W93" i="8"/>
  <c r="AB77" i="4"/>
  <c r="F77" i="13" s="1" a="1"/>
  <c r="F77" i="13" s="1"/>
  <c r="W98" i="8"/>
  <c r="AB78" i="4"/>
  <c r="F78" i="13" s="1" a="1"/>
  <c r="F78" i="13" s="1"/>
  <c r="E88" i="9"/>
  <c r="AE65" i="4"/>
  <c r="I27" i="13" s="1" a="1"/>
  <c r="I27" i="13" s="1"/>
  <c r="X22" i="8"/>
  <c r="W24" i="8"/>
  <c r="AC129" i="4"/>
  <c r="G36" i="13" s="1" a="1"/>
  <c r="G36" i="13" s="1"/>
  <c r="AC73" i="4"/>
  <c r="AC81" i="4"/>
  <c r="G81" i="13" s="1" a="1"/>
  <c r="G81" i="13" s="1"/>
  <c r="W40" i="8"/>
  <c r="AC116" i="4"/>
  <c r="G46" i="13" s="1" a="1"/>
  <c r="G46" i="13" s="1"/>
  <c r="AC78" i="4"/>
  <c r="G78" i="13" s="1" a="1"/>
  <c r="G78" i="13" s="1"/>
  <c r="AC108" i="4"/>
  <c r="G65" i="13" s="1" a="1"/>
  <c r="G65" i="13" s="1"/>
  <c r="X30" i="8"/>
  <c r="AC122" i="4"/>
  <c r="G18" i="13" s="1" a="1"/>
  <c r="G18" i="13" s="1"/>
  <c r="W72" i="8"/>
  <c r="AC72" i="4"/>
  <c r="G72" i="13" s="1" a="1"/>
  <c r="G72" i="13" s="1"/>
  <c r="G73" i="13" s="1"/>
  <c r="W66" i="8"/>
  <c r="AC75" i="4"/>
  <c r="G75" i="13" s="1" a="1"/>
  <c r="G75" i="13" s="1"/>
  <c r="AC66" i="4"/>
  <c r="G30" i="13" s="1" a="1"/>
  <c r="G30" i="13" s="1"/>
  <c r="W30" i="8"/>
  <c r="AC77" i="4"/>
  <c r="G77" i="13" s="1" a="1"/>
  <c r="G77" i="13" s="1"/>
  <c r="AC68" i="4"/>
  <c r="G34" i="13" s="1" a="1"/>
  <c r="G34" i="13" s="1"/>
  <c r="W21" i="8"/>
  <c r="AC74" i="4"/>
  <c r="G74" i="13" s="1" a="1"/>
  <c r="G74" i="13" s="1"/>
  <c r="AC64" i="4"/>
  <c r="G29" i="13" s="1" a="1"/>
  <c r="G29" i="13" s="1"/>
  <c r="AC80" i="4"/>
  <c r="G80" i="13" s="1" a="1"/>
  <c r="G80" i="13" s="1"/>
  <c r="W51" i="8"/>
  <c r="AC110" i="4"/>
  <c r="G67" i="13" s="1" a="1"/>
  <c r="G67" i="13" s="1"/>
  <c r="AD67" i="4"/>
  <c r="H28" i="13" s="1" a="1"/>
  <c r="H28" i="13" s="1"/>
  <c r="AC79" i="4"/>
  <c r="G79" i="13" s="1" a="1"/>
  <c r="G79" i="13" s="1"/>
  <c r="AC124" i="4"/>
  <c r="G19" i="13" s="1" a="1"/>
  <c r="G19" i="13" s="1"/>
  <c r="W31" i="8"/>
  <c r="W46" i="8"/>
  <c r="AC128" i="4"/>
  <c r="G25" i="13" s="1" a="1"/>
  <c r="G25" i="13" s="1"/>
  <c r="AC76" i="4"/>
  <c r="G76" i="13" s="1" a="1"/>
  <c r="G76" i="13" s="1"/>
  <c r="W113" i="8"/>
  <c r="Z116" i="7"/>
  <c r="AS91" i="7"/>
  <c r="AS77" i="7"/>
  <c r="AU57" i="7"/>
  <c r="AS107" i="7"/>
  <c r="AT39" i="7"/>
  <c r="AS71" i="7"/>
  <c r="AS87" i="7"/>
  <c r="AH21" i="7" a="1"/>
  <c r="AH21" i="7" s="1"/>
  <c r="AU21" i="7"/>
  <c r="AB28" i="7" a="1"/>
  <c r="AB28" i="7" s="1"/>
  <c r="AB23" i="7" a="1"/>
  <c r="AB23" i="7" s="1"/>
  <c r="AB22" i="7" a="1"/>
  <c r="AB22" i="7" s="1"/>
  <c r="AB21" i="7" a="1"/>
  <c r="AB21" i="7" s="1"/>
  <c r="AB29" i="7" a="1"/>
  <c r="AB29" i="7" s="1"/>
  <c r="AB26" i="7" a="1"/>
  <c r="AB26" i="7" s="1"/>
  <c r="AB25" i="7" a="1"/>
  <c r="AB25" i="7" s="1"/>
  <c r="AB24" i="7" a="1"/>
  <c r="AB24" i="7" s="1"/>
  <c r="AB20" i="7" a="1"/>
  <c r="AB20" i="7" s="1"/>
  <c r="AB27" i="7" a="1"/>
  <c r="AB27" i="7" s="1"/>
  <c r="AG87" i="7" a="1"/>
  <c r="AG87" i="7" s="1"/>
  <c r="AG77" i="7" a="1"/>
  <c r="AG77" i="7" s="1"/>
  <c r="W121" i="4"/>
  <c r="X121" i="4" s="1"/>
  <c r="W122" i="4"/>
  <c r="X122" i="4" s="1"/>
  <c r="AK57" i="7"/>
  <c r="AG107" i="7" a="1"/>
  <c r="AG107" i="7" s="1"/>
  <c r="W127" i="4"/>
  <c r="X127" i="4" s="1"/>
  <c r="W124" i="4"/>
  <c r="X124" i="4" s="1"/>
  <c r="X27" i="8"/>
  <c r="AG71" i="7" a="1"/>
  <c r="AG71" i="7" s="1"/>
  <c r="AH39" i="7" a="1"/>
  <c r="AH39" i="7" s="1"/>
  <c r="AE59" i="4"/>
  <c r="I39" i="13" s="1" a="1"/>
  <c r="I39" i="13" s="1"/>
  <c r="W114" i="4"/>
  <c r="X114" i="4" s="1"/>
  <c r="AG91" i="7" a="1"/>
  <c r="AG91"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O43" i="13" s="1" a="1"/>
  <c r="O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O56" i="13" s="1" a="1"/>
  <c r="O56" i="13" s="1"/>
  <c r="O109" i="4"/>
  <c r="K109" i="4"/>
  <c r="P28" i="3"/>
  <c r="AD28" i="3"/>
  <c r="N121" i="4"/>
  <c r="J121" i="4"/>
  <c r="R83" i="4"/>
  <c r="M100" i="4"/>
  <c r="H122" i="3"/>
  <c r="Q86" i="4"/>
  <c r="L103" i="4"/>
  <c r="Q103" i="4" s="1"/>
  <c r="K77" i="4"/>
  <c r="O77" i="4"/>
  <c r="AR25" i="20" a="1"/>
  <c r="AR26" i="7" a="1"/>
  <c r="AS73" i="20" a="1"/>
  <c r="AT87" i="7" a="1"/>
  <c r="AS96" i="20" a="1"/>
  <c r="AS31" i="20" a="1"/>
  <c r="AS99" i="20" a="1"/>
  <c r="AS66" i="20" a="1"/>
  <c r="AT20" i="20" a="1"/>
  <c r="AS88" i="20" a="1"/>
  <c r="AV57" i="7" a="1"/>
  <c r="AS21" i="20" a="1"/>
  <c r="AS42" i="20" a="1"/>
  <c r="AS40" i="20" a="1"/>
  <c r="AS71" i="20" a="1"/>
  <c r="AT52" i="20" a="1"/>
  <c r="AS92" i="20" a="1"/>
  <c r="AS83" i="20" a="1"/>
  <c r="AS47" i="20" a="1"/>
  <c r="AS34" i="20" a="1"/>
  <c r="AS39" i="20" a="1"/>
  <c r="AS87" i="20" a="1"/>
  <c r="AS91" i="20" a="1"/>
  <c r="AS51" i="20" a="1"/>
  <c r="AS57" i="20" a="1"/>
  <c r="AS63" i="20" a="1"/>
  <c r="AS78" i="20" a="1"/>
  <c r="AS104" i="20" a="1"/>
  <c r="AS24" i="20" a="1"/>
  <c r="AT91" i="7" a="1"/>
  <c r="AS23" i="20" a="1"/>
  <c r="AT77" i="7" a="1"/>
  <c r="AS82" i="20" a="1"/>
  <c r="AT22" i="20" a="1"/>
  <c r="AS77" i="20" a="1"/>
  <c r="AS64" i="20" a="1"/>
  <c r="AS100" i="20" a="1"/>
  <c r="AS108" i="20" a="1"/>
  <c r="AT71" i="7" a="1"/>
  <c r="AS95" i="20" a="1"/>
  <c r="AT107" i="7" a="1"/>
  <c r="AS107" i="20" a="1"/>
  <c r="AS36" i="20" a="1"/>
  <c r="AU39" i="7" a="1"/>
  <c r="AS46" i="20" a="1"/>
  <c r="AS72" i="20" a="1"/>
  <c r="AB84" i="11" l="1"/>
  <c r="AB95" i="11"/>
  <c r="AJ25" i="7"/>
  <c r="AT24" i="7"/>
  <c r="AG24" i="7" a="1"/>
  <c r="AG24" i="7" s="1"/>
  <c r="AR25" i="20"/>
  <c r="AE25" i="20" a="1"/>
  <c r="AE25" i="20" s="1"/>
  <c r="AR26" i="7"/>
  <c r="AE26" i="7" a="1"/>
  <c r="AE26" i="7" s="1"/>
  <c r="AJ26" i="7" s="1"/>
  <c r="AD26" i="20"/>
  <c r="A13" i="6"/>
  <c r="AU22" i="7"/>
  <c r="AH22" i="7" a="1"/>
  <c r="AH22" i="7" s="1"/>
  <c r="AT25" i="7"/>
  <c r="AG25" i="7" a="1"/>
  <c r="AG25" i="7" s="1"/>
  <c r="AH23" i="7" a="1"/>
  <c r="AH23" i="7" s="1"/>
  <c r="AU23" i="7"/>
  <c r="AU20" i="7"/>
  <c r="AH20" i="7" a="1"/>
  <c r="AH20" i="7" s="1"/>
  <c r="W73" i="4"/>
  <c r="AT52" i="20"/>
  <c r="AS99" i="20"/>
  <c r="AS87" i="20"/>
  <c r="AS78" i="20"/>
  <c r="AS72" i="20"/>
  <c r="AS64" i="20"/>
  <c r="AS63" i="20"/>
  <c r="AS21" i="20"/>
  <c r="AS108" i="20"/>
  <c r="AS96" i="20"/>
  <c r="AS83" i="20"/>
  <c r="AS57" i="20"/>
  <c r="AS100" i="20"/>
  <c r="AS91" i="20"/>
  <c r="AT20" i="20"/>
  <c r="AS51" i="20"/>
  <c r="AS42" i="20"/>
  <c r="AS39" i="20"/>
  <c r="AS46" i="20"/>
  <c r="AS88" i="20"/>
  <c r="AT22" i="20"/>
  <c r="AS47" i="20"/>
  <c r="AS40" i="20"/>
  <c r="AS36" i="20"/>
  <c r="AS24" i="20"/>
  <c r="AS107" i="20"/>
  <c r="AS95" i="20"/>
  <c r="AS77" i="20"/>
  <c r="AS71" i="20"/>
  <c r="AS34" i="20"/>
  <c r="AS104" i="20"/>
  <c r="AS92" i="20"/>
  <c r="AS82" i="20"/>
  <c r="AS73" i="20"/>
  <c r="AS66" i="20"/>
  <c r="AS23" i="20"/>
  <c r="AS31" i="20"/>
  <c r="AG24" i="20" a="1"/>
  <c r="AG24" i="20" s="1"/>
  <c r="AG23" i="20" a="1"/>
  <c r="AG23" i="20" s="1"/>
  <c r="AG21" i="20" a="1"/>
  <c r="AG21" i="20" s="1"/>
  <c r="AH20" i="20" a="1"/>
  <c r="AH20" i="20" s="1"/>
  <c r="AH22" i="20" a="1"/>
  <c r="AH22" i="20" s="1"/>
  <c r="AH52" i="20" a="1"/>
  <c r="AH52" i="20" s="1"/>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63" i="20" a="1"/>
  <c r="AG63" i="20" s="1"/>
  <c r="AG57" i="20" a="1"/>
  <c r="AG57"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W132" i="4"/>
  <c r="AC115" i="4"/>
  <c r="G45" i="13" s="1" a="1"/>
  <c r="G45" i="13" s="1"/>
  <c r="AC114" i="4"/>
  <c r="G47" i="13" s="1" a="1"/>
  <c r="G47" i="13" s="1"/>
  <c r="L113" i="4"/>
  <c r="Q113" i="4" s="1"/>
  <c r="P113" i="4"/>
  <c r="O127" i="4"/>
  <c r="K127" i="4"/>
  <c r="AD45" i="3"/>
  <c r="AE46" i="3" s="1"/>
  <c r="AD77" i="4"/>
  <c r="H77" i="13" s="1" a="1"/>
  <c r="H77" i="13" s="1"/>
  <c r="AD122" i="4"/>
  <c r="H18" i="13" s="1" a="1"/>
  <c r="H18" i="13" s="1"/>
  <c r="AD110" i="4"/>
  <c r="H67" i="13" s="1" a="1"/>
  <c r="H67" i="13" s="1"/>
  <c r="AD78" i="4"/>
  <c r="H78" i="13" s="1" a="1"/>
  <c r="H78" i="13" s="1"/>
  <c r="AD66" i="4"/>
  <c r="H30" i="13" s="1" a="1"/>
  <c r="H30" i="13" s="1"/>
  <c r="AD75" i="4"/>
  <c r="H75" i="13" s="1" a="1"/>
  <c r="H75" i="13" s="1"/>
  <c r="AD124" i="4"/>
  <c r="H19" i="13" s="1" a="1"/>
  <c r="H19" i="13" s="1"/>
  <c r="AD116" i="4"/>
  <c r="H46" i="13" s="1" a="1"/>
  <c r="H46" i="13" s="1"/>
  <c r="AD129" i="4"/>
  <c r="H36" i="13" s="1" a="1"/>
  <c r="H36" i="13" s="1"/>
  <c r="AD79" i="4"/>
  <c r="H79" i="13" s="1" a="1"/>
  <c r="H79" i="13" s="1"/>
  <c r="AD72" i="4"/>
  <c r="H72" i="13" s="1" a="1"/>
  <c r="H72" i="13" s="1"/>
  <c r="H73" i="13" s="1"/>
  <c r="AD108" i="4"/>
  <c r="H65" i="13" s="1" a="1"/>
  <c r="H65" i="13" s="1"/>
  <c r="AD64" i="4"/>
  <c r="H29" i="13" s="1" a="1"/>
  <c r="H29" i="13" s="1"/>
  <c r="AE67" i="4"/>
  <c r="I28" i="13" s="1" a="1"/>
  <c r="I28" i="13" s="1"/>
  <c r="AD74" i="4"/>
  <c r="H74" i="13" s="1" a="1"/>
  <c r="H74" i="13" s="1"/>
  <c r="AD81" i="4"/>
  <c r="H81" i="13" s="1" a="1"/>
  <c r="H81" i="13" s="1"/>
  <c r="AD80" i="4"/>
  <c r="H80" i="13" s="1" a="1"/>
  <c r="H80" i="13" s="1"/>
  <c r="AD128" i="4"/>
  <c r="H25" i="13" s="1" a="1"/>
  <c r="H25" i="13" s="1"/>
  <c r="AD76" i="4"/>
  <c r="H76" i="13" s="1" a="1"/>
  <c r="H76" i="13" s="1"/>
  <c r="AD68" i="4"/>
  <c r="H34" i="13" s="1" a="1"/>
  <c r="H34" i="13" s="1"/>
  <c r="AD73" i="4"/>
  <c r="AT91" i="7"/>
  <c r="AT87" i="7"/>
  <c r="AV57" i="7"/>
  <c r="AT107" i="7"/>
  <c r="AT77" i="7"/>
  <c r="AT71" i="7"/>
  <c r="AU39" i="7"/>
  <c r="AH71" i="7" a="1"/>
  <c r="AH71" i="7" s="1"/>
  <c r="AH91" i="7" a="1"/>
  <c r="AH91" i="7" s="1"/>
  <c r="AH87" i="7" a="1"/>
  <c r="AH87" i="7" s="1"/>
  <c r="AV21" i="7"/>
  <c r="AK21" i="7"/>
  <c r="AH107" i="7" a="1"/>
  <c r="AH107" i="7" s="1"/>
  <c r="AH77" i="7" a="1"/>
  <c r="AH77" i="7" s="1"/>
  <c r="AA116" i="7"/>
  <c r="X52" i="8"/>
  <c r="AK39" i="7"/>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S25" i="20" a="1"/>
  <c r="AR26" i="20" a="1"/>
  <c r="AT88" i="20" a="1"/>
  <c r="AU22" i="20" a="1"/>
  <c r="AU91" i="7" a="1"/>
  <c r="AT95" i="20" a="1"/>
  <c r="AT47" i="20" a="1"/>
  <c r="AT36" i="20" a="1"/>
  <c r="AT72" i="20" a="1"/>
  <c r="AT51" i="20" a="1"/>
  <c r="AT87" i="20" a="1"/>
  <c r="AU77" i="7" a="1"/>
  <c r="AT78" i="20" a="1"/>
  <c r="AT77" i="20" a="1"/>
  <c r="AT99" i="20" a="1"/>
  <c r="AT21" i="20" a="1"/>
  <c r="AT57" i="20" a="1"/>
  <c r="AT104" i="20" a="1"/>
  <c r="AT34" i="20" a="1"/>
  <c r="AU87" i="7" a="1"/>
  <c r="AU20" i="20" a="1"/>
  <c r="AT82" i="20" a="1"/>
  <c r="AT107" i="20" a="1"/>
  <c r="AT92" i="20" a="1"/>
  <c r="AU71" i="7" a="1"/>
  <c r="AV39" i="7" a="1"/>
  <c r="AT31" i="20" a="1"/>
  <c r="AT83" i="20" a="1"/>
  <c r="AT96" i="20" a="1"/>
  <c r="AT63" i="20" a="1"/>
  <c r="AT39" i="20" a="1"/>
  <c r="AT71" i="20" a="1"/>
  <c r="AT24" i="20" a="1"/>
  <c r="AT46" i="20" a="1"/>
  <c r="AU107" i="7" a="1"/>
  <c r="AT23" i="20" a="1"/>
  <c r="AT91" i="20" a="1"/>
  <c r="AT108" i="20" a="1"/>
  <c r="AT40" i="20" a="1"/>
  <c r="AT73" i="20" a="1"/>
  <c r="AT42" i="20" a="1"/>
  <c r="AT100" i="20" a="1"/>
  <c r="AU52" i="20" a="1"/>
  <c r="AT64" i="20" a="1"/>
  <c r="AT66" i="20" a="1"/>
  <c r="AU24" i="7" l="1"/>
  <c r="AH24" i="7" a="1"/>
  <c r="AH24" i="7" s="1"/>
  <c r="AS25" i="20"/>
  <c r="AJ25" i="20"/>
  <c r="AF25" i="20" a="1"/>
  <c r="AF25" i="20" s="1"/>
  <c r="W25" i="8"/>
  <c r="AR26" i="20"/>
  <c r="AV20" i="7"/>
  <c r="AK20" i="7"/>
  <c r="AH25" i="7" a="1"/>
  <c r="AH25" i="7" s="1"/>
  <c r="AU25" i="7"/>
  <c r="AV23" i="7"/>
  <c r="AK23" i="7"/>
  <c r="AV22" i="7"/>
  <c r="AK22" i="7"/>
  <c r="A14" i="6"/>
  <c r="V27" i="7" s="1" a="1"/>
  <c r="V27" i="7" s="1"/>
  <c r="V116" i="7" s="1"/>
  <c r="AE26" i="20" a="1"/>
  <c r="AE26" i="20" s="1"/>
  <c r="AJ26" i="20" s="1"/>
  <c r="AS26" i="7"/>
  <c r="AF26" i="7" a="1"/>
  <c r="AF26" i="7" s="1"/>
  <c r="AT96" i="20"/>
  <c r="AT31" i="20"/>
  <c r="AT46" i="20"/>
  <c r="AT66" i="20"/>
  <c r="AT100" i="20"/>
  <c r="AT24" i="20"/>
  <c r="AT51" i="20"/>
  <c r="AT72" i="20"/>
  <c r="AT92" i="20"/>
  <c r="AT99" i="20"/>
  <c r="AT34" i="20"/>
  <c r="AT71" i="20"/>
  <c r="AT57" i="20"/>
  <c r="AT73" i="20"/>
  <c r="AT88" i="20"/>
  <c r="AT95" i="20"/>
  <c r="AT36" i="20"/>
  <c r="AT78" i="20"/>
  <c r="AU22" i="20"/>
  <c r="AT63" i="20"/>
  <c r="AT77" i="20"/>
  <c r="AT83" i="20"/>
  <c r="AT91" i="20"/>
  <c r="AT47" i="20"/>
  <c r="AT39" i="20"/>
  <c r="AT82" i="20"/>
  <c r="AT108" i="20"/>
  <c r="AU20" i="20"/>
  <c r="AT87" i="20"/>
  <c r="AT40" i="20"/>
  <c r="AT104" i="20"/>
  <c r="AU52" i="20"/>
  <c r="AT21" i="20"/>
  <c r="AT42" i="20"/>
  <c r="AT64" i="20"/>
  <c r="AT107" i="20"/>
  <c r="AT23" i="20"/>
  <c r="AT42" i="4"/>
  <c r="AU42" i="4" s="1"/>
  <c r="Q79" i="11" a="1"/>
  <c r="Q79" i="11" s="1"/>
  <c r="M112" i="10"/>
  <c r="L80" i="10"/>
  <c r="L116" i="10"/>
  <c r="N116" i="10" s="1"/>
  <c r="L118" i="10"/>
  <c r="K112" i="10"/>
  <c r="L114" i="10"/>
  <c r="N114" i="10" s="1"/>
  <c r="M109" i="10"/>
  <c r="K109" i="10" s="1"/>
  <c r="M79" i="10"/>
  <c r="M78" i="10"/>
  <c r="AH31" i="20" a="1"/>
  <c r="AH31" i="20" s="1"/>
  <c r="AH34" i="20" a="1"/>
  <c r="AH34" i="20" s="1"/>
  <c r="AH36" i="20" a="1"/>
  <c r="AH36" i="20" s="1"/>
  <c r="AH39" i="20" a="1"/>
  <c r="AH39" i="20" s="1"/>
  <c r="AH40" i="20" a="1"/>
  <c r="AH40" i="20" s="1"/>
  <c r="AH42" i="20" a="1"/>
  <c r="AH42" i="20" s="1"/>
  <c r="AH46" i="20" a="1"/>
  <c r="AH46" i="20" s="1"/>
  <c r="AH47" i="20" a="1"/>
  <c r="AH47" i="20" s="1"/>
  <c r="AH51" i="20" a="1"/>
  <c r="AH51" i="20" s="1"/>
  <c r="AH57" i="20" a="1"/>
  <c r="AH57" i="20" s="1"/>
  <c r="AH63" i="20" a="1"/>
  <c r="AH63"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AK52" i="20"/>
  <c r="AK22" i="20"/>
  <c r="AN20" i="20"/>
  <c r="AK20" i="20"/>
  <c r="AH21" i="20" a="1"/>
  <c r="AH21" i="20" s="1"/>
  <c r="AH23" i="20" a="1"/>
  <c r="AH23" i="20" s="1"/>
  <c r="AH24" i="20" a="1"/>
  <c r="AH24" i="20" s="1"/>
  <c r="P16" i="10"/>
  <c r="S16" i="10" s="1"/>
  <c r="Q18" i="10"/>
  <c r="Q22" i="10"/>
  <c r="Q23" i="10"/>
  <c r="Q20" i="10"/>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F88" i="9"/>
  <c r="AD115" i="4"/>
  <c r="H45" i="13" s="1" a="1"/>
  <c r="H45" i="13" s="1"/>
  <c r="AD114" i="4"/>
  <c r="H47" i="13" s="1" a="1"/>
  <c r="H47" i="13" s="1"/>
  <c r="L127" i="4"/>
  <c r="Q127" i="4" s="1"/>
  <c r="P127" i="4"/>
  <c r="AE116" i="4"/>
  <c r="I46" i="13" s="1" a="1"/>
  <c r="I46" i="13" s="1"/>
  <c r="AE122" i="4"/>
  <c r="I18" i="13" s="1" a="1"/>
  <c r="I18" i="13" s="1"/>
  <c r="AE108" i="4"/>
  <c r="I65" i="13" s="1" a="1"/>
  <c r="I65" i="13" s="1"/>
  <c r="AE77" i="4"/>
  <c r="I77" i="13" s="1" a="1"/>
  <c r="I77" i="13" s="1"/>
  <c r="AE73" i="4"/>
  <c r="AE72" i="4"/>
  <c r="I72" i="13" s="1" a="1"/>
  <c r="I72" i="13" s="1"/>
  <c r="I73" i="13" s="1"/>
  <c r="AE76" i="4"/>
  <c r="I76" i="13" s="1" a="1"/>
  <c r="I76" i="13" s="1"/>
  <c r="AE81" i="4"/>
  <c r="I81" i="13" s="1" a="1"/>
  <c r="I81" i="13" s="1"/>
  <c r="AE128" i="4"/>
  <c r="I25" i="13" s="1" a="1"/>
  <c r="I25" i="13" s="1"/>
  <c r="AE74" i="4"/>
  <c r="I74" i="13" s="1" a="1"/>
  <c r="I74" i="13" s="1"/>
  <c r="AE124" i="4"/>
  <c r="I19" i="13" s="1" a="1"/>
  <c r="I19" i="13" s="1"/>
  <c r="AE78" i="4"/>
  <c r="I78" i="13" s="1" a="1"/>
  <c r="I78" i="13" s="1"/>
  <c r="AE110" i="4"/>
  <c r="I67" i="13" s="1" a="1"/>
  <c r="I67" i="13" s="1"/>
  <c r="AE79" i="4"/>
  <c r="I79" i="13" s="1" a="1"/>
  <c r="I79" i="13" s="1"/>
  <c r="X20" i="8"/>
  <c r="AA20" i="8"/>
  <c r="AE66" i="4"/>
  <c r="I30" i="13" s="1" a="1"/>
  <c r="I30" i="13" s="1"/>
  <c r="AE64" i="4"/>
  <c r="I29" i="13" s="1" a="1"/>
  <c r="I29" i="13" s="1"/>
  <c r="AE80" i="4"/>
  <c r="I80" i="13" s="1" a="1"/>
  <c r="I80" i="13" s="1"/>
  <c r="AE68" i="4"/>
  <c r="I34" i="13" s="1" a="1"/>
  <c r="I34" i="13" s="1"/>
  <c r="AE129" i="4"/>
  <c r="I36" i="13" s="1" a="1"/>
  <c r="I36" i="13" s="1"/>
  <c r="AE75" i="4"/>
  <c r="I75" i="13" s="1" a="1"/>
  <c r="I75" i="13" s="1"/>
  <c r="AU107" i="7"/>
  <c r="AV39" i="7"/>
  <c r="AU77" i="7"/>
  <c r="AU87" i="7"/>
  <c r="AU71" i="7"/>
  <c r="AU91" i="7"/>
  <c r="AL42" i="3"/>
  <c r="AK71" i="7"/>
  <c r="AK87" i="7"/>
  <c r="AK91" i="7"/>
  <c r="AK77" i="7"/>
  <c r="AK107"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T25" i="20" a="1"/>
  <c r="AS26" i="20" a="1"/>
  <c r="AU47" i="20" a="1"/>
  <c r="AU77" i="20" a="1"/>
  <c r="AV71" i="7" a="1"/>
  <c r="AU71" i="20" a="1"/>
  <c r="AV22" i="20" a="1"/>
  <c r="AU99" i="20" a="1"/>
  <c r="AU66" i="20" a="1"/>
  <c r="AV20" i="20" a="1"/>
  <c r="AU92" i="20" a="1"/>
  <c r="AU46" i="20" a="1"/>
  <c r="AU23" i="20" a="1"/>
  <c r="AU34" i="20" a="1"/>
  <c r="AU36" i="20" a="1"/>
  <c r="AU39" i="20" a="1"/>
  <c r="AU24" i="20" a="1"/>
  <c r="AU57" i="20" a="1"/>
  <c r="AU82" i="20" a="1"/>
  <c r="AV91" i="7" a="1"/>
  <c r="AU42" i="20" a="1"/>
  <c r="AU64" i="20" a="1"/>
  <c r="AU88" i="20" a="1"/>
  <c r="AU87" i="20" a="1"/>
  <c r="AV77" i="7" a="1"/>
  <c r="AU83" i="20" a="1"/>
  <c r="AU91" i="20" a="1"/>
  <c r="AU104" i="20" a="1"/>
  <c r="AU72" i="20" a="1"/>
  <c r="AU51" i="20" a="1"/>
  <c r="AU21" i="20" a="1"/>
  <c r="AU95" i="20" a="1"/>
  <c r="AU63" i="20" a="1"/>
  <c r="AU31" i="20" a="1"/>
  <c r="AU100" i="20" a="1"/>
  <c r="AV87" i="7" a="1"/>
  <c r="AU78" i="20" a="1"/>
  <c r="AU40" i="20" a="1"/>
  <c r="AU96" i="20" a="1"/>
  <c r="AU107" i="20" a="1"/>
  <c r="AU108" i="20" a="1"/>
  <c r="AV52" i="20" a="1"/>
  <c r="AV107" i="7" a="1"/>
  <c r="AU73" i="20" a="1"/>
  <c r="X27" i="7" l="1" a="1"/>
  <c r="X27" i="7" s="1"/>
  <c r="AV24" i="7"/>
  <c r="AK24" i="7"/>
  <c r="X27" i="20" a="1"/>
  <c r="X27" i="20" s="1"/>
  <c r="AT25" i="20"/>
  <c r="W26" i="8"/>
  <c r="AG25" i="20" a="1"/>
  <c r="AG25" i="20" s="1"/>
  <c r="AS26" i="20"/>
  <c r="AF26" i="20" a="1"/>
  <c r="AF26" i="20" s="1"/>
  <c r="AV25" i="7"/>
  <c r="AK25" i="7"/>
  <c r="AT26" i="7"/>
  <c r="AG26" i="7" a="1"/>
  <c r="AG26" i="7" s="1"/>
  <c r="A15" i="6"/>
  <c r="W28" i="7" s="1" a="1"/>
  <c r="W28" i="7" s="1"/>
  <c r="W27" i="7" a="1"/>
  <c r="W27" i="7" s="1"/>
  <c r="W27" i="20" a="1"/>
  <c r="W27" i="20" s="1"/>
  <c r="V27" i="20" a="1"/>
  <c r="V27" i="20" s="1"/>
  <c r="V116" i="20" s="1"/>
  <c r="AD27" i="7" a="1"/>
  <c r="AD27" i="7" s="1"/>
  <c r="AU95" i="20"/>
  <c r="AU23" i="20"/>
  <c r="AU34" i="20"/>
  <c r="AU104" i="20"/>
  <c r="AU92" i="20"/>
  <c r="AU82" i="20"/>
  <c r="AU73" i="20"/>
  <c r="AU66" i="20"/>
  <c r="AU31" i="20"/>
  <c r="AU107" i="20"/>
  <c r="AU71" i="20"/>
  <c r="AU21" i="20"/>
  <c r="AU77" i="20"/>
  <c r="AU99" i="20"/>
  <c r="AU87" i="20"/>
  <c r="AU78" i="20"/>
  <c r="AU72" i="20"/>
  <c r="AU64" i="20"/>
  <c r="AU63" i="20"/>
  <c r="AV52" i="20"/>
  <c r="AV20" i="20"/>
  <c r="AU108" i="20"/>
  <c r="AU96" i="20"/>
  <c r="AU83" i="20"/>
  <c r="AU57" i="20"/>
  <c r="AU46" i="20"/>
  <c r="AU100" i="20"/>
  <c r="AU91" i="20"/>
  <c r="AU51" i="20"/>
  <c r="AU42" i="20"/>
  <c r="AU39" i="20"/>
  <c r="AV22" i="20"/>
  <c r="AU88" i="20"/>
  <c r="AU47" i="20"/>
  <c r="AU40" i="20"/>
  <c r="AU36" i="20"/>
  <c r="AU24" i="20"/>
  <c r="AK24" i="20"/>
  <c r="AK23" i="20"/>
  <c r="AK21" i="20"/>
  <c r="AK108" i="20"/>
  <c r="AK107" i="20"/>
  <c r="AK104" i="20"/>
  <c r="AK100" i="20"/>
  <c r="AK99" i="20"/>
  <c r="AK96" i="20"/>
  <c r="AK95" i="20"/>
  <c r="AK92" i="20"/>
  <c r="AK91" i="20"/>
  <c r="AK88" i="20"/>
  <c r="AK87" i="20"/>
  <c r="AK83" i="20"/>
  <c r="AK82" i="20"/>
  <c r="AK78" i="20"/>
  <c r="AK77" i="20"/>
  <c r="AK73" i="20"/>
  <c r="AK72" i="20"/>
  <c r="AK71" i="20"/>
  <c r="AK66" i="20"/>
  <c r="AK64" i="20"/>
  <c r="AK63" i="20"/>
  <c r="AK57" i="20"/>
  <c r="AK51" i="20"/>
  <c r="AK47" i="20"/>
  <c r="AK46" i="20"/>
  <c r="AK42" i="20"/>
  <c r="AK40" i="20"/>
  <c r="AK39" i="20"/>
  <c r="AK36" i="20"/>
  <c r="AK34" i="20"/>
  <c r="AK31" i="20"/>
  <c r="L109" i="10"/>
  <c r="K111" i="10"/>
  <c r="K107" i="10"/>
  <c r="L110" i="10"/>
  <c r="K115" i="10"/>
  <c r="L115" i="10" s="1"/>
  <c r="L113" i="10"/>
  <c r="L112" i="10"/>
  <c r="N112" i="10" s="1"/>
  <c r="M77" i="10"/>
  <c r="M108" i="10"/>
  <c r="AK42" i="4"/>
  <c r="R79" i="11" s="1" a="1"/>
  <c r="R79" i="11" s="1"/>
  <c r="AV42" i="4"/>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G88" i="9"/>
  <c r="AE115" i="4"/>
  <c r="I45" i="13" s="1" a="1"/>
  <c r="I45" i="13" s="1"/>
  <c r="AE114" i="4"/>
  <c r="I47" i="13" s="1" a="1"/>
  <c r="I47" i="13" s="1"/>
  <c r="X39" i="8"/>
  <c r="X36" i="8"/>
  <c r="X21" i="8"/>
  <c r="X77" i="8"/>
  <c r="X25" i="8"/>
  <c r="X103" i="8"/>
  <c r="X34" i="8"/>
  <c r="X102" i="8"/>
  <c r="X92" i="8"/>
  <c r="X97" i="8"/>
  <c r="X26" i="8"/>
  <c r="X87" i="8"/>
  <c r="M78" i="3"/>
  <c r="X66" i="8"/>
  <c r="X71" i="8"/>
  <c r="X72" i="8"/>
  <c r="X64" i="8"/>
  <c r="X42" i="8"/>
  <c r="X40" i="8"/>
  <c r="X24" i="8"/>
  <c r="X98" i="8"/>
  <c r="X73" i="8"/>
  <c r="X113" i="8"/>
  <c r="X93" i="8"/>
  <c r="X63" i="8"/>
  <c r="X31" i="8"/>
  <c r="X88" i="8"/>
  <c r="X112" i="8"/>
  <c r="X82" i="8"/>
  <c r="X83" i="8"/>
  <c r="X108" i="8"/>
  <c r="X51" i="8"/>
  <c r="X57" i="8"/>
  <c r="X47" i="8"/>
  <c r="X23" i="8"/>
  <c r="X46" i="8"/>
  <c r="X78" i="8"/>
  <c r="AV71" i="7"/>
  <c r="AV91" i="7"/>
  <c r="AV107" i="7"/>
  <c r="AV87" i="7"/>
  <c r="AV77" i="7"/>
  <c r="X118" i="4"/>
  <c r="K115" i="3"/>
  <c r="L115" i="3" s="1"/>
  <c r="L112" i="3"/>
  <c r="N112" i="3" s="1"/>
  <c r="L113" i="3"/>
  <c r="AB137" i="4"/>
  <c r="F61" i="13" s="1" a="1"/>
  <c r="F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AU25" i="20" a="1"/>
  <c r="AT26" i="20" a="1"/>
  <c r="AR27" i="7" a="1"/>
  <c r="AV24" i="20" a="1"/>
  <c r="AV40" i="20" a="1"/>
  <c r="AV34" i="20" a="1"/>
  <c r="AV63" i="20" a="1"/>
  <c r="AV92" i="20" a="1"/>
  <c r="AV71" i="20" a="1"/>
  <c r="AV73" i="20" a="1"/>
  <c r="AV96" i="20" a="1"/>
  <c r="AV51" i="20" a="1"/>
  <c r="AV107" i="20" a="1"/>
  <c r="AV46" i="20" a="1"/>
  <c r="AV82" i="20" a="1"/>
  <c r="AV57" i="20" a="1"/>
  <c r="AV88" i="20" a="1"/>
  <c r="AV83" i="20" a="1"/>
  <c r="AV23" i="20" a="1"/>
  <c r="AV77" i="20" a="1"/>
  <c r="AV64" i="20" a="1"/>
  <c r="AV39" i="20" a="1"/>
  <c r="AV36" i="20" a="1"/>
  <c r="AV100" i="20" a="1"/>
  <c r="AV66" i="20" a="1"/>
  <c r="AV104" i="20" a="1"/>
  <c r="AV99" i="20" a="1"/>
  <c r="AV42" i="20" a="1"/>
  <c r="AV21" i="20" a="1"/>
  <c r="AV108" i="20" a="1"/>
  <c r="AV91" i="20" a="1"/>
  <c r="AV78" i="20" a="1"/>
  <c r="AV95" i="20" a="1"/>
  <c r="AV47" i="20" a="1"/>
  <c r="AV87" i="20" a="1"/>
  <c r="AV31" i="20" a="1"/>
  <c r="AV72" i="20" a="1"/>
  <c r="V28" i="7" l="1" a="1"/>
  <c r="V28" i="7" s="1"/>
  <c r="AD28" i="7" a="1"/>
  <c r="AD28" i="7" s="1"/>
  <c r="W28" i="20" a="1"/>
  <c r="W28" i="20" s="1"/>
  <c r="AU25" i="20"/>
  <c r="AH25" i="20" a="1"/>
  <c r="AH25" i="20" s="1"/>
  <c r="AR27" i="7"/>
  <c r="AT26" i="20"/>
  <c r="A16" i="6"/>
  <c r="X28" i="20" a="1"/>
  <c r="X28" i="20" s="1"/>
  <c r="X28" i="7" a="1"/>
  <c r="X28" i="7" s="1"/>
  <c r="AU26" i="7"/>
  <c r="AH26" i="7" a="1"/>
  <c r="AH26" i="7" s="1"/>
  <c r="S27" i="20"/>
  <c r="X116" i="20"/>
  <c r="AE27" i="7" a="1"/>
  <c r="AE27" i="7" s="1"/>
  <c r="AJ27" i="7" s="1"/>
  <c r="S27" i="7"/>
  <c r="X116" i="7"/>
  <c r="AG26" i="20" a="1"/>
  <c r="AG26" i="20" s="1"/>
  <c r="AV39" i="20"/>
  <c r="AV42" i="20"/>
  <c r="AV51" i="20"/>
  <c r="AV91" i="20"/>
  <c r="AV100" i="20"/>
  <c r="AV24" i="20"/>
  <c r="AV46" i="20"/>
  <c r="AV57" i="20"/>
  <c r="AV83" i="20"/>
  <c r="AV96" i="20"/>
  <c r="AV108" i="20"/>
  <c r="AV63" i="20"/>
  <c r="AV64" i="20"/>
  <c r="AV72" i="20"/>
  <c r="AV78" i="20"/>
  <c r="AV87" i="20"/>
  <c r="AV99" i="20"/>
  <c r="AV23" i="20"/>
  <c r="AV31" i="20"/>
  <c r="AV66" i="20"/>
  <c r="AV73" i="20"/>
  <c r="AV82" i="20"/>
  <c r="AV92" i="20"/>
  <c r="AV104" i="20"/>
  <c r="AV34" i="20"/>
  <c r="AV71" i="20"/>
  <c r="AV77" i="20"/>
  <c r="AV95" i="20"/>
  <c r="AV107" i="20"/>
  <c r="AV21" i="20"/>
  <c r="AV36" i="20"/>
  <c r="AV40" i="20"/>
  <c r="AV47" i="20"/>
  <c r="AV88" i="20"/>
  <c r="AW42" i="4"/>
  <c r="AM42" i="4" s="1"/>
  <c r="T79" i="11" s="1" a="1"/>
  <c r="T79" i="11" s="1"/>
  <c r="AL42" i="4"/>
  <c r="S79" i="11" s="1" a="1"/>
  <c r="S79" i="11" s="1"/>
  <c r="M113" i="10"/>
  <c r="N108" i="10"/>
  <c r="K117" i="10"/>
  <c r="L117" i="10" s="1"/>
  <c r="N117" i="10" s="1"/>
  <c r="L111" i="10"/>
  <c r="Z97" i="11"/>
  <c r="Q97" i="11"/>
  <c r="R97" i="11" s="1"/>
  <c r="S97" i="11" s="1"/>
  <c r="T97" i="11" s="1"/>
  <c r="Z96" i="11"/>
  <c r="Q96" i="11"/>
  <c r="O63" i="4"/>
  <c r="K63" i="4"/>
  <c r="F111" i="13"/>
  <c r="F115" i="13"/>
  <c r="F113" i="13"/>
  <c r="AM44" i="10"/>
  <c r="D52" i="11"/>
  <c r="D55" i="11"/>
  <c r="X112" i="11"/>
  <c r="AE97" i="11"/>
  <c r="AE98" i="11" s="1"/>
  <c r="F97" i="11"/>
  <c r="G97" i="11" s="1"/>
  <c r="H97" i="11" s="1"/>
  <c r="I97" i="11" s="1"/>
  <c r="AM42" i="10"/>
  <c r="AM43" i="10"/>
  <c r="M113" i="3"/>
  <c r="N108" i="3"/>
  <c r="AD136" i="4"/>
  <c r="AC137" i="4"/>
  <c r="G61" i="13" s="1" a="1"/>
  <c r="G61" i="13" s="1"/>
  <c r="L111" i="3"/>
  <c r="K117" i="3"/>
  <c r="L117" i="3" s="1"/>
  <c r="N117" i="3" s="1"/>
  <c r="AE42" i="4"/>
  <c r="I120" i="3"/>
  <c r="L118" i="3"/>
  <c r="N118" i="3" s="1"/>
  <c r="AV25" i="20" a="1"/>
  <c r="AS27" i="7" a="1"/>
  <c r="AU26" i="20" a="1"/>
  <c r="AE28" i="7" l="1" a="1"/>
  <c r="AE28" i="7" s="1"/>
  <c r="AF28" i="7" s="1" a="1"/>
  <c r="AF28" i="7" s="1"/>
  <c r="AG28" i="7" s="1" a="1"/>
  <c r="AG28" i="7" s="1"/>
  <c r="AH28" i="7" s="1" a="1"/>
  <c r="AH28" i="7" s="1"/>
  <c r="AK28" i="7" s="1"/>
  <c r="Q28" i="8"/>
  <c r="R28" i="8" s="1" a="1"/>
  <c r="R28" i="8" s="1"/>
  <c r="S28" i="8" s="1" a="1"/>
  <c r="S28" i="8" s="1"/>
  <c r="T28" i="8" s="1" a="1"/>
  <c r="T28" i="8" s="1"/>
  <c r="U28" i="8" s="1" a="1"/>
  <c r="U28" i="8" s="1"/>
  <c r="AD28" i="20"/>
  <c r="AV25" i="20"/>
  <c r="AK25" i="20"/>
  <c r="AU26" i="20"/>
  <c r="AS27" i="7"/>
  <c r="AV26" i="7"/>
  <c r="AK26" i="7"/>
  <c r="AH26" i="20" a="1"/>
  <c r="AH26" i="20" s="1"/>
  <c r="AE28" i="20" a="1"/>
  <c r="AE28" i="20" s="1"/>
  <c r="AF28" i="20" s="1" a="1"/>
  <c r="AF28" i="20" s="1"/>
  <c r="AG28" i="20" s="1" a="1"/>
  <c r="AG28" i="20" s="1"/>
  <c r="AH28" i="20" s="1" a="1"/>
  <c r="AH28" i="20" s="1"/>
  <c r="AK28" i="20" s="1"/>
  <c r="AJ28" i="7"/>
  <c r="A17" i="6"/>
  <c r="AF27" i="7" a="1"/>
  <c r="AF27" i="7" s="1"/>
  <c r="W28" i="8"/>
  <c r="AA71" i="4"/>
  <c r="L63" i="4"/>
  <c r="Q63" i="4" s="1"/>
  <c r="P63" i="4"/>
  <c r="J28" i="15"/>
  <c r="AF99" i="11"/>
  <c r="AB99" i="11"/>
  <c r="G115" i="13"/>
  <c r="H115" i="13" s="1"/>
  <c r="I115" i="13" s="1"/>
  <c r="Y98" i="11"/>
  <c r="Y104" i="11"/>
  <c r="G111" i="13"/>
  <c r="H111" i="13" s="1"/>
  <c r="I111" i="13" s="1"/>
  <c r="B55" i="11"/>
  <c r="D54" i="11"/>
  <c r="AB96" i="11"/>
  <c r="D7" i="11"/>
  <c r="P52" i="11"/>
  <c r="G113" i="13"/>
  <c r="H113" i="13" s="1"/>
  <c r="I113" i="13" s="1"/>
  <c r="AF102" i="11"/>
  <c r="AB102" i="11"/>
  <c r="Y101" i="11"/>
  <c r="AD137" i="4"/>
  <c r="H61" i="13" s="1" a="1"/>
  <c r="H61" i="13" s="1"/>
  <c r="AE136" i="4"/>
  <c r="AE137" i="4" s="1"/>
  <c r="I61" i="13" s="1" a="1"/>
  <c r="I61" i="13" s="1"/>
  <c r="AT27" i="7" a="1"/>
  <c r="AV26" i="20" a="1"/>
  <c r="AV26" i="20" l="1"/>
  <c r="AT27" i="7"/>
  <c r="AJ28" i="20"/>
  <c r="AK26" i="20"/>
  <c r="AB71" i="4"/>
  <c r="F33" i="13" s="1" a="1"/>
  <c r="F33" i="13" s="1"/>
  <c r="AG27" i="7" a="1"/>
  <c r="AG27" i="7" s="1"/>
  <c r="A18" i="6"/>
  <c r="X29" i="7" s="1" a="1"/>
  <c r="X29" i="7" s="1"/>
  <c r="AF96" i="11"/>
  <c r="Z98" i="11"/>
  <c r="AB98" i="11" s="1"/>
  <c r="AB97" i="11"/>
  <c r="D16" i="11"/>
  <c r="M7" i="11"/>
  <c r="J29" i="15"/>
  <c r="J30" i="15"/>
  <c r="AU27" i="7" a="1"/>
  <c r="AU27" i="7" l="1"/>
  <c r="AC71" i="4"/>
  <c r="G33" i="13" s="1" a="1"/>
  <c r="G33" i="13" s="1"/>
  <c r="A19" i="6"/>
  <c r="AH27" i="7" a="1"/>
  <c r="AH27" i="7" s="1"/>
  <c r="AF97" i="11"/>
  <c r="AF98" i="11" s="1"/>
  <c r="AB100" i="11"/>
  <c r="AF103" i="11"/>
  <c r="AF104" i="11" s="1"/>
  <c r="AB103" i="11"/>
  <c r="Z104" i="11"/>
  <c r="AB104" i="11" s="1"/>
  <c r="AF100" i="11"/>
  <c r="AF101" i="11" s="1"/>
  <c r="Z128" i="4"/>
  <c r="AV27" i="7" a="1"/>
  <c r="AV27" i="7" l="1"/>
  <c r="AK27" i="7"/>
  <c r="A20" i="6"/>
  <c r="Y58" i="7" s="1" a="1"/>
  <c r="Y58" i="7" s="1"/>
  <c r="AB104" i="7" a="1"/>
  <c r="AB104" i="7" s="1"/>
  <c r="Z34" i="7" a="1"/>
  <c r="Z34" i="7" s="1"/>
  <c r="AB77" i="7" a="1"/>
  <c r="AB77" i="7" s="1"/>
  <c r="Z31" i="7" a="1"/>
  <c r="Z31" i="7" s="1"/>
  <c r="AB51" i="7" a="1"/>
  <c r="AB51" i="7" s="1"/>
  <c r="X70" i="7" a="1"/>
  <c r="X70" i="7" s="1"/>
  <c r="AB71" i="7" a="1"/>
  <c r="AB71" i="7" s="1"/>
  <c r="AB46" i="7" a="1"/>
  <c r="AB46" i="7" s="1"/>
  <c r="X91" i="7" a="1"/>
  <c r="X91" i="7" s="1"/>
  <c r="Z51" i="7" a="1"/>
  <c r="Z51" i="7" s="1"/>
  <c r="Y50" i="7" a="1"/>
  <c r="Y50" i="7" s="1"/>
  <c r="Z44" i="7" a="1"/>
  <c r="Z44" i="7" s="1"/>
  <c r="Y67" i="7" a="1"/>
  <c r="Y67" i="7" s="1"/>
  <c r="Z47" i="7" a="1"/>
  <c r="Z47" i="7" s="1"/>
  <c r="Z56" i="7" a="1"/>
  <c r="Z56" i="7" s="1"/>
  <c r="X92" i="7" a="1"/>
  <c r="X92" i="7" s="1"/>
  <c r="Z92" i="7" a="1"/>
  <c r="Z92" i="7" s="1"/>
  <c r="Z40" i="7" a="1"/>
  <c r="Z40" i="7" s="1"/>
  <c r="Z32" i="7" a="1"/>
  <c r="Z32" i="7" s="1"/>
  <c r="AB100" i="7" a="1"/>
  <c r="AB100" i="7" s="1"/>
  <c r="AB47" i="7" a="1"/>
  <c r="AB47" i="7" s="1"/>
  <c r="AB108" i="7" a="1"/>
  <c r="AB108" i="7" s="1"/>
  <c r="AB54" i="7" a="1"/>
  <c r="AB54" i="7" s="1"/>
  <c r="Y93" i="7" a="1"/>
  <c r="Y93" i="7" s="1"/>
  <c r="Z59" i="7" a="1"/>
  <c r="Z59" i="7" s="1"/>
  <c r="X48" i="7" a="1"/>
  <c r="X48" i="7" s="1"/>
  <c r="X59" i="7" a="1"/>
  <c r="X59" i="7" s="1"/>
  <c r="Z82" i="7" a="1"/>
  <c r="Z82" i="7" s="1"/>
  <c r="X107" i="7" a="1"/>
  <c r="X107" i="7" s="1"/>
  <c r="Z94" i="7" a="1"/>
  <c r="Z94" i="7" s="1"/>
  <c r="AB33" i="7" a="1"/>
  <c r="AB33" i="7" s="1"/>
  <c r="X33" i="7" a="1"/>
  <c r="X33" i="7" s="1"/>
  <c r="Z67" i="7" a="1"/>
  <c r="Z67" i="7" s="1"/>
  <c r="Z35" i="7" a="1"/>
  <c r="Z35" i="7" s="1"/>
  <c r="Y84" i="7" a="1"/>
  <c r="Y84" i="7" s="1"/>
  <c r="X30" i="7" a="1"/>
  <c r="X30" i="7" s="1"/>
  <c r="Z50" i="7" a="1"/>
  <c r="Z50" i="7" s="1"/>
  <c r="AB110" i="7" a="1"/>
  <c r="AB110" i="7" s="1"/>
  <c r="Z39" i="7" a="1"/>
  <c r="Z39" i="7" s="1"/>
  <c r="AB57" i="7" a="1"/>
  <c r="AB57" i="7" s="1"/>
  <c r="AB89" i="7" a="1"/>
  <c r="AB89" i="7" s="1"/>
  <c r="Y78" i="7" a="1"/>
  <c r="Y78" i="7" s="1"/>
  <c r="X66" i="7" a="1"/>
  <c r="X66" i="7" s="1"/>
  <c r="AB35" i="7" a="1"/>
  <c r="AB35" i="7" s="1"/>
  <c r="AB80" i="7" a="1"/>
  <c r="AB80" i="7" s="1"/>
  <c r="AB56" i="7" a="1"/>
  <c r="AB56" i="7" s="1"/>
  <c r="Z60" i="7" a="1"/>
  <c r="Z60" i="7" s="1"/>
  <c r="AB52" i="7" a="1"/>
  <c r="AB52" i="7" s="1"/>
  <c r="AB43" i="7" a="1"/>
  <c r="AB43" i="7" s="1"/>
  <c r="AB61" i="7" a="1"/>
  <c r="AB61" i="7" s="1"/>
  <c r="Z45" i="7" a="1"/>
  <c r="Z45" i="7" s="1"/>
  <c r="X83" i="7" a="1"/>
  <c r="X83" i="7" s="1"/>
  <c r="AB74" i="7" a="1"/>
  <c r="AB74" i="7" s="1"/>
  <c r="AB84" i="7" a="1"/>
  <c r="AB84" i="7" s="1"/>
  <c r="Z95" i="7" a="1"/>
  <c r="Z95" i="7" s="1"/>
  <c r="AB76" i="7" a="1"/>
  <c r="AB76" i="7" s="1"/>
  <c r="Z63" i="7" a="1"/>
  <c r="Z63" i="7" s="1"/>
  <c r="Z83" i="7" a="1"/>
  <c r="Z83" i="7" s="1"/>
  <c r="Z103" i="7" a="1"/>
  <c r="Z103" i="7" s="1"/>
  <c r="Y104" i="7" a="1"/>
  <c r="Y104" i="7" s="1"/>
  <c r="Z30" i="7" a="1"/>
  <c r="Z30" i="7" s="1"/>
  <c r="AB65" i="7" a="1"/>
  <c r="AB65" i="7" s="1"/>
  <c r="Z76" i="7" a="1"/>
  <c r="Z76" i="7" s="1"/>
  <c r="X72" i="7" a="1"/>
  <c r="X72" i="7" s="1"/>
  <c r="AB90" i="7" a="1"/>
  <c r="AB90" i="7" s="1"/>
  <c r="AB106" i="7" a="1"/>
  <c r="AB106" i="7" s="1"/>
  <c r="Z41" i="7" a="1"/>
  <c r="Z41" i="7" s="1"/>
  <c r="Z89" i="7" a="1"/>
  <c r="Z89" i="7" s="1"/>
  <c r="Z91" i="7" a="1"/>
  <c r="Z91" i="7" s="1"/>
  <c r="Y108" i="7" a="1"/>
  <c r="Y108" i="7" s="1"/>
  <c r="Z33" i="7" a="1"/>
  <c r="Z33" i="7" s="1"/>
  <c r="AB49" i="7" a="1"/>
  <c r="AB49" i="7" s="1"/>
  <c r="AB102" i="7" a="1"/>
  <c r="AB102" i="7" s="1"/>
  <c r="X67" i="7" a="1"/>
  <c r="X67" i="7" s="1"/>
  <c r="AB66" i="7" a="1"/>
  <c r="AB66" i="7" s="1"/>
  <c r="Y32" i="7" a="1"/>
  <c r="Y32" i="7" s="1"/>
  <c r="AB85" i="7" a="1"/>
  <c r="AB85" i="7" s="1"/>
  <c r="Z110" i="7" a="1"/>
  <c r="Z110" i="7" s="1"/>
  <c r="Y77" i="7" a="1"/>
  <c r="Y77" i="7" s="1"/>
  <c r="AB87" i="7" a="1"/>
  <c r="AB87" i="7" s="1"/>
  <c r="Y43" i="7" a="1"/>
  <c r="Y43" i="7" s="1"/>
  <c r="Z43" i="7" a="1"/>
  <c r="Z43" i="7" s="1"/>
  <c r="Y85" i="7" a="1"/>
  <c r="Y85" i="7" s="1"/>
  <c r="Z81" i="7" a="1"/>
  <c r="Z81" i="7" s="1"/>
  <c r="Z101" i="7" a="1"/>
  <c r="Z101" i="7" s="1"/>
  <c r="AB105" i="7" a="1"/>
  <c r="AB105" i="7" s="1"/>
  <c r="AB79" i="7" a="1"/>
  <c r="AB79" i="7" s="1"/>
  <c r="Z64" i="7" a="1"/>
  <c r="Z64" i="7" s="1"/>
  <c r="Z65" i="7" a="1"/>
  <c r="Z65" i="7" s="1"/>
  <c r="AB50" i="7" a="1"/>
  <c r="AB50" i="7" s="1"/>
  <c r="Z46" i="7" a="1"/>
  <c r="Z46" i="7" s="1"/>
  <c r="X57" i="7" a="1"/>
  <c r="X57" i="7" s="1"/>
  <c r="Z80" i="7" a="1"/>
  <c r="Z80" i="7" s="1"/>
  <c r="X41" i="7" a="1"/>
  <c r="X41" i="7" s="1"/>
  <c r="Y55" i="7" a="1"/>
  <c r="Y55" i="7" s="1"/>
  <c r="AB95" i="7" a="1"/>
  <c r="AB95" i="7" s="1"/>
  <c r="AB98" i="7" a="1"/>
  <c r="AB98" i="7" s="1"/>
  <c r="AB55" i="7" a="1"/>
  <c r="AB55" i="7" s="1"/>
  <c r="AB42" i="7" a="1"/>
  <c r="AB42" i="7" s="1"/>
  <c r="AB62" i="7" a="1"/>
  <c r="AB62" i="7" s="1"/>
  <c r="Z107" i="7" a="1"/>
  <c r="Z107" i="7" s="1"/>
  <c r="X49" i="7" a="1"/>
  <c r="X49" i="7" s="1"/>
  <c r="AB53" i="7" a="1"/>
  <c r="AB53" i="7" s="1"/>
  <c r="AB109" i="7" a="1"/>
  <c r="AB109" i="7" s="1"/>
  <c r="AB93" i="7" a="1"/>
  <c r="AB93" i="7" s="1"/>
  <c r="X79" i="7" a="1"/>
  <c r="X79" i="7" s="1"/>
  <c r="Z105" i="7" a="1"/>
  <c r="Z105" i="7" s="1"/>
  <c r="AB72" i="7" a="1"/>
  <c r="AB72" i="7" s="1"/>
  <c r="Z52" i="7" a="1"/>
  <c r="Z52" i="7" s="1"/>
  <c r="Z87" i="7" a="1"/>
  <c r="Z87" i="7" s="1"/>
  <c r="X76" i="7" a="1"/>
  <c r="X76" i="7" s="1"/>
  <c r="Z93" i="7" a="1"/>
  <c r="Z93" i="7" s="1"/>
  <c r="Z53" i="7" a="1"/>
  <c r="Z53" i="7" s="1"/>
  <c r="AB88" i="7" a="1"/>
  <c r="AB88" i="7" s="1"/>
  <c r="AB45" i="7" a="1"/>
  <c r="AB45" i="7" s="1"/>
  <c r="V73" i="7" a="1"/>
  <c r="V73" i="7" s="1"/>
  <c r="Y109" i="7" a="1"/>
  <c r="Y109" i="7" s="1"/>
  <c r="AB58" i="7" a="1"/>
  <c r="AB58" i="7" s="1"/>
  <c r="Z69" i="7" a="1"/>
  <c r="Z69" i="7" s="1"/>
  <c r="AB64" i="7" a="1"/>
  <c r="AB64" i="7" s="1"/>
  <c r="Y82" i="7" a="1"/>
  <c r="Y82" i="7" s="1"/>
  <c r="AB36" i="7" a="1"/>
  <c r="AB36" i="7" s="1"/>
  <c r="Y90" i="7" a="1"/>
  <c r="Y90" i="7" s="1"/>
  <c r="Y89" i="7" a="1"/>
  <c r="Y89" i="7" s="1"/>
  <c r="AB32" i="7" a="1"/>
  <c r="AB32" i="7" s="1"/>
  <c r="Z57" i="7" a="1"/>
  <c r="Z57" i="7" s="1"/>
  <c r="Y69" i="7" a="1"/>
  <c r="Y69" i="7" s="1"/>
  <c r="AB40" i="7" a="1"/>
  <c r="AB40" i="7" s="1"/>
  <c r="Z61" i="7" a="1"/>
  <c r="Z61" i="7" s="1"/>
  <c r="AB94" i="7" a="1"/>
  <c r="AB94" i="7" s="1"/>
  <c r="AB39" i="7" a="1"/>
  <c r="AB39" i="7" s="1"/>
  <c r="Z104" i="7" a="1"/>
  <c r="Z104" i="7" s="1"/>
  <c r="AB81" i="7" a="1"/>
  <c r="AB81" i="7" s="1"/>
  <c r="Z75" i="7" a="1"/>
  <c r="Z75" i="7" s="1"/>
  <c r="Z84" i="7" a="1"/>
  <c r="Z84" i="7" s="1"/>
  <c r="Z71" i="7" a="1"/>
  <c r="Z71" i="7" s="1"/>
  <c r="X89" i="7" a="1"/>
  <c r="X89" i="7" s="1"/>
  <c r="Z100" i="7" a="1"/>
  <c r="Z100" i="7" s="1"/>
  <c r="Z62" i="7" a="1"/>
  <c r="Z62" i="7" s="1"/>
  <c r="Z97" i="7" a="1"/>
  <c r="Z97" i="7" s="1"/>
  <c r="Y106" i="7" a="1"/>
  <c r="Y106" i="7" s="1"/>
  <c r="AB70" i="7" a="1"/>
  <c r="AB70" i="7" s="1"/>
  <c r="X86" i="7" a="1"/>
  <c r="X86" i="7" s="1"/>
  <c r="AB92" i="7" a="1"/>
  <c r="AB92" i="7" s="1"/>
  <c r="Z109" i="7" a="1"/>
  <c r="Z109" i="7" s="1"/>
  <c r="AA44" i="7" a="1"/>
  <c r="AA44" i="7" s="1"/>
  <c r="Y49" i="7" a="1"/>
  <c r="Y49" i="7" s="1"/>
  <c r="Z106" i="7" a="1"/>
  <c r="Z106" i="7" s="1"/>
  <c r="AB97" i="7" a="1"/>
  <c r="AB97" i="7" s="1"/>
  <c r="Z73" i="7" a="1"/>
  <c r="Z73" i="7" s="1"/>
  <c r="X90" i="7" a="1"/>
  <c r="X90" i="7" s="1"/>
  <c r="AB68" i="7" a="1"/>
  <c r="AB68" i="7" s="1"/>
  <c r="AB41" i="7" a="1"/>
  <c r="AB41" i="7" s="1"/>
  <c r="AB103" i="7" a="1"/>
  <c r="AB103" i="7" s="1"/>
  <c r="Z37" i="7" a="1"/>
  <c r="Z37" i="7" s="1"/>
  <c r="Z108" i="7" a="1"/>
  <c r="Z108" i="7" s="1"/>
  <c r="AB38" i="7" a="1"/>
  <c r="AB38" i="7" s="1"/>
  <c r="Z58" i="7" a="1"/>
  <c r="Z58" i="7" s="1"/>
  <c r="AB48" i="7" a="1"/>
  <c r="AB48" i="7" s="1"/>
  <c r="Z74" i="7" a="1"/>
  <c r="Z74" i="7" s="1"/>
  <c r="AB107" i="7" a="1"/>
  <c r="AB107" i="7" s="1"/>
  <c r="Y76" i="7" a="1"/>
  <c r="Y76" i="7" s="1"/>
  <c r="AB63" i="7" a="1"/>
  <c r="AB63" i="7" s="1"/>
  <c r="AB73" i="7" a="1"/>
  <c r="AB73" i="7" s="1"/>
  <c r="Y30" i="7" a="1"/>
  <c r="Y30" i="7" s="1"/>
  <c r="AB37" i="7" a="1"/>
  <c r="AB37" i="7" s="1"/>
  <c r="X81" i="7" a="1"/>
  <c r="X81" i="7" s="1"/>
  <c r="Y44" i="7" a="1"/>
  <c r="Y44" i="7" s="1"/>
  <c r="Z42" i="7" a="1"/>
  <c r="Z42" i="7" s="1"/>
  <c r="Y72" i="7" a="1"/>
  <c r="Y72" i="7" s="1"/>
  <c r="Y97" i="7" a="1"/>
  <c r="Y97" i="7" s="1"/>
  <c r="X99" i="7" a="1"/>
  <c r="X99" i="7" s="1"/>
  <c r="Z85" i="7" a="1"/>
  <c r="Z85" i="7" s="1"/>
  <c r="Z102" i="7" a="1"/>
  <c r="Z102" i="7" s="1"/>
  <c r="AB86" i="7" a="1"/>
  <c r="AB86" i="7" s="1"/>
  <c r="Z90" i="7" a="1"/>
  <c r="Z90" i="7" s="1"/>
  <c r="AB31" i="7" a="1"/>
  <c r="AB31" i="7" s="1"/>
  <c r="Y91" i="7" a="1"/>
  <c r="Y91" i="7" s="1"/>
  <c r="Z55" i="7" a="1"/>
  <c r="Z55" i="7" s="1"/>
  <c r="AB96" i="7" a="1"/>
  <c r="AB96" i="7" s="1"/>
  <c r="Z54" i="7" a="1"/>
  <c r="Z54" i="7" s="1"/>
  <c r="Z38" i="7" a="1"/>
  <c r="Z38" i="7" s="1"/>
  <c r="Z98" i="7" a="1"/>
  <c r="Z98" i="7" s="1"/>
  <c r="Z36" i="7" a="1"/>
  <c r="Z36" i="7" s="1"/>
  <c r="X42" i="7" a="1"/>
  <c r="X42" i="7" s="1"/>
  <c r="AB60" i="7" a="1"/>
  <c r="AB60" i="7" s="1"/>
  <c r="Z49" i="7" a="1"/>
  <c r="Z49" i="7" s="1"/>
  <c r="AB99" i="7" a="1"/>
  <c r="AB99" i="7" s="1"/>
  <c r="AB82" i="7" a="1"/>
  <c r="AB82" i="7" s="1"/>
  <c r="Z96" i="7" a="1"/>
  <c r="Z96" i="7" s="1"/>
  <c r="AB101" i="7" a="1"/>
  <c r="AB101" i="7" s="1"/>
  <c r="X88" i="7" a="1"/>
  <c r="X88" i="7" s="1"/>
  <c r="AB69" i="7" a="1"/>
  <c r="AB69" i="7" s="1"/>
  <c r="AB91" i="7" a="1"/>
  <c r="AB91" i="7" s="1"/>
  <c r="Z66" i="7" a="1"/>
  <c r="Z66" i="7" s="1"/>
  <c r="Z99" i="7" a="1"/>
  <c r="Z99" i="7" s="1"/>
  <c r="X104" i="7" a="1"/>
  <c r="X104" i="7" s="1"/>
  <c r="AB75" i="7" a="1"/>
  <c r="AB75" i="7" s="1"/>
  <c r="Z72" i="7" a="1"/>
  <c r="Z72" i="7" s="1"/>
  <c r="AB30" i="7" a="1"/>
  <c r="AB30" i="7" s="1"/>
  <c r="AB67" i="7" a="1"/>
  <c r="AB67" i="7" s="1"/>
  <c r="AB44" i="7" a="1"/>
  <c r="AB44" i="7" s="1"/>
  <c r="AB34" i="7" a="1"/>
  <c r="AB34" i="7" s="1"/>
  <c r="Y81" i="7" a="1"/>
  <c r="Y81" i="7" s="1"/>
  <c r="AD71" i="4"/>
  <c r="H33" i="13" s="1" a="1"/>
  <c r="H33" i="13" s="1"/>
  <c r="Z69" i="4"/>
  <c r="Z124" i="4"/>
  <c r="Z114" i="4"/>
  <c r="Z115" i="4"/>
  <c r="Z129" i="4"/>
  <c r="Z116" i="4"/>
  <c r="Z122" i="4"/>
  <c r="AB78" i="7" l="1" a="1"/>
  <c r="AB78" i="7" s="1"/>
  <c r="Z78" i="7" a="1"/>
  <c r="Z78" i="7" s="1"/>
  <c r="AB83" i="7" a="1"/>
  <c r="AB83" i="7" s="1"/>
  <c r="Y51" i="7" a="1"/>
  <c r="Y51" i="7" s="1"/>
  <c r="AE71" i="4"/>
  <c r="I33" i="13" s="1" a="1"/>
  <c r="I33" i="13" s="1"/>
  <c r="X28" i="8"/>
  <c r="W77" i="20" a="1"/>
  <c r="W77" i="20" s="1"/>
  <c r="W90" i="7" a="1"/>
  <c r="W90" i="7" s="1"/>
  <c r="AD100" i="7" a="1"/>
  <c r="AD100" i="7" s="1"/>
  <c r="Z97" i="20" a="1"/>
  <c r="Z97" i="20" s="1"/>
  <c r="AA72" i="20" a="1"/>
  <c r="AA72" i="20" s="1"/>
  <c r="X52" i="20" a="1"/>
  <c r="X52" i="20" s="1"/>
  <c r="Y88" i="20" a="1"/>
  <c r="Y88" i="20" s="1"/>
  <c r="W54" i="20" a="1"/>
  <c r="W54" i="20" s="1"/>
  <c r="AD48" i="7" a="1"/>
  <c r="AD48" i="7" s="1"/>
  <c r="V82" i="7" a="1"/>
  <c r="V82" i="7" s="1"/>
  <c r="Y89" i="20" a="1"/>
  <c r="Y89" i="20" s="1"/>
  <c r="W75" i="20" a="1"/>
  <c r="W75" i="20" s="1"/>
  <c r="X93" i="20" a="1"/>
  <c r="X93" i="20" s="1"/>
  <c r="AB80" i="20" a="1"/>
  <c r="AB80" i="20" s="1"/>
  <c r="AD54" i="7" a="1"/>
  <c r="AD54" i="7" s="1"/>
  <c r="AD31" i="7" a="1"/>
  <c r="AD31" i="7" s="1"/>
  <c r="AB74" i="20" a="1"/>
  <c r="AB74" i="20" s="1"/>
  <c r="AD36" i="7" a="1"/>
  <c r="AD36" i="7" s="1"/>
  <c r="W75" i="7" a="1"/>
  <c r="W75" i="7" s="1"/>
  <c r="AD89" i="7" a="1"/>
  <c r="AD89" i="7" s="1"/>
  <c r="AD41" i="7" a="1"/>
  <c r="AD41" i="7" s="1"/>
  <c r="V41" i="20" a="1"/>
  <c r="V41" i="20" s="1"/>
  <c r="V73" i="20" a="1"/>
  <c r="V73" i="20" s="1"/>
  <c r="AD46" i="7" a="1"/>
  <c r="AD46" i="7" s="1"/>
  <c r="V34" i="7" a="1"/>
  <c r="V34" i="7" s="1"/>
  <c r="X99" i="20" a="1"/>
  <c r="X99" i="20" s="1"/>
  <c r="AB79" i="20" a="1"/>
  <c r="AB79" i="20" s="1"/>
  <c r="W105" i="20" a="1"/>
  <c r="W105" i="20" s="1"/>
  <c r="Y95" i="20" a="1"/>
  <c r="Y95" i="20" s="1"/>
  <c r="Z84" i="20" a="1"/>
  <c r="Z84" i="20" s="1"/>
  <c r="V100" i="7" a="1"/>
  <c r="V100" i="7" s="1"/>
  <c r="Y101" i="7" a="1"/>
  <c r="Y101" i="7" s="1"/>
  <c r="AB83" i="20" a="1"/>
  <c r="AB83" i="20" s="1"/>
  <c r="W72" i="7" a="1"/>
  <c r="W72" i="7" s="1"/>
  <c r="X106" i="20" a="1"/>
  <c r="X106" i="20" s="1"/>
  <c r="AD110" i="7" a="1"/>
  <c r="AD110" i="7" s="1"/>
  <c r="AB43" i="20" a="1"/>
  <c r="AB43" i="20" s="1"/>
  <c r="AD99" i="7" a="1"/>
  <c r="AD99" i="7" s="1"/>
  <c r="W92" i="20" a="1"/>
  <c r="W92" i="20" s="1"/>
  <c r="V28" i="20" a="1"/>
  <c r="V28" i="20" s="1"/>
  <c r="AD94" i="7" a="1"/>
  <c r="AD94" i="7" s="1"/>
  <c r="Z101" i="20" a="1"/>
  <c r="Z101" i="20" s="1"/>
  <c r="V60" i="7" a="1"/>
  <c r="V60" i="7" s="1"/>
  <c r="V103" i="7" a="1"/>
  <c r="V103" i="7" s="1"/>
  <c r="AA62" i="20" a="1"/>
  <c r="AA62" i="20" s="1"/>
  <c r="W57" i="20" a="1"/>
  <c r="W57" i="20" s="1"/>
  <c r="V71" i="7" a="1"/>
  <c r="V71" i="7" s="1"/>
  <c r="W44" i="20" a="1"/>
  <c r="W44" i="20" s="1"/>
  <c r="Y81" i="20" a="1"/>
  <c r="Y81" i="20" s="1"/>
  <c r="AB69" i="20" a="1"/>
  <c r="AB69" i="20" s="1"/>
  <c r="W60" i="20" a="1"/>
  <c r="W60" i="20" s="1"/>
  <c r="Y53" i="20" a="1"/>
  <c r="Y53" i="20" s="1"/>
  <c r="AD90" i="7" a="1"/>
  <c r="AD90" i="7" s="1"/>
  <c r="Y93" i="20" a="1"/>
  <c r="Y93" i="20" s="1"/>
  <c r="V95" i="7" a="1"/>
  <c r="V95" i="7" s="1"/>
  <c r="Z38" i="20" a="1"/>
  <c r="Z38" i="20" s="1"/>
  <c r="AD109" i="7" a="1"/>
  <c r="AD109" i="7" s="1"/>
  <c r="W102" i="7" a="1"/>
  <c r="W102" i="7" s="1"/>
  <c r="AD97" i="7" a="1"/>
  <c r="AD97" i="7" s="1"/>
  <c r="Z88" i="20" a="1"/>
  <c r="Z88" i="20" s="1"/>
  <c r="X47" i="20" a="1"/>
  <c r="X47" i="20" s="1"/>
  <c r="Z48" i="20" a="1"/>
  <c r="Z48" i="20" s="1"/>
  <c r="Z102" i="20" a="1"/>
  <c r="Z102" i="20" s="1"/>
  <c r="AB61" i="20" a="1"/>
  <c r="AB61" i="20" s="1"/>
  <c r="Y45" i="20" a="1"/>
  <c r="Y45" i="20" s="1"/>
  <c r="X77" i="20" a="1"/>
  <c r="X77" i="20" s="1"/>
  <c r="Z69" i="20" a="1"/>
  <c r="Z69" i="20" s="1"/>
  <c r="V51" i="20" a="1"/>
  <c r="V51" i="20" s="1"/>
  <c r="AD56" i="7" a="1"/>
  <c r="AD56" i="7" s="1"/>
  <c r="AA34" i="20" a="1"/>
  <c r="AA34" i="20" s="1"/>
  <c r="AA93" i="20" a="1"/>
  <c r="AA93" i="20" s="1"/>
  <c r="X70" i="20" a="1"/>
  <c r="X70" i="20" s="1"/>
  <c r="V94" i="20" a="1"/>
  <c r="V94" i="20" s="1"/>
  <c r="AB51" i="20" a="1"/>
  <c r="AB51" i="20" s="1"/>
  <c r="W59" i="20" a="1"/>
  <c r="W59" i="20" s="1"/>
  <c r="AD61" i="7" a="1"/>
  <c r="AD61" i="7" s="1"/>
  <c r="V93" i="20" a="1"/>
  <c r="V93" i="20" s="1"/>
  <c r="V64" i="20" a="1"/>
  <c r="V64" i="20" s="1"/>
  <c r="W36" i="20" a="1"/>
  <c r="W36" i="20" s="1"/>
  <c r="X105" i="20" a="1"/>
  <c r="X105" i="20" s="1"/>
  <c r="V38" i="20" a="1"/>
  <c r="V38" i="20" s="1"/>
  <c r="V56" i="7" a="1"/>
  <c r="V56" i="7" s="1"/>
  <c r="V65" i="7" a="1"/>
  <c r="V65" i="7" s="1"/>
  <c r="V57" i="7" a="1"/>
  <c r="V57" i="7" s="1"/>
  <c r="Y90" i="20" a="1"/>
  <c r="Y90" i="20" s="1"/>
  <c r="W70" i="20" a="1"/>
  <c r="W70" i="20" s="1"/>
  <c r="X97" i="20" a="1"/>
  <c r="X97" i="20" s="1"/>
  <c r="X40" i="20" a="1"/>
  <c r="X40" i="20" s="1"/>
  <c r="W40" i="20" a="1"/>
  <c r="W40" i="20" s="1"/>
  <c r="Z37" i="20" a="1"/>
  <c r="Z37" i="20" s="1"/>
  <c r="X92" i="20" a="1"/>
  <c r="X92" i="20" s="1"/>
  <c r="V107" i="20" a="1"/>
  <c r="V107" i="20" s="1"/>
  <c r="V39" i="20" a="1"/>
  <c r="V39" i="20" s="1"/>
  <c r="V57" i="20" a="1"/>
  <c r="V57" i="20" s="1"/>
  <c r="X88" i="20" a="1"/>
  <c r="X88" i="20" s="1"/>
  <c r="V102" i="20" a="1"/>
  <c r="V102" i="20" s="1"/>
  <c r="X68" i="20" a="1"/>
  <c r="X68" i="20" s="1"/>
  <c r="AD53" i="7" a="1"/>
  <c r="AD53" i="7" s="1"/>
  <c r="Z60" i="20" a="1"/>
  <c r="Z60" i="20" s="1"/>
  <c r="W81" i="20" a="1"/>
  <c r="W81" i="20" s="1"/>
  <c r="AD88" i="7" a="1"/>
  <c r="AD88" i="7" s="1"/>
  <c r="Z103" i="20" a="1"/>
  <c r="Z103" i="20" s="1"/>
  <c r="Z98" i="20" a="1"/>
  <c r="Z98" i="20" s="1"/>
  <c r="W70" i="7" a="1"/>
  <c r="W70" i="7" s="1"/>
  <c r="V110" i="7" a="1"/>
  <c r="V110" i="7" s="1"/>
  <c r="AA45" i="20" a="1"/>
  <c r="AA45" i="20" s="1"/>
  <c r="Z108" i="20" a="1"/>
  <c r="Z108" i="20" s="1"/>
  <c r="X30" i="20" a="1"/>
  <c r="X30" i="20" s="1"/>
  <c r="AB103" i="20" a="1"/>
  <c r="AB103" i="20" s="1"/>
  <c r="AB41" i="20" a="1"/>
  <c r="AB41" i="20" s="1"/>
  <c r="AA33" i="20" a="1"/>
  <c r="AA33" i="20" s="1"/>
  <c r="AB77" i="20" a="1"/>
  <c r="AB77" i="20" s="1"/>
  <c r="Z56" i="20" a="1"/>
  <c r="Z56" i="20" s="1"/>
  <c r="W47" i="20" a="1"/>
  <c r="W47" i="20" s="1"/>
  <c r="AD45" i="7" a="1"/>
  <c r="AD45" i="7" s="1"/>
  <c r="X35" i="20" a="1"/>
  <c r="X35" i="20" s="1"/>
  <c r="AA42" i="20" a="1"/>
  <c r="AA42" i="20" s="1"/>
  <c r="AA102" i="20" a="1"/>
  <c r="AA102" i="20" s="1"/>
  <c r="V31" i="20" a="1"/>
  <c r="V31" i="20" s="1"/>
  <c r="X45" i="20" a="1"/>
  <c r="X45" i="20" s="1"/>
  <c r="AB37" i="20" a="1"/>
  <c r="AB37" i="20" s="1"/>
  <c r="Z41" i="20" a="1"/>
  <c r="Z41" i="20" s="1"/>
  <c r="AD67" i="7" a="1"/>
  <c r="AD67" i="7" s="1"/>
  <c r="AA85" i="20" a="1"/>
  <c r="AA85" i="20" s="1"/>
  <c r="V76" i="20" a="1"/>
  <c r="V76" i="20" s="1"/>
  <c r="Z94" i="20" a="1"/>
  <c r="Z94" i="20" s="1"/>
  <c r="AD30" i="7" a="1"/>
  <c r="AD30" i="7" s="1"/>
  <c r="Q107" i="8" s="1"/>
  <c r="R107" i="8" s="1" a="1"/>
  <c r="R107" i="8" s="1"/>
  <c r="S107" i="8" s="1" a="1"/>
  <c r="S107" i="8" s="1"/>
  <c r="T107" i="8" s="1" a="1"/>
  <c r="T107" i="8" s="1"/>
  <c r="U107" i="8" s="1" a="1"/>
  <c r="U107" i="8" s="1"/>
  <c r="Y66" i="20" a="1"/>
  <c r="Y66" i="20" s="1"/>
  <c r="V75" i="20" a="1"/>
  <c r="V75" i="20" s="1"/>
  <c r="V86" i="20" a="1"/>
  <c r="V86" i="20" s="1"/>
  <c r="AB101" i="20" a="1"/>
  <c r="AB101" i="20" s="1"/>
  <c r="Z30" i="20" a="1"/>
  <c r="Z30" i="20" s="1"/>
  <c r="AD29" i="7" a="1"/>
  <c r="AD29" i="7" s="1"/>
  <c r="Q29" i="8" s="1"/>
  <c r="R29" i="8" s="1" a="1"/>
  <c r="R29" i="8" s="1"/>
  <c r="S29" i="8" s="1" a="1"/>
  <c r="S29" i="8" s="1"/>
  <c r="T29" i="8" s="1" a="1"/>
  <c r="T29" i="8" s="1"/>
  <c r="U29" i="8" s="1" a="1"/>
  <c r="U29" i="8" s="1"/>
  <c r="W89" i="7" a="1"/>
  <c r="W89" i="7" s="1"/>
  <c r="X55" i="20" a="1"/>
  <c r="X55" i="20" s="1"/>
  <c r="W80" i="20" a="1"/>
  <c r="W80" i="20" s="1"/>
  <c r="AA98" i="20" a="1"/>
  <c r="AA98" i="20" s="1"/>
  <c r="AA66" i="20" a="1"/>
  <c r="AA66" i="20" s="1"/>
  <c r="V105" i="20" a="1"/>
  <c r="V105" i="20" s="1"/>
  <c r="Y43" i="20" a="1"/>
  <c r="Y43" i="20" s="1"/>
  <c r="X51" i="7" a="1"/>
  <c r="X51" i="7" s="1"/>
  <c r="Z73" i="20" a="1"/>
  <c r="Z73" i="20" s="1"/>
  <c r="V49" i="20" a="1"/>
  <c r="V49" i="20" s="1"/>
  <c r="V91" i="20" a="1"/>
  <c r="V91" i="20" s="1"/>
  <c r="AD103" i="7" a="1"/>
  <c r="AD103" i="7" s="1"/>
  <c r="AA55" i="20" a="1"/>
  <c r="AA55" i="20" s="1"/>
  <c r="Z46" i="20" a="1"/>
  <c r="Z46" i="20" s="1"/>
  <c r="AD63" i="7" a="1"/>
  <c r="AD63" i="7" s="1"/>
  <c r="AB87" i="20" a="1"/>
  <c r="AB87" i="20" s="1"/>
  <c r="X36" i="7" a="1"/>
  <c r="X36" i="7" s="1"/>
  <c r="V93" i="7" a="1"/>
  <c r="V93" i="7" s="1"/>
  <c r="X100" i="20" a="1"/>
  <c r="X100" i="20" s="1"/>
  <c r="AB67" i="20" a="1"/>
  <c r="AB67" i="20" s="1"/>
  <c r="AB106" i="20" a="1"/>
  <c r="AB106" i="20" s="1"/>
  <c r="W51" i="20" a="1"/>
  <c r="W51" i="20" s="1"/>
  <c r="Z89" i="20" a="1"/>
  <c r="Z89" i="20" s="1"/>
  <c r="X57" i="20" a="1"/>
  <c r="X57" i="20" s="1"/>
  <c r="V89" i="20" a="1"/>
  <c r="V89" i="20" s="1"/>
  <c r="V30" i="7" a="1"/>
  <c r="V30" i="7" s="1"/>
  <c r="V81" i="20" a="1"/>
  <c r="V81" i="20" s="1"/>
  <c r="Z93" i="20" a="1"/>
  <c r="Z93" i="20" s="1"/>
  <c r="V98" i="20" a="1"/>
  <c r="V98" i="20" s="1"/>
  <c r="W90" i="20" a="1"/>
  <c r="W90" i="20" s="1"/>
  <c r="X104" i="20" a="1"/>
  <c r="X104" i="20" s="1"/>
  <c r="AA67" i="20" a="1"/>
  <c r="AA67" i="20" s="1"/>
  <c r="Y74" i="20" a="1"/>
  <c r="Y74" i="20" s="1"/>
  <c r="W60" i="7" a="1"/>
  <c r="W60" i="7" s="1"/>
  <c r="X63" i="20" a="1"/>
  <c r="X63" i="20" s="1"/>
  <c r="Y109" i="20" a="1"/>
  <c r="Y109" i="20" s="1"/>
  <c r="AB97" i="20" a="1"/>
  <c r="AB97" i="20" s="1"/>
  <c r="AA54" i="20" a="1"/>
  <c r="AA54" i="20" s="1"/>
  <c r="V43" i="7" a="1"/>
  <c r="V43" i="7" s="1"/>
  <c r="Z70" i="20" a="1"/>
  <c r="Z70" i="20" s="1"/>
  <c r="AA81" i="20" a="1"/>
  <c r="AA81" i="20" s="1"/>
  <c r="Z72" i="20" a="1"/>
  <c r="Z72" i="20" s="1"/>
  <c r="V63" i="20" a="1"/>
  <c r="V63" i="20" s="1"/>
  <c r="W53" i="20" a="1"/>
  <c r="W53" i="20" s="1"/>
  <c r="X71" i="20" a="1"/>
  <c r="X71" i="20" s="1"/>
  <c r="X41" i="20" a="1"/>
  <c r="X41" i="20" s="1"/>
  <c r="Z53" i="20" a="1"/>
  <c r="Z53" i="20" s="1"/>
  <c r="AA52" i="20" a="1"/>
  <c r="AA52" i="20" s="1"/>
  <c r="Z77" i="20" a="1"/>
  <c r="Z77" i="20" s="1"/>
  <c r="X67" i="20" a="1"/>
  <c r="X67" i="20" s="1"/>
  <c r="W79" i="20" a="1"/>
  <c r="W79" i="20" s="1"/>
  <c r="X46" i="20" a="1"/>
  <c r="X46" i="20" s="1"/>
  <c r="X84" i="20" a="1"/>
  <c r="X84" i="20" s="1"/>
  <c r="AD102" i="7" a="1"/>
  <c r="AD102" i="7" s="1"/>
  <c r="Q106" i="8" s="1"/>
  <c r="R106" i="8" s="1" a="1"/>
  <c r="R106" i="8" s="1"/>
  <c r="S106" i="8" s="1" a="1"/>
  <c r="S106" i="8" s="1"/>
  <c r="T106" i="8" s="1" a="1"/>
  <c r="T106" i="8" s="1"/>
  <c r="U106" i="8" s="1" a="1"/>
  <c r="U106" i="8" s="1"/>
  <c r="W55" i="20" a="1"/>
  <c r="W55" i="20" s="1"/>
  <c r="W69" i="20" a="1"/>
  <c r="W69" i="20" s="1"/>
  <c r="AA30" i="20" a="1"/>
  <c r="AA30" i="20" s="1"/>
  <c r="AB66" i="20" a="1"/>
  <c r="AB66" i="20" s="1"/>
  <c r="Z74" i="20" a="1"/>
  <c r="Z74" i="20" s="1"/>
  <c r="AB71" i="20" a="1"/>
  <c r="AB71" i="20" s="1"/>
  <c r="X90" i="20" a="1"/>
  <c r="X90" i="20" s="1"/>
  <c r="AB33" i="20" a="1"/>
  <c r="AB33" i="20" s="1"/>
  <c r="X107" i="20" a="1"/>
  <c r="X107" i="20" s="1"/>
  <c r="X74" i="7" a="1"/>
  <c r="X74" i="7" s="1"/>
  <c r="AB56" i="20" a="1"/>
  <c r="AB56" i="20" s="1"/>
  <c r="W91" i="7" a="1"/>
  <c r="W91" i="7" s="1"/>
  <c r="X82" i="20" a="1"/>
  <c r="X82" i="20" s="1"/>
  <c r="AA65" i="20" a="1"/>
  <c r="AA65" i="20" s="1"/>
  <c r="AD98" i="7" a="1"/>
  <c r="AD98" i="7" s="1"/>
  <c r="AA90" i="20" a="1"/>
  <c r="AA90" i="20" s="1"/>
  <c r="V68" i="7" a="1"/>
  <c r="V68" i="7" s="1"/>
  <c r="AB102" i="20" a="1"/>
  <c r="AB102" i="20" s="1"/>
  <c r="AA50" i="20" a="1"/>
  <c r="AA50" i="20" s="1"/>
  <c r="X58" i="7" a="1"/>
  <c r="X58" i="7" s="1"/>
  <c r="W54" i="7" a="1"/>
  <c r="W54" i="7" s="1"/>
  <c r="W63" i="20" a="1"/>
  <c r="W63" i="20" s="1"/>
  <c r="W84" i="20" a="1"/>
  <c r="W84" i="20" s="1"/>
  <c r="W100" i="20" a="1"/>
  <c r="W100" i="20" s="1"/>
  <c r="W78" i="20" a="1"/>
  <c r="W78" i="20" s="1"/>
  <c r="AA63" i="20" a="1"/>
  <c r="AA63" i="20" s="1"/>
  <c r="V95" i="20" a="1"/>
  <c r="V95" i="20" s="1"/>
  <c r="Y110" i="20" a="1"/>
  <c r="Y110" i="20" s="1"/>
  <c r="X69" i="20" a="1"/>
  <c r="X69" i="20" s="1"/>
  <c r="AB76" i="20" a="1"/>
  <c r="AB76" i="20" s="1"/>
  <c r="V29" i="20" a="1"/>
  <c r="V29" i="20" s="1"/>
  <c r="V68" i="20" a="1"/>
  <c r="V68" i="20" s="1"/>
  <c r="AA86" i="20" a="1"/>
  <c r="AA86" i="20" s="1"/>
  <c r="Y85" i="20" a="1"/>
  <c r="Y85" i="20" s="1"/>
  <c r="AA101" i="20" a="1"/>
  <c r="AA101" i="20" s="1"/>
  <c r="V35" i="7" a="1"/>
  <c r="V35" i="7" s="1"/>
  <c r="Y65" i="20" a="1"/>
  <c r="Y65" i="20" s="1"/>
  <c r="AB88" i="20" a="1"/>
  <c r="AB88" i="20" s="1"/>
  <c r="Y54" i="20" a="1"/>
  <c r="Y54" i="20" s="1"/>
  <c r="W94" i="20" a="1"/>
  <c r="W94" i="20" s="1"/>
  <c r="V85" i="20" a="1"/>
  <c r="V85" i="20" s="1"/>
  <c r="AA31" i="20" a="1"/>
  <c r="AA31" i="20" s="1"/>
  <c r="V47" i="7" a="1"/>
  <c r="V47" i="7" s="1"/>
  <c r="Y32" i="20" a="1"/>
  <c r="Y32" i="20" s="1"/>
  <c r="AB40" i="20" a="1"/>
  <c r="AB40" i="20" s="1"/>
  <c r="V48" i="20" a="1"/>
  <c r="V48" i="20" s="1"/>
  <c r="AD74" i="7" a="1"/>
  <c r="AD74" i="7" s="1"/>
  <c r="AA96" i="20" a="1"/>
  <c r="AA96" i="20" s="1"/>
  <c r="AA37" i="20" a="1"/>
  <c r="AA37" i="20" s="1"/>
  <c r="X60" i="20" a="1"/>
  <c r="X60" i="20" s="1"/>
  <c r="W99" i="20" a="1"/>
  <c r="W99" i="20" s="1"/>
  <c r="W31" i="20" a="1"/>
  <c r="W31" i="20" s="1"/>
  <c r="AD73" i="7" a="1"/>
  <c r="AD73" i="7" s="1"/>
  <c r="W62" i="20" a="1"/>
  <c r="W62" i="20" s="1"/>
  <c r="X98" i="20" a="1"/>
  <c r="X98" i="20" s="1"/>
  <c r="V44" i="20" a="1"/>
  <c r="V44" i="20" s="1"/>
  <c r="AD104" i="7" a="1"/>
  <c r="AD104" i="7" s="1"/>
  <c r="X50" i="7" a="1"/>
  <c r="X50" i="7" s="1"/>
  <c r="AB108" i="20" a="1"/>
  <c r="AB108" i="20" s="1"/>
  <c r="W86" i="20" a="1"/>
  <c r="W86" i="20" s="1"/>
  <c r="X94" i="20" a="1"/>
  <c r="X94" i="20" s="1"/>
  <c r="AB57" i="20" a="1"/>
  <c r="AB57" i="20" s="1"/>
  <c r="Y92" i="20" a="1"/>
  <c r="Y92" i="20" s="1"/>
  <c r="AD52" i="7" a="1"/>
  <c r="AD52" i="7" s="1"/>
  <c r="AA51" i="20" a="1"/>
  <c r="AA51" i="20" s="1"/>
  <c r="Z105" i="20" a="1"/>
  <c r="Z105" i="20" s="1"/>
  <c r="V59" i="20" a="1"/>
  <c r="V59" i="20" s="1"/>
  <c r="Y50" i="20" a="1"/>
  <c r="Y50" i="20" s="1"/>
  <c r="W65" i="20" a="1"/>
  <c r="W65" i="20" s="1"/>
  <c r="W64" i="20" a="1"/>
  <c r="W64" i="20" s="1"/>
  <c r="Z62" i="20" a="1"/>
  <c r="Z62" i="20" s="1"/>
  <c r="AA57" i="20" a="1"/>
  <c r="AA57" i="20" s="1"/>
  <c r="X69" i="7" a="1"/>
  <c r="X69" i="7" s="1"/>
  <c r="V69" i="20" a="1"/>
  <c r="V69" i="20" s="1"/>
  <c r="AB107" i="20" a="1"/>
  <c r="AB107" i="20" s="1"/>
  <c r="AB50" i="20" a="1"/>
  <c r="AB50" i="20" s="1"/>
  <c r="V87" i="20" a="1"/>
  <c r="V87" i="20" s="1"/>
  <c r="AB55" i="20" a="1"/>
  <c r="AB55" i="20" s="1"/>
  <c r="X65" i="20" a="1"/>
  <c r="X65" i="20" s="1"/>
  <c r="Y54" i="7" a="1"/>
  <c r="Y54" i="7" s="1"/>
  <c r="Y31" i="20" a="1"/>
  <c r="Y31" i="20" s="1"/>
  <c r="AA107" i="20" a="1"/>
  <c r="AA107" i="20" s="1"/>
  <c r="AB48" i="20" a="1"/>
  <c r="AB48" i="20" s="1"/>
  <c r="W32" i="20" a="1"/>
  <c r="W32" i="20" s="1"/>
  <c r="Z57" i="20" a="1"/>
  <c r="Z57" i="20" s="1"/>
  <c r="AB110" i="20" a="1"/>
  <c r="AB110" i="20" s="1"/>
  <c r="AA40" i="20" a="1"/>
  <c r="AA40" i="20" s="1"/>
  <c r="W71" i="20" a="1"/>
  <c r="W71" i="20" s="1"/>
  <c r="AA74" i="20" a="1"/>
  <c r="AA74" i="20" s="1"/>
  <c r="AD83" i="7" a="1"/>
  <c r="AD83" i="7" s="1"/>
  <c r="V78" i="20" a="1"/>
  <c r="V78" i="20" s="1"/>
  <c r="Y108" i="20" a="1"/>
  <c r="Y108" i="20" s="1"/>
  <c r="Y105" i="20" a="1"/>
  <c r="Y105" i="20" s="1"/>
  <c r="W108" i="20" a="1"/>
  <c r="W108" i="20" s="1"/>
  <c r="X103" i="20" a="1"/>
  <c r="X103" i="20" s="1"/>
  <c r="X38" i="20" a="1"/>
  <c r="X38" i="20" s="1"/>
  <c r="Y44" i="20" a="1"/>
  <c r="Y44" i="20" s="1"/>
  <c r="AA103" i="20" a="1"/>
  <c r="AA103" i="20" s="1"/>
  <c r="W61" i="7" a="1"/>
  <c r="W61" i="7" s="1"/>
  <c r="AD92" i="7" a="1"/>
  <c r="AD92" i="7" s="1"/>
  <c r="Z44" i="20" a="1"/>
  <c r="Z44" i="20" s="1"/>
  <c r="X89" i="20" a="1"/>
  <c r="X89" i="20" s="1"/>
  <c r="V55" i="20" a="1"/>
  <c r="V55" i="20" s="1"/>
  <c r="AB63" i="20" a="1"/>
  <c r="AB63" i="20" s="1"/>
  <c r="X37" i="20" a="1"/>
  <c r="X37" i="20" s="1"/>
  <c r="Y37" i="20" a="1"/>
  <c r="Y37" i="20" s="1"/>
  <c r="V46" i="20" a="1"/>
  <c r="V46" i="20" s="1"/>
  <c r="AD60" i="7" a="1"/>
  <c r="AD60" i="7" s="1"/>
  <c r="Q60" i="8" s="1"/>
  <c r="R60" i="8" s="1" a="1"/>
  <c r="R60" i="8" s="1"/>
  <c r="S60" i="8" s="1" a="1"/>
  <c r="S60" i="8" s="1"/>
  <c r="T60" i="8" s="1" a="1"/>
  <c r="T60" i="8" s="1"/>
  <c r="U60" i="8" s="1" a="1"/>
  <c r="U60" i="8" s="1"/>
  <c r="W52" i="20" a="1"/>
  <c r="W52" i="20" s="1"/>
  <c r="Y73" i="20" a="1"/>
  <c r="Y73" i="20" s="1"/>
  <c r="AB68" i="20" a="1"/>
  <c r="AB68" i="20" s="1"/>
  <c r="AB53" i="20" a="1"/>
  <c r="AB53" i="20" s="1"/>
  <c r="W101" i="20" a="1"/>
  <c r="W101" i="20" s="1"/>
  <c r="X110" i="20" a="1"/>
  <c r="X110" i="20" s="1"/>
  <c r="W104" i="20" a="1"/>
  <c r="W104" i="20" s="1"/>
  <c r="X95" i="20" a="1"/>
  <c r="X95" i="20" s="1"/>
  <c r="W49" i="20" a="1"/>
  <c r="W49" i="20" s="1"/>
  <c r="AB46" i="20" a="1"/>
  <c r="AB46" i="20" s="1"/>
  <c r="Z81" i="20" a="1"/>
  <c r="Z81" i="20" s="1"/>
  <c r="Y79" i="20" a="1"/>
  <c r="Y79" i="20" s="1"/>
  <c r="W93" i="7" a="1"/>
  <c r="W93" i="7" s="1"/>
  <c r="W39" i="20" a="1"/>
  <c r="W39" i="20" s="1"/>
  <c r="V33" i="20" a="1"/>
  <c r="V33" i="20" s="1"/>
  <c r="V40" i="20" a="1"/>
  <c r="V40" i="20" s="1"/>
  <c r="X85" i="20" a="1"/>
  <c r="X85" i="20" s="1"/>
  <c r="AB35" i="20" a="1"/>
  <c r="AB35" i="20" s="1"/>
  <c r="Z80" i="20" a="1"/>
  <c r="Z80" i="20" s="1"/>
  <c r="Y98" i="20" a="1"/>
  <c r="Y98" i="20" s="1"/>
  <c r="W67" i="20" a="1"/>
  <c r="W67" i="20" s="1"/>
  <c r="AA73" i="20" a="1"/>
  <c r="AA73" i="20" s="1"/>
  <c r="Y40" i="20" a="1"/>
  <c r="Y40" i="20" s="1"/>
  <c r="Z67" i="20" a="1"/>
  <c r="Z67" i="20" s="1"/>
  <c r="AB44" i="20" a="1"/>
  <c r="AB44" i="20" s="1"/>
  <c r="V103" i="20" a="1"/>
  <c r="V103" i="20" s="1"/>
  <c r="Y99" i="20" a="1"/>
  <c r="Y99" i="20" s="1"/>
  <c r="Y59" i="20" a="1"/>
  <c r="Y59" i="20" s="1"/>
  <c r="AA106" i="20" a="1"/>
  <c r="AA106" i="20" s="1"/>
  <c r="V34" i="20" a="1"/>
  <c r="V34" i="20" s="1"/>
  <c r="AA44" i="20" a="1"/>
  <c r="AA44" i="20" s="1"/>
  <c r="AD86" i="7" a="1"/>
  <c r="AD86" i="7" s="1"/>
  <c r="Q86" i="8" s="1"/>
  <c r="R86" i="8" s="1" a="1"/>
  <c r="R86" i="8" s="1"/>
  <c r="S86" i="8" s="1" a="1"/>
  <c r="S86" i="8" s="1"/>
  <c r="T86" i="8" s="1" a="1"/>
  <c r="T86" i="8" s="1"/>
  <c r="U86" i="8" s="1" a="1"/>
  <c r="U86" i="8" s="1"/>
  <c r="Y76" i="20" a="1"/>
  <c r="Y76" i="20" s="1"/>
  <c r="AD34" i="7" a="1"/>
  <c r="AD34" i="7" s="1"/>
  <c r="Z58" i="20" a="1"/>
  <c r="Z58" i="20" s="1"/>
  <c r="Z52" i="20" a="1"/>
  <c r="Z52" i="20" s="1"/>
  <c r="W72" i="20" a="1"/>
  <c r="W72" i="20" s="1"/>
  <c r="AD32" i="7" a="1"/>
  <c r="AD32" i="7" s="1"/>
  <c r="Q32" i="8" s="1"/>
  <c r="R32" i="8" s="1" a="1"/>
  <c r="R32" i="8" s="1"/>
  <c r="S32" i="8" s="1" a="1"/>
  <c r="S32" i="8" s="1"/>
  <c r="T32" i="8" s="1" a="1"/>
  <c r="T32" i="8" s="1"/>
  <c r="U32" i="8" s="1" a="1"/>
  <c r="U32" i="8" s="1"/>
  <c r="AD85" i="7" a="1"/>
  <c r="AD85" i="7" s="1"/>
  <c r="Q85" i="8" s="1"/>
  <c r="R85" i="8" s="1" a="1"/>
  <c r="R85" i="8" s="1"/>
  <c r="S85" i="8" s="1" a="1"/>
  <c r="S85" i="8" s="1"/>
  <c r="T85" i="8" s="1" a="1"/>
  <c r="T85" i="8" s="1"/>
  <c r="U85" i="8" s="1" a="1"/>
  <c r="U85" i="8" s="1"/>
  <c r="X74" i="20" a="1"/>
  <c r="X74" i="20" s="1"/>
  <c r="AB38" i="20" a="1"/>
  <c r="AB38" i="20" s="1"/>
  <c r="AA58" i="20" a="1"/>
  <c r="AA58" i="20" s="1"/>
  <c r="AB105" i="20" a="1"/>
  <c r="AB105" i="20" s="1"/>
  <c r="AD40" i="7" a="1"/>
  <c r="AD40" i="7" s="1"/>
  <c r="Y52" i="20" a="1"/>
  <c r="Y52" i="20" s="1"/>
  <c r="V30" i="20" a="1"/>
  <c r="V30" i="20" s="1"/>
  <c r="W40" i="7" a="1"/>
  <c r="W40" i="7" s="1"/>
  <c r="AA108" i="20" a="1"/>
  <c r="AA108" i="20" s="1"/>
  <c r="X31" i="20" a="1"/>
  <c r="X31" i="20" s="1"/>
  <c r="W97" i="20" a="1"/>
  <c r="W97" i="20" s="1"/>
  <c r="Y101" i="20" a="1"/>
  <c r="Y101" i="20" s="1"/>
  <c r="AD80" i="7" a="1"/>
  <c r="AD80" i="7" s="1"/>
  <c r="W83" i="7" a="1"/>
  <c r="W83" i="7" s="1"/>
  <c r="V77" i="20" a="1"/>
  <c r="V77" i="20" s="1"/>
  <c r="W76" i="20" a="1"/>
  <c r="W76" i="20" s="1"/>
  <c r="Y87" i="20" a="1"/>
  <c r="Y87" i="20" s="1"/>
  <c r="W81" i="7" a="1"/>
  <c r="W81" i="7" s="1"/>
  <c r="V47" i="20" a="1"/>
  <c r="V47" i="20" s="1"/>
  <c r="X46" i="7" a="1"/>
  <c r="X46" i="7" s="1"/>
  <c r="Z83" i="20" a="1"/>
  <c r="Z83" i="20" s="1"/>
  <c r="AA35" i="20" a="1"/>
  <c r="AA35" i="20" s="1"/>
  <c r="Y67" i="20" a="1"/>
  <c r="Y67" i="20" s="1"/>
  <c r="Z61" i="20" a="1"/>
  <c r="Z61" i="20" s="1"/>
  <c r="Z63" i="20" a="1"/>
  <c r="Z63" i="20" s="1"/>
  <c r="X93" i="7" a="1"/>
  <c r="X93" i="7" s="1"/>
  <c r="AA70" i="20" a="1"/>
  <c r="AA70" i="20" s="1"/>
  <c r="Y61" i="20" a="1"/>
  <c r="Y61" i="20" s="1"/>
  <c r="X77" i="7" a="1"/>
  <c r="X77" i="7" s="1"/>
  <c r="AD81" i="7" a="1"/>
  <c r="AD81" i="7" s="1"/>
  <c r="AB31" i="20" a="1"/>
  <c r="AB31" i="20" s="1"/>
  <c r="Z36" i="20" a="1"/>
  <c r="Z36" i="20" s="1"/>
  <c r="AA60" i="20" a="1"/>
  <c r="AA60" i="20" s="1"/>
  <c r="AA71" i="20" a="1"/>
  <c r="AA71" i="20" s="1"/>
  <c r="W104" i="7" a="1"/>
  <c r="W104" i="7" s="1"/>
  <c r="AB95" i="20" a="1"/>
  <c r="AB95" i="20" s="1"/>
  <c r="V61" i="20" a="1"/>
  <c r="V61" i="20" s="1"/>
  <c r="V88" i="20" a="1"/>
  <c r="V88" i="20" s="1"/>
  <c r="Z34" i="20" a="1"/>
  <c r="Z34" i="20" s="1"/>
  <c r="Y41" i="20" a="1"/>
  <c r="Y41" i="20" s="1"/>
  <c r="Z47" i="20" a="1"/>
  <c r="Z47" i="20" s="1"/>
  <c r="W96" i="20" a="1"/>
  <c r="W96" i="20" s="1"/>
  <c r="X87" i="20" a="1"/>
  <c r="X87" i="20" s="1"/>
  <c r="Y97" i="20" a="1"/>
  <c r="Y97" i="20" s="1"/>
  <c r="W83" i="20" a="1"/>
  <c r="W83" i="20" s="1"/>
  <c r="X75" i="20" a="1"/>
  <c r="X75" i="20" s="1"/>
  <c r="X73" i="20" a="1"/>
  <c r="X73" i="20" s="1"/>
  <c r="Y86" i="20" a="1"/>
  <c r="Y86" i="20" s="1"/>
  <c r="V97" i="20" a="1"/>
  <c r="V97" i="20" s="1"/>
  <c r="AD42" i="7" a="1"/>
  <c r="AD42" i="7" s="1"/>
  <c r="X76" i="20" a="1"/>
  <c r="X76" i="20" s="1"/>
  <c r="Z95" i="20" a="1"/>
  <c r="Z95" i="20" s="1"/>
  <c r="AD95" i="7" a="1"/>
  <c r="AD95" i="7" s="1"/>
  <c r="AD105" i="7" a="1"/>
  <c r="AD105" i="7" s="1"/>
  <c r="Q110" i="8" s="1"/>
  <c r="R110" i="8" s="1" a="1"/>
  <c r="R110" i="8" s="1"/>
  <c r="S110" i="8" s="1" a="1"/>
  <c r="S110" i="8" s="1"/>
  <c r="T110" i="8" s="1" a="1"/>
  <c r="T110" i="8" s="1"/>
  <c r="U110" i="8" s="1" a="1"/>
  <c r="U110" i="8" s="1"/>
  <c r="V63" i="7" a="1"/>
  <c r="V63" i="7" s="1"/>
  <c r="AA59" i="20" a="1"/>
  <c r="AA59" i="20" s="1"/>
  <c r="Z107" i="20" a="1"/>
  <c r="Z107" i="20" s="1"/>
  <c r="V50" i="20" a="1"/>
  <c r="V50" i="20" s="1"/>
  <c r="V52" i="20" a="1"/>
  <c r="V52" i="20" s="1"/>
  <c r="Y49" i="20" a="1"/>
  <c r="Y49" i="20" s="1"/>
  <c r="W66" i="20" a="1"/>
  <c r="W66" i="20" s="1"/>
  <c r="Y96" i="20" a="1"/>
  <c r="Y96" i="20" s="1"/>
  <c r="X91" i="20" a="1"/>
  <c r="X91" i="20" s="1"/>
  <c r="W56" i="20" a="1"/>
  <c r="W56" i="20" s="1"/>
  <c r="Y57" i="20" a="1"/>
  <c r="Y57" i="20" s="1"/>
  <c r="AB59" i="20" a="1"/>
  <c r="AB59" i="20" s="1"/>
  <c r="Z106" i="20" a="1"/>
  <c r="Z106" i="20" s="1"/>
  <c r="Z40" i="20" a="1"/>
  <c r="Z40" i="20" s="1"/>
  <c r="Y55" i="20" a="1"/>
  <c r="Y55" i="20" s="1"/>
  <c r="Z43" i="20" a="1"/>
  <c r="Z43" i="20" s="1"/>
  <c r="X96" i="20" a="1"/>
  <c r="X96" i="20" s="1"/>
  <c r="Z86" i="20" a="1"/>
  <c r="Z86" i="20" s="1"/>
  <c r="Z91" i="20" a="1"/>
  <c r="Z91" i="20" s="1"/>
  <c r="Z55" i="20" a="1"/>
  <c r="Z55" i="20" s="1"/>
  <c r="AD70" i="7" a="1"/>
  <c r="AD70" i="7" s="1"/>
  <c r="V101" i="20" a="1"/>
  <c r="V101" i="20" s="1"/>
  <c r="Y56" i="7" a="1"/>
  <c r="Y56" i="7" s="1"/>
  <c r="V43" i="20" a="1"/>
  <c r="V43" i="20" s="1"/>
  <c r="AB36" i="20" a="1"/>
  <c r="AB36" i="20" s="1"/>
  <c r="V92" i="20" a="1"/>
  <c r="V92" i="20" s="1"/>
  <c r="AA36" i="20" a="1"/>
  <c r="AA36" i="20" s="1"/>
  <c r="AD78" i="7" a="1"/>
  <c r="AD78" i="7" s="1"/>
  <c r="Z76" i="20" a="1"/>
  <c r="Z76" i="20" s="1"/>
  <c r="W91" i="20" a="1"/>
  <c r="W91" i="20" s="1"/>
  <c r="AA84" i="20" a="1"/>
  <c r="AA84" i="20" s="1"/>
  <c r="AA99" i="20" a="1"/>
  <c r="AA99" i="20" s="1"/>
  <c r="AD96" i="7" a="1"/>
  <c r="AD96" i="7" s="1"/>
  <c r="V45" i="20" a="1"/>
  <c r="V45" i="20" s="1"/>
  <c r="AA46" i="20" a="1"/>
  <c r="AA46" i="20" s="1"/>
  <c r="X102" i="20" a="1"/>
  <c r="X102" i="20" s="1"/>
  <c r="AA75" i="20" a="1"/>
  <c r="AA75" i="20" s="1"/>
  <c r="Y106" i="20" a="1"/>
  <c r="Y106" i="20" s="1"/>
  <c r="AD69" i="7" a="1"/>
  <c r="AD69" i="7" s="1"/>
  <c r="AB49" i="20" a="1"/>
  <c r="AB49" i="20" s="1"/>
  <c r="V106" i="7" a="1"/>
  <c r="V106" i="7" s="1"/>
  <c r="Z82" i="20" a="1"/>
  <c r="Z82" i="20" s="1"/>
  <c r="AB78" i="20" a="1"/>
  <c r="AB78" i="20" s="1"/>
  <c r="AA94" i="20" a="1"/>
  <c r="AA94" i="20" s="1"/>
  <c r="AB91" i="20" a="1"/>
  <c r="AB91" i="20" s="1"/>
  <c r="V49" i="7" a="1"/>
  <c r="V49" i="7" s="1"/>
  <c r="AD44" i="7" a="1"/>
  <c r="AD44" i="7" s="1"/>
  <c r="Q44" i="8" s="1"/>
  <c r="R44" i="8" s="1" a="1"/>
  <c r="R44" i="8" s="1"/>
  <c r="S44" i="8" s="1" a="1"/>
  <c r="S44" i="8" s="1"/>
  <c r="T44" i="8" s="1" a="1"/>
  <c r="T44" i="8" s="1"/>
  <c r="U44" i="8" s="1" a="1"/>
  <c r="U44" i="8" s="1"/>
  <c r="W33" i="20" a="1"/>
  <c r="W33" i="20" s="1"/>
  <c r="AD33" i="7" a="1"/>
  <c r="AD33" i="7" s="1"/>
  <c r="Q33" i="8" s="1"/>
  <c r="R33" i="8" s="1" a="1"/>
  <c r="R33" i="8" s="1"/>
  <c r="S33" i="8" s="1" a="1"/>
  <c r="S33" i="8" s="1"/>
  <c r="T33" i="8" s="1" a="1"/>
  <c r="T33" i="8" s="1"/>
  <c r="U33" i="8" s="1" a="1"/>
  <c r="U33" i="8" s="1"/>
  <c r="X49" i="20" a="1"/>
  <c r="X49" i="20" s="1"/>
  <c r="AA68" i="20" a="1"/>
  <c r="AA68" i="20" s="1"/>
  <c r="AA76" i="20" a="1"/>
  <c r="AA76" i="20" s="1"/>
  <c r="V84" i="20" a="1"/>
  <c r="V84" i="20" s="1"/>
  <c r="W85" i="20" a="1"/>
  <c r="W85" i="20" s="1"/>
  <c r="AB104" i="20" a="1"/>
  <c r="AB104" i="20" s="1"/>
  <c r="W87" i="7" a="1"/>
  <c r="W87" i="7" s="1"/>
  <c r="Y100" i="20" a="1"/>
  <c r="Y100" i="20" s="1"/>
  <c r="Z75" i="20" a="1"/>
  <c r="Z75" i="20" s="1"/>
  <c r="AB65" i="20" a="1"/>
  <c r="AB65" i="20" s="1"/>
  <c r="Y62" i="20" a="1"/>
  <c r="Y62" i="20" s="1"/>
  <c r="W46" i="20" a="1"/>
  <c r="W46" i="20" s="1"/>
  <c r="AB42" i="20" a="1"/>
  <c r="AB42" i="20" s="1"/>
  <c r="Y34" i="20" a="1"/>
  <c r="Y34" i="20" s="1"/>
  <c r="W88" i="20" a="1"/>
  <c r="W88" i="20" s="1"/>
  <c r="V36" i="20" a="1"/>
  <c r="V36" i="20" s="1"/>
  <c r="Y51" i="20" a="1"/>
  <c r="Y51" i="20" s="1"/>
  <c r="W103" i="20" a="1"/>
  <c r="W103" i="20" s="1"/>
  <c r="W41" i="20" a="1"/>
  <c r="W41" i="20" s="1"/>
  <c r="Z33" i="20" a="1"/>
  <c r="Z33" i="20" s="1"/>
  <c r="W73" i="20" a="1"/>
  <c r="W73" i="20" s="1"/>
  <c r="W68" i="20" a="1"/>
  <c r="W68" i="20" s="1"/>
  <c r="V82" i="20" a="1"/>
  <c r="V82" i="20" s="1"/>
  <c r="Z65" i="20" a="1"/>
  <c r="Z65" i="20" s="1"/>
  <c r="AB54" i="20" a="1"/>
  <c r="AB54" i="20" s="1"/>
  <c r="Y104" i="20" a="1"/>
  <c r="Y104" i="20" s="1"/>
  <c r="Z92" i="20" a="1"/>
  <c r="Z92" i="20" s="1"/>
  <c r="W110" i="20" a="1"/>
  <c r="W110" i="20" s="1"/>
  <c r="V99" i="7" a="1"/>
  <c r="V99" i="7" s="1"/>
  <c r="AB96" i="20" a="1"/>
  <c r="AB96" i="20" s="1"/>
  <c r="AB72" i="20" a="1"/>
  <c r="AB72" i="20" s="1"/>
  <c r="V108" i="20" a="1"/>
  <c r="V108" i="20" s="1"/>
  <c r="X81" i="20" a="1"/>
  <c r="X81" i="20" s="1"/>
  <c r="Z78" i="20" a="1"/>
  <c r="Z78" i="20" s="1"/>
  <c r="AA82" i="20" a="1"/>
  <c r="AA82" i="20" s="1"/>
  <c r="V70" i="20" a="1"/>
  <c r="V70" i="20" s="1"/>
  <c r="Z96" i="20" a="1"/>
  <c r="Z96" i="20" s="1"/>
  <c r="AB64" i="20" a="1"/>
  <c r="AB64" i="20" s="1"/>
  <c r="X34" i="7" a="1"/>
  <c r="X34" i="7" s="1"/>
  <c r="AB52" i="20" a="1"/>
  <c r="AB52" i="20" s="1"/>
  <c r="W93" i="20" a="1"/>
  <c r="W93" i="20" s="1"/>
  <c r="AB32" i="20" a="1"/>
  <c r="AB32" i="20" s="1"/>
  <c r="AB82" i="20" a="1"/>
  <c r="AB82" i="20" s="1"/>
  <c r="Y80" i="20" a="1"/>
  <c r="Y80" i="20" s="1"/>
  <c r="X75" i="7" a="1"/>
  <c r="X75" i="7" s="1"/>
  <c r="V51" i="7" a="1"/>
  <c r="V51" i="7" s="1"/>
  <c r="Z45" i="20" a="1"/>
  <c r="Z45" i="20" s="1"/>
  <c r="AA79" i="20" a="1"/>
  <c r="AA79" i="20" s="1"/>
  <c r="AB99" i="20" a="1"/>
  <c r="AB99" i="20" s="1"/>
  <c r="Y33" i="20" a="1"/>
  <c r="Y33" i="20" s="1"/>
  <c r="Z39" i="20" a="1"/>
  <c r="Z39" i="20" s="1"/>
  <c r="V71" i="20" a="1"/>
  <c r="V71" i="20" s="1"/>
  <c r="AA83" i="20" a="1"/>
  <c r="AA83" i="20" s="1"/>
  <c r="Y82" i="20" a="1"/>
  <c r="Y82" i="20" s="1"/>
  <c r="Y103" i="20" a="1"/>
  <c r="Y103" i="20" s="1"/>
  <c r="Y71" i="20" a="1"/>
  <c r="Y71" i="20" s="1"/>
  <c r="Y58" i="20" a="1"/>
  <c r="Y58" i="20" s="1"/>
  <c r="X62" i="20" a="1"/>
  <c r="X62" i="20" s="1"/>
  <c r="X64" i="20" a="1"/>
  <c r="X64" i="20" s="1"/>
  <c r="AA95" i="20" a="1"/>
  <c r="AA95" i="20" s="1"/>
  <c r="Z59" i="20" a="1"/>
  <c r="Z59" i="20" s="1"/>
  <c r="AD43" i="7" a="1"/>
  <c r="AD43" i="7" s="1"/>
  <c r="Q43" i="8" s="1"/>
  <c r="R43" i="8" s="1" a="1"/>
  <c r="R43" i="8" s="1"/>
  <c r="S43" i="8" s="1" a="1"/>
  <c r="S43" i="8" s="1"/>
  <c r="T43" i="8" s="1" a="1"/>
  <c r="T43" i="8" s="1"/>
  <c r="U43" i="8" s="1" a="1"/>
  <c r="U43" i="8" s="1"/>
  <c r="Z99" i="20" a="1"/>
  <c r="Z99" i="20" s="1"/>
  <c r="W45" i="20" a="1"/>
  <c r="W45" i="20" s="1"/>
  <c r="AD55" i="7" a="1"/>
  <c r="AD55" i="7" s="1"/>
  <c r="Q55" i="8" s="1"/>
  <c r="R55" i="8" s="1" a="1"/>
  <c r="R55" i="8" s="1"/>
  <c r="S55" i="8" s="1" a="1"/>
  <c r="S55" i="8" s="1"/>
  <c r="T55" i="8" s="1" a="1"/>
  <c r="T55" i="8" s="1"/>
  <c r="U55" i="8" s="1" a="1"/>
  <c r="U55" i="8" s="1"/>
  <c r="Z64" i="20" a="1"/>
  <c r="Z64" i="20" s="1"/>
  <c r="V96" i="20" a="1"/>
  <c r="V96" i="20" s="1"/>
  <c r="W109" i="7" a="1"/>
  <c r="W109" i="7" s="1"/>
  <c r="AA92" i="20" a="1"/>
  <c r="AA92" i="20" s="1"/>
  <c r="Y48" i="20" a="1"/>
  <c r="Y48" i="20" s="1"/>
  <c r="AB58" i="20" a="1"/>
  <c r="AB58" i="20" s="1"/>
  <c r="Z50" i="20" a="1"/>
  <c r="Z50" i="20" s="1"/>
  <c r="Z109" i="20" a="1"/>
  <c r="Z109" i="20" s="1"/>
  <c r="AA87" i="20" a="1"/>
  <c r="AA87" i="20" s="1"/>
  <c r="X83" i="20" a="1"/>
  <c r="X83" i="20" s="1"/>
  <c r="X66" i="20" a="1"/>
  <c r="X66" i="20" s="1"/>
  <c r="W43" i="20" a="1"/>
  <c r="W43" i="20" s="1"/>
  <c r="V32" i="20" a="1"/>
  <c r="V32" i="20" s="1"/>
  <c r="W35" i="20" a="1"/>
  <c r="W35" i="20" s="1"/>
  <c r="AB100" i="20" a="1"/>
  <c r="AB100" i="20" s="1"/>
  <c r="W102" i="20" a="1"/>
  <c r="W102" i="20" s="1"/>
  <c r="V45" i="7" a="1"/>
  <c r="V45" i="7" s="1"/>
  <c r="AD75" i="7" a="1"/>
  <c r="AD75" i="7" s="1"/>
  <c r="AB30" i="20" a="1"/>
  <c r="AB30" i="20" s="1"/>
  <c r="W74" i="20" a="1"/>
  <c r="W74" i="20" s="1"/>
  <c r="Z49" i="20" a="1"/>
  <c r="Z49" i="20" s="1"/>
  <c r="Y84" i="20" a="1"/>
  <c r="Y84" i="20" s="1"/>
  <c r="AA48" i="20" a="1"/>
  <c r="AA48" i="20" s="1"/>
  <c r="AD66" i="7" a="1"/>
  <c r="AD66" i="7" s="1"/>
  <c r="X51" i="20" a="1"/>
  <c r="X51" i="20" s="1"/>
  <c r="Z90" i="20" a="1"/>
  <c r="Z90" i="20" s="1"/>
  <c r="V85" i="7" a="1"/>
  <c r="V85" i="7" s="1"/>
  <c r="AB98" i="20" a="1"/>
  <c r="AB98" i="20" s="1"/>
  <c r="X108" i="20" a="1"/>
  <c r="X108" i="20" s="1"/>
  <c r="X54" i="20" a="1"/>
  <c r="X54" i="20" s="1"/>
  <c r="AA49" i="20" a="1"/>
  <c r="AA49" i="20" s="1"/>
  <c r="Z35" i="20" a="1"/>
  <c r="Z35" i="20" s="1"/>
  <c r="Z32" i="20" a="1"/>
  <c r="Z32" i="20" s="1"/>
  <c r="AD49" i="7" a="1"/>
  <c r="AD49" i="7" s="1"/>
  <c r="V99" i="20" a="1"/>
  <c r="V99" i="20" s="1"/>
  <c r="X79" i="20" a="1"/>
  <c r="X79" i="20" s="1"/>
  <c r="AD47" i="7" a="1"/>
  <c r="AD47" i="7" s="1"/>
  <c r="V83" i="20" a="1"/>
  <c r="V83" i="20" s="1"/>
  <c r="X101" i="20" a="1"/>
  <c r="X101" i="20" s="1"/>
  <c r="Y75" i="20" a="1"/>
  <c r="Y75" i="20" s="1"/>
  <c r="Y64" i="20" a="1"/>
  <c r="Y64" i="20" s="1"/>
  <c r="AB90" i="20" a="1"/>
  <c r="AB90" i="20" s="1"/>
  <c r="AB94" i="20" a="1"/>
  <c r="AB94" i="20" s="1"/>
  <c r="AB85" i="20" a="1"/>
  <c r="AB85" i="20" s="1"/>
  <c r="AB93" i="20" a="1"/>
  <c r="AB93" i="20" s="1"/>
  <c r="V80" i="20" a="1"/>
  <c r="V80" i="20" s="1"/>
  <c r="Z66" i="20" a="1"/>
  <c r="Z66" i="20" s="1"/>
  <c r="Y78" i="20" a="1"/>
  <c r="Y78" i="20" s="1"/>
  <c r="X59" i="20" a="1"/>
  <c r="X59" i="20" s="1"/>
  <c r="Z31" i="20" a="1"/>
  <c r="Z31" i="20" s="1"/>
  <c r="X50" i="20" a="1"/>
  <c r="X50" i="20" s="1"/>
  <c r="V74" i="20" a="1"/>
  <c r="V74" i="20" s="1"/>
  <c r="AA39" i="20" a="1"/>
  <c r="AA39" i="20" s="1"/>
  <c r="AD38" i="7" a="1"/>
  <c r="AD38" i="7" s="1"/>
  <c r="Q38" i="8" s="1"/>
  <c r="R38" i="8" s="1" a="1"/>
  <c r="R38" i="8" s="1"/>
  <c r="S38" i="8" s="1" a="1"/>
  <c r="S38" i="8" s="1"/>
  <c r="T38" i="8" s="1" a="1"/>
  <c r="T38" i="8" s="1"/>
  <c r="U38" i="8" s="1" a="1"/>
  <c r="U38" i="8" s="1"/>
  <c r="X65" i="7" a="1"/>
  <c r="X65" i="7" s="1"/>
  <c r="AA53" i="20" a="1"/>
  <c r="AA53" i="20" s="1"/>
  <c r="AA56" i="20" a="1"/>
  <c r="AA56" i="20" s="1"/>
  <c r="AA100" i="20" a="1"/>
  <c r="AA100" i="20" s="1"/>
  <c r="X42" i="20" a="1"/>
  <c r="X42" i="20" s="1"/>
  <c r="V37" i="20" a="1"/>
  <c r="V37" i="20" s="1"/>
  <c r="Y107" i="20" a="1"/>
  <c r="Y107" i="20" s="1"/>
  <c r="AA64" i="20" a="1"/>
  <c r="AA64" i="20" s="1"/>
  <c r="V66" i="20" a="1"/>
  <c r="V66" i="20" s="1"/>
  <c r="V90" i="20" a="1"/>
  <c r="V90" i="20" s="1"/>
  <c r="AA32" i="20" a="1"/>
  <c r="AA32" i="20" s="1"/>
  <c r="V39" i="7" a="1"/>
  <c r="V39" i="7" s="1"/>
  <c r="AB73" i="20" a="1"/>
  <c r="AB73" i="20" s="1"/>
  <c r="W29" i="20" a="1"/>
  <c r="W29" i="20" s="1"/>
  <c r="AA61" i="20" a="1"/>
  <c r="AA61" i="20" s="1"/>
  <c r="Y30" i="20" a="1"/>
  <c r="Y30" i="20" s="1"/>
  <c r="Z110" i="20" a="1"/>
  <c r="Z110" i="20" s="1"/>
  <c r="V109" i="20" a="1"/>
  <c r="V109" i="20" s="1"/>
  <c r="W38" i="20" a="1"/>
  <c r="W38" i="20" s="1"/>
  <c r="AB109" i="20" a="1"/>
  <c r="AB109" i="20" s="1"/>
  <c r="Y91" i="20" a="1"/>
  <c r="Y91" i="20" s="1"/>
  <c r="W106" i="20" a="1"/>
  <c r="W106" i="20" s="1"/>
  <c r="AA69" i="20" a="1"/>
  <c r="AA69" i="20" s="1"/>
  <c r="Z42" i="20" a="1"/>
  <c r="Z42" i="20" s="1"/>
  <c r="Y69" i="20" a="1"/>
  <c r="Y69" i="20" s="1"/>
  <c r="W42" i="20" a="1"/>
  <c r="W42" i="20" s="1"/>
  <c r="Z87" i="20" a="1"/>
  <c r="Z87" i="20" s="1"/>
  <c r="AB60" i="20" a="1"/>
  <c r="AB60" i="20" s="1"/>
  <c r="Z68" i="20" a="1"/>
  <c r="Z68" i="20" s="1"/>
  <c r="W48" i="20" a="1"/>
  <c r="W48" i="20" s="1"/>
  <c r="AA97" i="20" a="1"/>
  <c r="AA97" i="20" s="1"/>
  <c r="W97" i="7" a="1"/>
  <c r="W97" i="7" s="1"/>
  <c r="AD101" i="7" a="1"/>
  <c r="AD101" i="7" s="1"/>
  <c r="Q105" i="8" s="1"/>
  <c r="R105" i="8" s="1" a="1"/>
  <c r="R105" i="8" s="1"/>
  <c r="S105" i="8" s="1" a="1"/>
  <c r="S105" i="8" s="1"/>
  <c r="T105" i="8" s="1" a="1"/>
  <c r="T105" i="8" s="1"/>
  <c r="U105" i="8" s="1" a="1"/>
  <c r="U105" i="8" s="1"/>
  <c r="Y83" i="20" a="1"/>
  <c r="Y83" i="20" s="1"/>
  <c r="X32" i="20" a="1"/>
  <c r="X32" i="20" s="1"/>
  <c r="AA43" i="20" a="1"/>
  <c r="AA43" i="20" s="1"/>
  <c r="X80" i="20" a="1"/>
  <c r="X80" i="20" s="1"/>
  <c r="Y42" i="20" a="1"/>
  <c r="Y42" i="20" s="1"/>
  <c r="W89" i="20" a="1"/>
  <c r="W89" i="20" s="1"/>
  <c r="W87" i="20" a="1"/>
  <c r="W87" i="20" s="1"/>
  <c r="X34" i="20" a="1"/>
  <c r="X34" i="20" s="1"/>
  <c r="Y77" i="20" a="1"/>
  <c r="Y77" i="20" s="1"/>
  <c r="AA47" i="20" a="1"/>
  <c r="AA47" i="20" s="1"/>
  <c r="Y68" i="20" a="1"/>
  <c r="Y68" i="20" s="1"/>
  <c r="AB75" i="20" a="1"/>
  <c r="AB75" i="20" s="1"/>
  <c r="W98" i="20" a="1"/>
  <c r="W98" i="20" s="1"/>
  <c r="V72" i="20" a="1"/>
  <c r="V72" i="20" s="1"/>
  <c r="W107" i="20" a="1"/>
  <c r="W107" i="20" s="1"/>
  <c r="W109" i="20" a="1"/>
  <c r="W109" i="20" s="1"/>
  <c r="W37" i="20" a="1"/>
  <c r="W37" i="20" s="1"/>
  <c r="X78" i="20" a="1"/>
  <c r="X78" i="20" s="1"/>
  <c r="Z100" i="20" a="1"/>
  <c r="Z100" i="20" s="1"/>
  <c r="AA105" i="20" a="1"/>
  <c r="AA105" i="20" s="1"/>
  <c r="V35" i="20" a="1"/>
  <c r="V35" i="20" s="1"/>
  <c r="X53" i="20" a="1"/>
  <c r="X53" i="20" s="1"/>
  <c r="AB39" i="20" a="1"/>
  <c r="AB39" i="20" s="1"/>
  <c r="V70" i="7" a="1"/>
  <c r="V70" i="7" s="1"/>
  <c r="Z104" i="20" a="1"/>
  <c r="Z104" i="20" s="1"/>
  <c r="Y47" i="20" a="1"/>
  <c r="Y47" i="20" s="1"/>
  <c r="Y39" i="20" a="1"/>
  <c r="Y39" i="20" s="1"/>
  <c r="W34" i="20" a="1"/>
  <c r="W34" i="20" s="1"/>
  <c r="Z51" i="20" a="1"/>
  <c r="Z51" i="20" s="1"/>
  <c r="Z71" i="20" a="1"/>
  <c r="Z71" i="20" s="1"/>
  <c r="W32" i="7" a="1"/>
  <c r="W32" i="7" s="1"/>
  <c r="Y35" i="20" a="1"/>
  <c r="Y35" i="20" s="1"/>
  <c r="Y46" i="20" a="1"/>
  <c r="Y46" i="20" s="1"/>
  <c r="X29" i="20" a="1"/>
  <c r="X29" i="20" s="1"/>
  <c r="AB81" i="20" a="1"/>
  <c r="AB81" i="20" s="1"/>
  <c r="W82" i="20" a="1"/>
  <c r="W82" i="20" s="1"/>
  <c r="Y53" i="7" a="1"/>
  <c r="Y53" i="7" s="1"/>
  <c r="Z79" i="20" a="1"/>
  <c r="Z79" i="20" s="1"/>
  <c r="AD79" i="7" a="1"/>
  <c r="AD79" i="7" s="1"/>
  <c r="Q79" i="8" s="1"/>
  <c r="R79" i="8" s="1" a="1"/>
  <c r="R79" i="8" s="1"/>
  <c r="S79" i="8" s="1" a="1"/>
  <c r="S79" i="8" s="1"/>
  <c r="T79" i="8" s="1" a="1"/>
  <c r="T79" i="8" s="1"/>
  <c r="U79" i="8" s="1" a="1"/>
  <c r="U79" i="8" s="1"/>
  <c r="V87" i="7" a="1"/>
  <c r="V87" i="7" s="1"/>
  <c r="AD72" i="7" a="1"/>
  <c r="AD72" i="7" s="1"/>
  <c r="AB45" i="20" a="1"/>
  <c r="AB45" i="20" s="1"/>
  <c r="V60" i="20" a="1"/>
  <c r="V60" i="20" s="1"/>
  <c r="AA91" i="20" a="1"/>
  <c r="AA91" i="20" s="1"/>
  <c r="AA41" i="20" a="1"/>
  <c r="AA41" i="20" s="1"/>
  <c r="X33" i="20" a="1"/>
  <c r="X33" i="20" s="1"/>
  <c r="W95" i="20" a="1"/>
  <c r="W95" i="20" s="1"/>
  <c r="AA88" i="20" a="1"/>
  <c r="AA88" i="20" s="1"/>
  <c r="X58" i="20" a="1"/>
  <c r="X58" i="20" s="1"/>
  <c r="X36" i="20" a="1"/>
  <c r="X36" i="20" s="1"/>
  <c r="AA89" i="20" a="1"/>
  <c r="AA89" i="20" s="1"/>
  <c r="X86" i="20" a="1"/>
  <c r="X86" i="20" s="1"/>
  <c r="AA77" i="20" a="1"/>
  <c r="AA77" i="20" s="1"/>
  <c r="Y63" i="20" a="1"/>
  <c r="Y63" i="20" s="1"/>
  <c r="V58" i="20" a="1"/>
  <c r="V58" i="20" s="1"/>
  <c r="W50" i="20" a="1"/>
  <c r="W50" i="20" s="1"/>
  <c r="AB34" i="20" a="1"/>
  <c r="AB34" i="20" s="1"/>
  <c r="AD68" i="7" a="1"/>
  <c r="AD68" i="7" s="1"/>
  <c r="V42" i="20" a="1"/>
  <c r="V42" i="20" s="1"/>
  <c r="X56" i="20" a="1"/>
  <c r="X56" i="20" s="1"/>
  <c r="V67" i="20" a="1"/>
  <c r="V67" i="20" s="1"/>
  <c r="AD59" i="7" a="1"/>
  <c r="AD59" i="7" s="1"/>
  <c r="Q59" i="8" s="1"/>
  <c r="R59" i="8" s="1" a="1"/>
  <c r="R59" i="8" s="1"/>
  <c r="S59" i="8" s="1" a="1"/>
  <c r="S59" i="8" s="1"/>
  <c r="T59" i="8" s="1" a="1"/>
  <c r="T59" i="8" s="1"/>
  <c r="U59" i="8" s="1" a="1"/>
  <c r="U59" i="8" s="1"/>
  <c r="AB47" i="20" a="1"/>
  <c r="AB47" i="20" s="1"/>
  <c r="V65" i="20" a="1"/>
  <c r="V65" i="20" s="1"/>
  <c r="W62" i="7" a="1"/>
  <c r="W62" i="7" s="1"/>
  <c r="AA80" i="20" a="1"/>
  <c r="AA80" i="20" s="1"/>
  <c r="W53" i="7" a="1"/>
  <c r="W53" i="7" s="1"/>
  <c r="AB89" i="20" a="1"/>
  <c r="AB89" i="20" s="1"/>
  <c r="AA38" i="20" a="1"/>
  <c r="AA38" i="20" s="1"/>
  <c r="V88" i="7" a="1"/>
  <c r="V88" i="7" s="1"/>
  <c r="W58" i="20" a="1"/>
  <c r="W58" i="20" s="1"/>
  <c r="AA109" i="20" a="1"/>
  <c r="AA109" i="20" s="1"/>
  <c r="AB62" i="20" a="1"/>
  <c r="AB62" i="20" s="1"/>
  <c r="AD108" i="7" a="1"/>
  <c r="AD108" i="7" s="1"/>
  <c r="Y38" i="20" a="1"/>
  <c r="Y38" i="20" s="1"/>
  <c r="AB86" i="20" a="1"/>
  <c r="AB86" i="20" s="1"/>
  <c r="X48" i="20" a="1"/>
  <c r="X48" i="20" s="1"/>
  <c r="V100" i="20" a="1"/>
  <c r="V100" i="20" s="1"/>
  <c r="W110" i="7" a="1"/>
  <c r="W110" i="7" s="1"/>
  <c r="AB70" i="20" a="1"/>
  <c r="AB70" i="20" s="1"/>
  <c r="X109" i="20" a="1"/>
  <c r="X109" i="20" s="1"/>
  <c r="X44" i="20" a="1"/>
  <c r="X44" i="20" s="1"/>
  <c r="V53" i="20" a="1"/>
  <c r="V53" i="20" s="1"/>
  <c r="V106" i="20" a="1"/>
  <c r="V106" i="20" s="1"/>
  <c r="W30" i="20" a="1"/>
  <c r="W30" i="20" s="1"/>
  <c r="AD64" i="7" a="1"/>
  <c r="AD64" i="7" s="1"/>
  <c r="AA110" i="20" a="1"/>
  <c r="AA110" i="20" s="1"/>
  <c r="V110" i="20" a="1"/>
  <c r="V110" i="20" s="1"/>
  <c r="Y59" i="7" a="1"/>
  <c r="Y59" i="7" s="1"/>
  <c r="Y80" i="7" a="1"/>
  <c r="Y80" i="7" s="1"/>
  <c r="V104" i="20" a="1"/>
  <c r="V104" i="20" s="1"/>
  <c r="V83" i="7" a="1"/>
  <c r="V83" i="7" s="1"/>
  <c r="AD82" i="7" a="1"/>
  <c r="AD82" i="7" s="1"/>
  <c r="V55" i="7" a="1"/>
  <c r="V55" i="7" s="1"/>
  <c r="W92" i="7" a="1"/>
  <c r="W92" i="7" s="1"/>
  <c r="V29" i="7" a="1"/>
  <c r="V29" i="7" s="1"/>
  <c r="W105" i="7" a="1"/>
  <c r="W105" i="7" s="1"/>
  <c r="V32" i="7" a="1"/>
  <c r="V32" i="7" s="1"/>
  <c r="W61" i="20" a="1"/>
  <c r="W61" i="20" s="1"/>
  <c r="Y72" i="20" a="1"/>
  <c r="Y72" i="20" s="1"/>
  <c r="AD76" i="7" a="1"/>
  <c r="AD76" i="7" s="1"/>
  <c r="Q76" i="8" s="1"/>
  <c r="R76" i="8" s="1" a="1"/>
  <c r="R76" i="8" s="1"/>
  <c r="S76" i="8" s="1" a="1"/>
  <c r="S76" i="8" s="1"/>
  <c r="T76" i="8" s="1" a="1"/>
  <c r="T76" i="8" s="1"/>
  <c r="U76" i="8" s="1" a="1"/>
  <c r="U76" i="8" s="1"/>
  <c r="X84" i="7" a="1"/>
  <c r="X84" i="7" s="1"/>
  <c r="W69" i="7" a="1"/>
  <c r="W69" i="7" s="1"/>
  <c r="V50" i="7" a="1"/>
  <c r="V50" i="7" s="1"/>
  <c r="W107" i="7" a="1"/>
  <c r="W107" i="7" s="1"/>
  <c r="W94" i="7" a="1"/>
  <c r="W94" i="7" s="1"/>
  <c r="W100" i="7" a="1"/>
  <c r="W100" i="7" s="1"/>
  <c r="Y99" i="7" a="1"/>
  <c r="Y99" i="7" s="1"/>
  <c r="Y102" i="20" a="1"/>
  <c r="Y102" i="20" s="1"/>
  <c r="Y102" i="7" a="1"/>
  <c r="Y102" i="7" s="1"/>
  <c r="Y37" i="7" a="1"/>
  <c r="Y37" i="7" s="1"/>
  <c r="V62" i="20" a="1"/>
  <c r="V62" i="20" s="1"/>
  <c r="V33" i="7" a="1"/>
  <c r="V33" i="7" s="1"/>
  <c r="Y31" i="7" a="1"/>
  <c r="Y31" i="7" s="1"/>
  <c r="W29" i="7" a="1"/>
  <c r="W29" i="7" s="1"/>
  <c r="W50" i="7" a="1"/>
  <c r="W50" i="7" s="1"/>
  <c r="W33" i="7" a="1"/>
  <c r="W33" i="7" s="1"/>
  <c r="AB92" i="20" a="1"/>
  <c r="AB92" i="20" s="1"/>
  <c r="AD106" i="7" a="1"/>
  <c r="AD106" i="7" s="1"/>
  <c r="AD84" i="7" a="1"/>
  <c r="AD84" i="7" s="1"/>
  <c r="Q84" i="8" s="1"/>
  <c r="R84" i="8" s="1" a="1"/>
  <c r="R84" i="8" s="1"/>
  <c r="V64" i="7" a="1"/>
  <c r="V64" i="7" s="1"/>
  <c r="W57" i="7" a="1"/>
  <c r="W57" i="7" s="1"/>
  <c r="W73" i="7" a="1"/>
  <c r="W73" i="7" s="1"/>
  <c r="Y105" i="7" a="1"/>
  <c r="Y105" i="7" s="1"/>
  <c r="Z85" i="20" a="1"/>
  <c r="Z85" i="20" s="1"/>
  <c r="V108" i="7" a="1"/>
  <c r="V108" i="7" s="1"/>
  <c r="Y94" i="20" a="1"/>
  <c r="Y94" i="20" s="1"/>
  <c r="X73" i="7" a="1"/>
  <c r="X73" i="7" s="1"/>
  <c r="V78" i="7" a="1"/>
  <c r="V78" i="7" s="1"/>
  <c r="V66" i="7" a="1"/>
  <c r="V66" i="7" s="1"/>
  <c r="X45" i="7" a="1"/>
  <c r="X45" i="7" s="1"/>
  <c r="X94" i="7" a="1"/>
  <c r="X94" i="7" s="1"/>
  <c r="X61" i="20" a="1"/>
  <c r="X61" i="20" s="1"/>
  <c r="AA78" i="20" a="1"/>
  <c r="AA78" i="20" s="1"/>
  <c r="Z54" i="20" a="1"/>
  <c r="Z54" i="20" s="1"/>
  <c r="V56" i="20" a="1"/>
  <c r="V56" i="20" s="1"/>
  <c r="V79" i="7" a="1"/>
  <c r="V79" i="7" s="1"/>
  <c r="AB84" i="20" a="1"/>
  <c r="AB84" i="20" s="1"/>
  <c r="AD50" i="7" a="1"/>
  <c r="AD50" i="7" s="1"/>
  <c r="Q50" i="8" s="1"/>
  <c r="R50" i="8" s="1" a="1"/>
  <c r="R50" i="8" s="1"/>
  <c r="S50" i="8" s="1" a="1"/>
  <c r="S50" i="8" s="1"/>
  <c r="T50" i="8" s="1" a="1"/>
  <c r="T50" i="8" s="1"/>
  <c r="U50" i="8" s="1" a="1"/>
  <c r="U50" i="8" s="1"/>
  <c r="V96" i="7" a="1"/>
  <c r="V96" i="7" s="1"/>
  <c r="V109" i="7" a="1"/>
  <c r="V109" i="7" s="1"/>
  <c r="W36" i="7" a="1"/>
  <c r="W36" i="7" s="1"/>
  <c r="X72" i="20" a="1"/>
  <c r="X72" i="20" s="1"/>
  <c r="Y33" i="7" a="1"/>
  <c r="Y33" i="7" s="1"/>
  <c r="Y60" i="20" a="1"/>
  <c r="Y60" i="20" s="1"/>
  <c r="AD37" i="7" a="1"/>
  <c r="AD37" i="7" s="1"/>
  <c r="Q37" i="8" s="1"/>
  <c r="R37" i="8" s="1" a="1"/>
  <c r="R37" i="8" s="1"/>
  <c r="S37" i="8" s="1" a="1"/>
  <c r="S37" i="8" s="1"/>
  <c r="T37" i="8" s="1" a="1"/>
  <c r="T37" i="8" s="1"/>
  <c r="U37" i="8" s="1" a="1"/>
  <c r="U37" i="8" s="1"/>
  <c r="Y107" i="7" a="1"/>
  <c r="Y107" i="7" s="1"/>
  <c r="Y60" i="7" a="1"/>
  <c r="Y60" i="7" s="1"/>
  <c r="V74" i="7" a="1"/>
  <c r="V74" i="7" s="1"/>
  <c r="V91" i="7" a="1"/>
  <c r="V91" i="7" s="1"/>
  <c r="AD51" i="7" a="1"/>
  <c r="AD51" i="7" s="1"/>
  <c r="X105" i="7" a="1"/>
  <c r="X105" i="7" s="1"/>
  <c r="W86" i="7" a="1"/>
  <c r="W86" i="7" s="1"/>
  <c r="AD93" i="7" a="1"/>
  <c r="AD93" i="7" s="1"/>
  <c r="Q95" i="8" s="1"/>
  <c r="R95" i="8" s="1" a="1"/>
  <c r="R95" i="8" s="1"/>
  <c r="S95" i="8" s="1" a="1"/>
  <c r="S95" i="8" s="1"/>
  <c r="T95" i="8" s="1" a="1"/>
  <c r="T95" i="8" s="1"/>
  <c r="U95" i="8" s="1" a="1"/>
  <c r="U95" i="8" s="1"/>
  <c r="V104" i="7" a="1"/>
  <c r="V104" i="7" s="1"/>
  <c r="Y96" i="7" a="1"/>
  <c r="Y96" i="7" s="1"/>
  <c r="X55" i="7" a="1"/>
  <c r="X55" i="7" s="1"/>
  <c r="X52" i="7" a="1"/>
  <c r="X52" i="7" s="1"/>
  <c r="V72" i="7" a="1"/>
  <c r="V72" i="7" s="1"/>
  <c r="V92" i="7" a="1"/>
  <c r="V92" i="7" s="1"/>
  <c r="Y70" i="20" a="1"/>
  <c r="Y70" i="20" s="1"/>
  <c r="V61" i="7" a="1"/>
  <c r="V61" i="7" s="1"/>
  <c r="X103" i="7" a="1"/>
  <c r="X103" i="7" s="1"/>
  <c r="Y36" i="20" a="1"/>
  <c r="Y36" i="20" s="1"/>
  <c r="W96" i="7" a="1"/>
  <c r="W96" i="7" s="1"/>
  <c r="V94" i="7" a="1"/>
  <c r="V94" i="7" s="1"/>
  <c r="V46" i="7" a="1"/>
  <c r="V46" i="7" s="1"/>
  <c r="AD35" i="7" a="1"/>
  <c r="AD35" i="7" s="1"/>
  <c r="Q35" i="8" s="1"/>
  <c r="R35" i="8" s="1" a="1"/>
  <c r="R35" i="8" s="1"/>
  <c r="S35" i="8" s="1" a="1"/>
  <c r="S35" i="8" s="1"/>
  <c r="T35" i="8" s="1" a="1"/>
  <c r="T35" i="8" s="1"/>
  <c r="U35" i="8" s="1" a="1"/>
  <c r="U35" i="8" s="1"/>
  <c r="V84" i="7" a="1"/>
  <c r="V84" i="7" s="1"/>
  <c r="W67" i="7" a="1"/>
  <c r="W67" i="7" s="1"/>
  <c r="X78" i="7" a="1"/>
  <c r="X78" i="7" s="1"/>
  <c r="X43" i="20" a="1"/>
  <c r="X43" i="20" s="1"/>
  <c r="X106" i="7" a="1"/>
  <c r="X106" i="7" s="1"/>
  <c r="Y70" i="7" a="1"/>
  <c r="Y70" i="7" s="1"/>
  <c r="W56" i="7" a="1"/>
  <c r="W56" i="7" s="1"/>
  <c r="V67" i="7" a="1"/>
  <c r="V67" i="7" s="1"/>
  <c r="V90" i="7" a="1"/>
  <c r="V90" i="7" s="1"/>
  <c r="X110" i="7" a="1"/>
  <c r="X110" i="7" s="1"/>
  <c r="AD58" i="7" a="1"/>
  <c r="AD58" i="7" s="1"/>
  <c r="Q58" i="8" s="1"/>
  <c r="R58" i="8" s="1" a="1"/>
  <c r="R58" i="8" s="1"/>
  <c r="S58" i="8" s="1" a="1"/>
  <c r="S58" i="8" s="1"/>
  <c r="T58" i="8" s="1" a="1"/>
  <c r="T58" i="8" s="1"/>
  <c r="U58" i="8" s="1" a="1"/>
  <c r="U58" i="8" s="1"/>
  <c r="V79" i="20" a="1"/>
  <c r="V79" i="20" s="1"/>
  <c r="AD65" i="7" a="1"/>
  <c r="AD65" i="7" s="1"/>
  <c r="Q65" i="8" s="1"/>
  <c r="R65" i="8" s="1" a="1"/>
  <c r="R65" i="8" s="1"/>
  <c r="S65" i="8" s="1" a="1"/>
  <c r="S65" i="8" s="1"/>
  <c r="T65" i="8" s="1" a="1"/>
  <c r="T65" i="8" s="1"/>
  <c r="U65" i="8" s="1" a="1"/>
  <c r="U65" i="8" s="1"/>
  <c r="Y98" i="7" a="1"/>
  <c r="Y98" i="7" s="1"/>
  <c r="V75" i="7" a="1"/>
  <c r="V75" i="7" s="1"/>
  <c r="AD62" i="7" a="1"/>
  <c r="AD62" i="7" s="1"/>
  <c r="Q62" i="8" s="1"/>
  <c r="R62" i="8" s="1" a="1"/>
  <c r="R62" i="8" s="1"/>
  <c r="S62" i="8" s="1" a="1"/>
  <c r="S62" i="8" s="1"/>
  <c r="T62" i="8" s="1" a="1"/>
  <c r="T62" i="8" s="1"/>
  <c r="U62" i="8" s="1" a="1"/>
  <c r="U62" i="8" s="1"/>
  <c r="V48" i="7" a="1"/>
  <c r="V48" i="7" s="1"/>
  <c r="V54" i="20" a="1"/>
  <c r="V54" i="20" s="1"/>
  <c r="AA104" i="20" a="1"/>
  <c r="AA104" i="20" s="1"/>
  <c r="W76" i="7" a="1"/>
  <c r="W76" i="7" s="1"/>
  <c r="X39" i="20" a="1"/>
  <c r="X39" i="20" s="1"/>
  <c r="W51" i="7" a="1"/>
  <c r="W51" i="7" s="1"/>
  <c r="Y34" i="7" a="1"/>
  <c r="Y34" i="7" s="1"/>
  <c r="V77" i="7" a="1"/>
  <c r="V77" i="7" s="1"/>
  <c r="V107" i="7" a="1"/>
  <c r="V107" i="7" s="1"/>
  <c r="Y56" i="20" a="1"/>
  <c r="Y56" i="20" s="1"/>
  <c r="V41" i="7" a="1"/>
  <c r="V41" i="7" s="1"/>
  <c r="Y62" i="7" a="1"/>
  <c r="Y62" i="7" s="1"/>
  <c r="W44" i="7" a="1"/>
  <c r="W44" i="7" s="1"/>
  <c r="W34" i="7" a="1"/>
  <c r="W34" i="7" s="1"/>
  <c r="V59" i="7" a="1"/>
  <c r="V59" i="7" s="1"/>
  <c r="Y88" i="7" a="1"/>
  <c r="Y88" i="7" s="1"/>
  <c r="AA48" i="7" a="1"/>
  <c r="AA48" i="7" s="1"/>
  <c r="W103" i="7" a="1"/>
  <c r="W103" i="7" s="1"/>
  <c r="W95" i="7" a="1"/>
  <c r="W95" i="7" s="1"/>
  <c r="V58" i="7" a="1"/>
  <c r="V58" i="7" s="1"/>
  <c r="V40" i="7" a="1"/>
  <c r="V40" i="7" s="1"/>
  <c r="W42" i="7" a="1"/>
  <c r="W42" i="7" s="1"/>
  <c r="W106" i="7" a="1"/>
  <c r="W106" i="7" s="1"/>
  <c r="W30" i="7" a="1"/>
  <c r="W30" i="7" s="1"/>
  <c r="W78" i="7" a="1"/>
  <c r="W78" i="7" s="1"/>
  <c r="Y100" i="7" a="1"/>
  <c r="Y100" i="7" s="1"/>
  <c r="W74" i="7" a="1"/>
  <c r="W74" i="7" s="1"/>
  <c r="V44" i="7" a="1"/>
  <c r="V44" i="7" s="1"/>
  <c r="W98" i="7" a="1"/>
  <c r="W98" i="7" s="1"/>
  <c r="Y95" i="7" a="1"/>
  <c r="Y95" i="7" s="1"/>
  <c r="W31" i="7" a="1"/>
  <c r="W31" i="7" s="1"/>
  <c r="V69" i="7" a="1"/>
  <c r="V69" i="7" s="1"/>
  <c r="W49" i="7" a="1"/>
  <c r="W49" i="7" s="1"/>
  <c r="X97" i="7" a="1"/>
  <c r="X97" i="7" s="1"/>
  <c r="Y35" i="7" a="1"/>
  <c r="Y35" i="7" s="1"/>
  <c r="V98" i="7" a="1"/>
  <c r="V98" i="7" s="1"/>
  <c r="Y71" i="7" a="1"/>
  <c r="Y71" i="7" s="1"/>
  <c r="X38" i="7" a="1"/>
  <c r="X38" i="7" s="1"/>
  <c r="W37" i="7" a="1"/>
  <c r="W37" i="7" s="1"/>
  <c r="W35" i="7" a="1"/>
  <c r="W35" i="7" s="1"/>
  <c r="V31" i="7" a="1"/>
  <c r="V31" i="7" s="1"/>
  <c r="W63" i="7" a="1"/>
  <c r="W63" i="7" s="1"/>
  <c r="W48" i="7" a="1"/>
  <c r="W48" i="7" s="1"/>
  <c r="V54" i="7" a="1"/>
  <c r="V54" i="7" s="1"/>
  <c r="W39" i="7" a="1"/>
  <c r="W39" i="7" s="1"/>
  <c r="W65" i="7" a="1"/>
  <c r="W65" i="7" s="1"/>
  <c r="W43" i="7" a="1"/>
  <c r="W43" i="7" s="1"/>
  <c r="X101" i="7" a="1"/>
  <c r="X101" i="7" s="1"/>
  <c r="X63" i="7" a="1"/>
  <c r="X63" i="7" s="1"/>
  <c r="AA52" i="7" a="1"/>
  <c r="AA52" i="7" s="1"/>
  <c r="Y66" i="7" a="1"/>
  <c r="Y66" i="7" s="1"/>
  <c r="W59" i="7" a="1"/>
  <c r="W59" i="7" s="1"/>
  <c r="AA108" i="7" a="1"/>
  <c r="AA108" i="7" s="1"/>
  <c r="V86" i="7" a="1"/>
  <c r="V86" i="7" s="1"/>
  <c r="AA93" i="7" a="1"/>
  <c r="AA93" i="7" s="1"/>
  <c r="AA51" i="7" a="1"/>
  <c r="AA51" i="7" s="1"/>
  <c r="AA86" i="7" a="1"/>
  <c r="AA86" i="7" s="1"/>
  <c r="AA55" i="7" a="1"/>
  <c r="AA55" i="7" s="1"/>
  <c r="AA43" i="7" a="1"/>
  <c r="AA43" i="7" s="1"/>
  <c r="AA101" i="7" a="1"/>
  <c r="AA101" i="7" s="1"/>
  <c r="V76" i="7" a="1"/>
  <c r="V76" i="7" s="1"/>
  <c r="X108" i="7" a="1"/>
  <c r="X108" i="7" s="1"/>
  <c r="AA102" i="7" a="1"/>
  <c r="AA102" i="7" s="1"/>
  <c r="AA80" i="7" a="1"/>
  <c r="AA80" i="7" s="1"/>
  <c r="Z77" i="7" a="1"/>
  <c r="Z77" i="7" s="1"/>
  <c r="X80" i="7" a="1"/>
  <c r="X80" i="7" s="1"/>
  <c r="X44" i="7" a="1"/>
  <c r="X44" i="7" s="1"/>
  <c r="AA84" i="7" a="1"/>
  <c r="AA84" i="7" s="1"/>
  <c r="AA88" i="7" a="1"/>
  <c r="AA88" i="7" s="1"/>
  <c r="W84" i="7" a="1"/>
  <c r="W84" i="7" s="1"/>
  <c r="AA79" i="7" a="1"/>
  <c r="AA79" i="7" s="1"/>
  <c r="Y52" i="7" a="1"/>
  <c r="Y52" i="7" s="1"/>
  <c r="W55" i="7" a="1"/>
  <c r="W55" i="7" s="1"/>
  <c r="W58" i="7" a="1"/>
  <c r="W58" i="7" s="1"/>
  <c r="Y61" i="7" a="1"/>
  <c r="Y61" i="7" s="1"/>
  <c r="AA66" i="7" a="1"/>
  <c r="AA66" i="7" s="1"/>
  <c r="Y48" i="7" a="1"/>
  <c r="Y48" i="7" s="1"/>
  <c r="X31" i="7" a="1"/>
  <c r="X31" i="7" s="1"/>
  <c r="X47" i="7" a="1"/>
  <c r="X47" i="7" s="1"/>
  <c r="AA71" i="7" a="1"/>
  <c r="AA71" i="7" s="1"/>
  <c r="Y103" i="7" a="1"/>
  <c r="Y103" i="7" s="1"/>
  <c r="W79" i="7" a="1"/>
  <c r="W79" i="7" s="1"/>
  <c r="AA73" i="7" a="1"/>
  <c r="AA73" i="7" s="1"/>
  <c r="AA82" i="7" a="1"/>
  <c r="AA82" i="7" s="1"/>
  <c r="AA32" i="7" a="1"/>
  <c r="AA32" i="7" s="1"/>
  <c r="X109" i="7" a="1"/>
  <c r="X109" i="7" s="1"/>
  <c r="W101" i="7" a="1"/>
  <c r="W101" i="7" s="1"/>
  <c r="AA45" i="7" a="1"/>
  <c r="AA45" i="7" s="1"/>
  <c r="W108" i="7" a="1"/>
  <c r="W108" i="7" s="1"/>
  <c r="Y68" i="7" a="1"/>
  <c r="Y68" i="7" s="1"/>
  <c r="Z86" i="7" a="1"/>
  <c r="Z86" i="7" s="1"/>
  <c r="V53" i="7" a="1"/>
  <c r="V53" i="7" s="1"/>
  <c r="V37" i="7" a="1"/>
  <c r="V37" i="7" s="1"/>
  <c r="W47" i="7" a="1"/>
  <c r="W47" i="7" s="1"/>
  <c r="X39" i="7" a="1"/>
  <c r="X39" i="7" s="1"/>
  <c r="AA83" i="7" a="1"/>
  <c r="AA83" i="7" s="1"/>
  <c r="X53" i="7" a="1"/>
  <c r="X53" i="7" s="1"/>
  <c r="AA107" i="7" a="1"/>
  <c r="AA107" i="7" s="1"/>
  <c r="AA68" i="7" a="1"/>
  <c r="AA68" i="7" s="1"/>
  <c r="AA41" i="7" a="1"/>
  <c r="AA41" i="7" s="1"/>
  <c r="Y87" i="7" a="1"/>
  <c r="Y87" i="7" s="1"/>
  <c r="AA58" i="7" a="1"/>
  <c r="AA58" i="7" s="1"/>
  <c r="Y63" i="7" a="1"/>
  <c r="Y63" i="7" s="1"/>
  <c r="Y57" i="7" a="1"/>
  <c r="Y57" i="7" s="1"/>
  <c r="AA100" i="7" a="1"/>
  <c r="AA100" i="7" s="1"/>
  <c r="V101" i="7" a="1"/>
  <c r="V101" i="7" s="1"/>
  <c r="Y94" i="7" a="1"/>
  <c r="Y94" i="7" s="1"/>
  <c r="AA42" i="7" a="1"/>
  <c r="AA42" i="7" s="1"/>
  <c r="Y86" i="7" a="1"/>
  <c r="Y86" i="7" s="1"/>
  <c r="Y110" i="7" a="1"/>
  <c r="Y110" i="7" s="1"/>
  <c r="AA70" i="7" a="1"/>
  <c r="AA70" i="7" s="1"/>
  <c r="AA106" i="7" a="1"/>
  <c r="AA106" i="7" s="1"/>
  <c r="AA60" i="7" a="1"/>
  <c r="AA60" i="7" s="1"/>
  <c r="X95" i="7" a="1"/>
  <c r="X95" i="7" s="1"/>
  <c r="AA35" i="7" a="1"/>
  <c r="AA35" i="7" s="1"/>
  <c r="Y47" i="7" a="1"/>
  <c r="Y47" i="7" s="1"/>
  <c r="AA75" i="7" a="1"/>
  <c r="AA75" i="7" s="1"/>
  <c r="Y39" i="7" a="1"/>
  <c r="Y39" i="7" s="1"/>
  <c r="AA63" i="7" a="1"/>
  <c r="AA63" i="7" s="1"/>
  <c r="X32" i="7" a="1"/>
  <c r="X32" i="7" s="1"/>
  <c r="X35" i="7" a="1"/>
  <c r="X35" i="7" s="1"/>
  <c r="AA94" i="7" a="1"/>
  <c r="AA94" i="7" s="1"/>
  <c r="X87" i="7" a="1"/>
  <c r="X87" i="7" s="1"/>
  <c r="V52" i="7" a="1"/>
  <c r="V52" i="7" s="1"/>
  <c r="AA95" i="7" a="1"/>
  <c r="AA95" i="7" s="1"/>
  <c r="Z88" i="7" a="1"/>
  <c r="Z88" i="7" s="1"/>
  <c r="AA96" i="7" a="1"/>
  <c r="AA96" i="7" s="1"/>
  <c r="Y38" i="7" a="1"/>
  <c r="Y38" i="7" s="1"/>
  <c r="Y75" i="7" a="1"/>
  <c r="Y75" i="7" s="1"/>
  <c r="Y45" i="7" a="1"/>
  <c r="Y45" i="7" s="1"/>
  <c r="AA81" i="7" a="1"/>
  <c r="AA81" i="7" s="1"/>
  <c r="X68" i="7" a="1"/>
  <c r="X68" i="7" s="1"/>
  <c r="X40" i="7" a="1"/>
  <c r="X40" i="7" s="1"/>
  <c r="X62" i="7" a="1"/>
  <c r="X62" i="7" s="1"/>
  <c r="AA46" i="7" a="1"/>
  <c r="AA46" i="7" s="1"/>
  <c r="W68" i="7" a="1"/>
  <c r="W68" i="7" s="1"/>
  <c r="W88" i="7" a="1"/>
  <c r="W88" i="7" s="1"/>
  <c r="AA90" i="7" a="1"/>
  <c r="AA90" i="7" s="1"/>
  <c r="X82" i="7" a="1"/>
  <c r="X82" i="7" s="1"/>
  <c r="AA38" i="7" a="1"/>
  <c r="AA38" i="7" s="1"/>
  <c r="X61" i="7" a="1"/>
  <c r="X61" i="7" s="1"/>
  <c r="AA103" i="7" a="1"/>
  <c r="AA103" i="7" s="1"/>
  <c r="AA98" i="7" a="1"/>
  <c r="AA98" i="7" s="1"/>
  <c r="V80" i="7" a="1"/>
  <c r="V80" i="7" s="1"/>
  <c r="Y65" i="7" a="1"/>
  <c r="Y65" i="7" s="1"/>
  <c r="W66" i="7" a="1"/>
  <c r="W66" i="7" s="1"/>
  <c r="AA77" i="7" a="1"/>
  <c r="AA77" i="7" s="1"/>
  <c r="Z48" i="7" a="1"/>
  <c r="Z48" i="7" s="1"/>
  <c r="AA54" i="7" a="1"/>
  <c r="AA54" i="7" s="1"/>
  <c r="AA34" i="7" a="1"/>
  <c r="AA34" i="7" s="1"/>
  <c r="X96" i="7" a="1"/>
  <c r="X96" i="7" s="1"/>
  <c r="AA49" i="7" a="1"/>
  <c r="AA49" i="7" s="1"/>
  <c r="V36" i="7" a="1"/>
  <c r="V36" i="7" s="1"/>
  <c r="AA62" i="7" a="1"/>
  <c r="AA62" i="7" s="1"/>
  <c r="Y40" i="7" a="1"/>
  <c r="Y40" i="7" s="1"/>
  <c r="X71" i="7" a="1"/>
  <c r="X71" i="7" s="1"/>
  <c r="X100" i="7" a="1"/>
  <c r="X100" i="7" s="1"/>
  <c r="Y46" i="7" a="1"/>
  <c r="Y46" i="7" s="1"/>
  <c r="W82" i="7" a="1"/>
  <c r="W82" i="7" s="1"/>
  <c r="Y64" i="7" a="1"/>
  <c r="Y64" i="7" s="1"/>
  <c r="W71" i="7" a="1"/>
  <c r="W71" i="7" s="1"/>
  <c r="Y41" i="7" a="1"/>
  <c r="Y41" i="7" s="1"/>
  <c r="AA37" i="7" a="1"/>
  <c r="AA37" i="7" s="1"/>
  <c r="W80" i="7" a="1"/>
  <c r="W80" i="7" s="1"/>
  <c r="AA78" i="7" a="1"/>
  <c r="AA78" i="7" s="1"/>
  <c r="X43" i="7" a="1"/>
  <c r="X43" i="7" s="1"/>
  <c r="X98" i="7" a="1"/>
  <c r="X98" i="7" s="1"/>
  <c r="AA85" i="7" a="1"/>
  <c r="AA85" i="7" s="1"/>
  <c r="X54" i="7" a="1"/>
  <c r="X54" i="7" s="1"/>
  <c r="W52" i="7" a="1"/>
  <c r="W52" i="7" s="1"/>
  <c r="AA92" i="7" a="1"/>
  <c r="AA92" i="7" s="1"/>
  <c r="W77" i="7" a="1"/>
  <c r="W77" i="7" s="1"/>
  <c r="V81" i="7" a="1"/>
  <c r="V81" i="7" s="1"/>
  <c r="V97" i="7" a="1"/>
  <c r="V97" i="7" s="1"/>
  <c r="Y74" i="7" a="1"/>
  <c r="Y74" i="7" s="1"/>
  <c r="AA40" i="7" a="1"/>
  <c r="AA40" i="7" s="1"/>
  <c r="Y42" i="7" a="1"/>
  <c r="Y42" i="7" s="1"/>
  <c r="W85" i="7" a="1"/>
  <c r="W85" i="7" s="1"/>
  <c r="AA89" i="7" a="1"/>
  <c r="AA89" i="7" s="1"/>
  <c r="V102" i="7" a="1"/>
  <c r="V102" i="7" s="1"/>
  <c r="AA57" i="7" a="1"/>
  <c r="AA57" i="7" s="1"/>
  <c r="AA76" i="7" a="1"/>
  <c r="AA76" i="7" s="1"/>
  <c r="X37" i="7" a="1"/>
  <c r="X37" i="7" s="1"/>
  <c r="AA104" i="7" a="1"/>
  <c r="AA104" i="7" s="1"/>
  <c r="V42" i="7" a="1"/>
  <c r="V42" i="7" s="1"/>
  <c r="X102" i="7" a="1"/>
  <c r="X102" i="7" s="1"/>
  <c r="AA97" i="7" a="1"/>
  <c r="AA97" i="7" s="1"/>
  <c r="Z68" i="7" a="1"/>
  <c r="Z68" i="7" s="1"/>
  <c r="V105" i="7" a="1"/>
  <c r="V105" i="7" s="1"/>
  <c r="AA110" i="7" a="1"/>
  <c r="AA110" i="7" s="1"/>
  <c r="Y83" i="7" a="1"/>
  <c r="Y83" i="7" s="1"/>
  <c r="V62" i="7" a="1"/>
  <c r="V62" i="7" s="1"/>
  <c r="AA69" i="7" a="1"/>
  <c r="AA69" i="7" s="1"/>
  <c r="AA105" i="7" a="1"/>
  <c r="AA105" i="7" s="1"/>
  <c r="Z70" i="7" a="1"/>
  <c r="Z70" i="7" s="1"/>
  <c r="X60" i="7" a="1"/>
  <c r="X60" i="7" s="1"/>
  <c r="V89" i="7" a="1"/>
  <c r="V89" i="7" s="1"/>
  <c r="AA39" i="7" a="1"/>
  <c r="AA39" i="7" s="1"/>
  <c r="Z79" i="7" a="1"/>
  <c r="Z79" i="7" s="1"/>
  <c r="W45" i="7" a="1"/>
  <c r="W45" i="7" s="1"/>
  <c r="AA87" i="7" a="1"/>
  <c r="AA87" i="7" s="1"/>
  <c r="AA64" i="7" a="1"/>
  <c r="AA64" i="7" s="1"/>
  <c r="AA36" i="7" a="1"/>
  <c r="AA36" i="7" s="1"/>
  <c r="W46" i="7" a="1"/>
  <c r="W46" i="7" s="1"/>
  <c r="W64" i="7" a="1"/>
  <c r="W64" i="7" s="1"/>
  <c r="AA53" i="7" a="1"/>
  <c r="AA53" i="7" s="1"/>
  <c r="AA72" i="7" a="1"/>
  <c r="AA72" i="7" s="1"/>
  <c r="AA30" i="7" a="1"/>
  <c r="AA30" i="7" s="1"/>
  <c r="AA47" i="7" a="1"/>
  <c r="AA47" i="7" s="1"/>
  <c r="AA50" i="7" a="1"/>
  <c r="AA50" i="7" s="1"/>
  <c r="AA74" i="7" a="1"/>
  <c r="AA74" i="7" s="1"/>
  <c r="X64" i="7" a="1"/>
  <c r="X64" i="7" s="1"/>
  <c r="W99" i="7" a="1"/>
  <c r="W99" i="7" s="1"/>
  <c r="AA59" i="7" a="1"/>
  <c r="AA59" i="7" s="1"/>
  <c r="Y73" i="7" a="1"/>
  <c r="Y73" i="7" s="1"/>
  <c r="Y79" i="7" a="1"/>
  <c r="Y79" i="7" s="1"/>
  <c r="W38" i="7" a="1"/>
  <c r="W38" i="7" s="1"/>
  <c r="AA65" i="7" a="1"/>
  <c r="AA65" i="7" s="1"/>
  <c r="AA109" i="7" a="1"/>
  <c r="AA109" i="7" s="1"/>
  <c r="AA91" i="7" a="1"/>
  <c r="AA91" i="7" s="1"/>
  <c r="AA99" i="7" a="1"/>
  <c r="AA99" i="7" s="1"/>
  <c r="X85" i="7" a="1"/>
  <c r="X85" i="7" s="1"/>
  <c r="AA33" i="7" a="1"/>
  <c r="AA33" i="7" s="1"/>
  <c r="W41" i="7" a="1"/>
  <c r="W41" i="7" s="1"/>
  <c r="AA61" i="7" a="1"/>
  <c r="AA61" i="7" s="1"/>
  <c r="V38" i="7" a="1"/>
  <c r="V38" i="7" s="1"/>
  <c r="AA56" i="7" a="1"/>
  <c r="AA56" i="7" s="1"/>
  <c r="Y36" i="7" a="1"/>
  <c r="Y36" i="7" s="1"/>
  <c r="AA31" i="7" a="1"/>
  <c r="AA31" i="7" s="1"/>
  <c r="Y92" i="7" a="1"/>
  <c r="Y92" i="7" s="1"/>
  <c r="X56" i="7" a="1"/>
  <c r="X56" i="7" s="1"/>
  <c r="AA67" i="7" a="1"/>
  <c r="AA67" i="7" s="1"/>
  <c r="AB59" i="7" a="1"/>
  <c r="AB59" i="7" s="1"/>
  <c r="Z121" i="4"/>
  <c r="Z123" i="4"/>
  <c r="AR54" i="7" a="1"/>
  <c r="AR92" i="7" a="1"/>
  <c r="AR60" i="7" a="1"/>
  <c r="AR31" i="7" a="1"/>
  <c r="AR46" i="7" a="1"/>
  <c r="AR73" i="7" a="1"/>
  <c r="AR42" i="7" a="1"/>
  <c r="AR78" i="7" a="1"/>
  <c r="AR75" i="7" a="1"/>
  <c r="AR49" i="7" a="1"/>
  <c r="AR50" i="7" a="1"/>
  <c r="AR58" i="7" a="1"/>
  <c r="AR106" i="7" a="1"/>
  <c r="AR51" i="7" a="1"/>
  <c r="AR108" i="7" a="1"/>
  <c r="AR48" i="7" a="1"/>
  <c r="AR94" i="7" a="1"/>
  <c r="AR109" i="7" a="1"/>
  <c r="AR103" i="7" a="1"/>
  <c r="AR34" i="7" a="1"/>
  <c r="AR70" i="7" a="1"/>
  <c r="AR36" i="7" a="1"/>
  <c r="AR53" i="7" a="1"/>
  <c r="AR98" i="7" a="1"/>
  <c r="AR74" i="7" a="1"/>
  <c r="AR82" i="7" a="1"/>
  <c r="AR76" i="7" a="1"/>
  <c r="AR65" i="7" a="1"/>
  <c r="AR100" i="7" a="1"/>
  <c r="AR97" i="7" a="1"/>
  <c r="AR45" i="7" a="1"/>
  <c r="AR67" i="7" a="1"/>
  <c r="AR102" i="7" a="1"/>
  <c r="AR52" i="7" a="1"/>
  <c r="AR40" i="7" a="1"/>
  <c r="AR80" i="7" a="1"/>
  <c r="AR95" i="7" a="1"/>
  <c r="AR69" i="7" a="1"/>
  <c r="AR44" i="7" a="1"/>
  <c r="AR43" i="7" a="1"/>
  <c r="AR47" i="7" a="1"/>
  <c r="AR59" i="7" a="1"/>
  <c r="AR64" i="7" a="1"/>
  <c r="AR89" i="7" a="1"/>
  <c r="AR110" i="7" a="1"/>
  <c r="AR61" i="7" a="1"/>
  <c r="AR63" i="7" a="1"/>
  <c r="AR104" i="7" a="1"/>
  <c r="AR81" i="7" a="1"/>
  <c r="AR105" i="7" a="1"/>
  <c r="AR38" i="7" a="1"/>
  <c r="AR79" i="7" a="1"/>
  <c r="AR68" i="7" a="1"/>
  <c r="AR93" i="7" a="1"/>
  <c r="AR41" i="7" a="1"/>
  <c r="AR90" i="7" a="1"/>
  <c r="AR56" i="7" a="1"/>
  <c r="AR88" i="7" a="1"/>
  <c r="AR83" i="7" a="1"/>
  <c r="AR32" i="7" a="1"/>
  <c r="AR96" i="7" a="1"/>
  <c r="AR33" i="7" a="1"/>
  <c r="AR101" i="7" a="1"/>
  <c r="AR84" i="7" a="1"/>
  <c r="AR35" i="7" a="1"/>
  <c r="AR62" i="7" a="1"/>
  <c r="AR86" i="7" a="1"/>
  <c r="AR99" i="7" a="1"/>
  <c r="AR85" i="7" a="1"/>
  <c r="AR55" i="7" a="1"/>
  <c r="AR66" i="7" a="1"/>
  <c r="AR72" i="7" a="1"/>
  <c r="AR37" i="7" a="1"/>
  <c r="S84" i="8" l="1" a="1"/>
  <c r="S84" i="8" s="1"/>
  <c r="R109" i="8"/>
  <c r="R104" i="8"/>
  <c r="R99" i="8"/>
  <c r="R94" i="8"/>
  <c r="R89" i="8"/>
  <c r="R114" i="8"/>
  <c r="Q114" i="8"/>
  <c r="Q109" i="8"/>
  <c r="Q104" i="8"/>
  <c r="Q99" i="8"/>
  <c r="Q94" i="8"/>
  <c r="Q89" i="8"/>
  <c r="Q68" i="8"/>
  <c r="R68" i="8" s="1" a="1"/>
  <c r="R68" i="8" s="1"/>
  <c r="S68" i="8" s="1" a="1"/>
  <c r="S68" i="8" s="1"/>
  <c r="T68" i="8" s="1" a="1"/>
  <c r="T68" i="8" s="1"/>
  <c r="U68" i="8" s="1" a="1"/>
  <c r="U68" i="8" s="1"/>
  <c r="Q49" i="8"/>
  <c r="R49" i="8" s="1" a="1"/>
  <c r="R49" i="8" s="1"/>
  <c r="S49" i="8" s="1" a="1"/>
  <c r="S49" i="8" s="1"/>
  <c r="T49" i="8" s="1" a="1"/>
  <c r="T49" i="8" s="1"/>
  <c r="U49" i="8" s="1" a="1"/>
  <c r="U49" i="8" s="1"/>
  <c r="Q75" i="8"/>
  <c r="R75" i="8" s="1" a="1"/>
  <c r="R75" i="8" s="1"/>
  <c r="S75" i="8" s="1" a="1"/>
  <c r="S75" i="8" s="1"/>
  <c r="T75" i="8" s="1" a="1"/>
  <c r="T75" i="8" s="1"/>
  <c r="U75" i="8" s="1" a="1"/>
  <c r="U75" i="8" s="1"/>
  <c r="Q69" i="8"/>
  <c r="R69" i="8" s="1" a="1"/>
  <c r="R69" i="8" s="1"/>
  <c r="S69" i="8" s="1" a="1"/>
  <c r="S69" i="8" s="1"/>
  <c r="T69" i="8" s="1" a="1"/>
  <c r="T69" i="8" s="1"/>
  <c r="U69" i="8" s="1" a="1"/>
  <c r="U69" i="8" s="1"/>
  <c r="Q70" i="8"/>
  <c r="R70" i="8" s="1" a="1"/>
  <c r="R70" i="8" s="1"/>
  <c r="S70" i="8" s="1" a="1"/>
  <c r="S70" i="8" s="1"/>
  <c r="T70" i="8" s="1" a="1"/>
  <c r="T70" i="8" s="1"/>
  <c r="U70" i="8" s="1" a="1"/>
  <c r="U70" i="8" s="1"/>
  <c r="Q81" i="8"/>
  <c r="R81" i="8" s="1" a="1"/>
  <c r="R81" i="8" s="1"/>
  <c r="S81" i="8" s="1" a="1"/>
  <c r="S81" i="8" s="1"/>
  <c r="T81" i="8" s="1" a="1"/>
  <c r="T81" i="8" s="1"/>
  <c r="U81" i="8" s="1" a="1"/>
  <c r="U81" i="8" s="1"/>
  <c r="Q80" i="8"/>
  <c r="R80" i="8" s="1" a="1"/>
  <c r="R80" i="8" s="1"/>
  <c r="S80" i="8" s="1" a="1"/>
  <c r="S80" i="8" s="1"/>
  <c r="T80" i="8" s="1" a="1"/>
  <c r="T80" i="8" s="1"/>
  <c r="U80" i="8" s="1" a="1"/>
  <c r="U80" i="8" s="1"/>
  <c r="Q74" i="8"/>
  <c r="R74" i="8" s="1" a="1"/>
  <c r="R74" i="8" s="1"/>
  <c r="S74" i="8" s="1" a="1"/>
  <c r="S74" i="8" s="1"/>
  <c r="T74" i="8" s="1" a="1"/>
  <c r="T74" i="8" s="1"/>
  <c r="U74" i="8" s="1" a="1"/>
  <c r="U74" i="8" s="1"/>
  <c r="Q101" i="8"/>
  <c r="R101" i="8" s="1" a="1"/>
  <c r="R101" i="8" s="1"/>
  <c r="S101" i="8" s="1" a="1"/>
  <c r="S101" i="8" s="1"/>
  <c r="T101" i="8" s="1" a="1"/>
  <c r="T101" i="8" s="1"/>
  <c r="U101" i="8" s="1" a="1"/>
  <c r="U101" i="8" s="1"/>
  <c r="Q67" i="8"/>
  <c r="R67" i="8" s="1" a="1"/>
  <c r="R67" i="8" s="1"/>
  <c r="S67" i="8" s="1" a="1"/>
  <c r="S67" i="8" s="1"/>
  <c r="T67" i="8" s="1" a="1"/>
  <c r="T67" i="8" s="1"/>
  <c r="U67" i="8" s="1" a="1"/>
  <c r="U67" i="8" s="1"/>
  <c r="Q45" i="8"/>
  <c r="R45" i="8" s="1" a="1"/>
  <c r="R45" i="8" s="1"/>
  <c r="S45" i="8" s="1" a="1"/>
  <c r="S45" i="8" s="1"/>
  <c r="T45" i="8" s="1" a="1"/>
  <c r="T45" i="8" s="1"/>
  <c r="U45" i="8" s="1" a="1"/>
  <c r="U45" i="8" s="1"/>
  <c r="Q53" i="8"/>
  <c r="R53" i="8" s="1" a="1"/>
  <c r="R53" i="8" s="1"/>
  <c r="S53" i="8" s="1" a="1"/>
  <c r="S53" i="8" s="1"/>
  <c r="T53" i="8" s="1" a="1"/>
  <c r="T53" i="8" s="1"/>
  <c r="U53" i="8" s="1" a="1"/>
  <c r="U53" i="8" s="1"/>
  <c r="Q61" i="8"/>
  <c r="R61" i="8" s="1" a="1"/>
  <c r="R61" i="8" s="1"/>
  <c r="S61" i="8" s="1" a="1"/>
  <c r="S61" i="8" s="1"/>
  <c r="T61" i="8" s="1" a="1"/>
  <c r="T61" i="8" s="1"/>
  <c r="U61" i="8" s="1" a="1"/>
  <c r="U61" i="8" s="1"/>
  <c r="Q56" i="8"/>
  <c r="R56" i="8" s="1" a="1"/>
  <c r="R56" i="8" s="1"/>
  <c r="S56" i="8" s="1" a="1"/>
  <c r="S56" i="8" s="1"/>
  <c r="T56" i="8" s="1" a="1"/>
  <c r="T56" i="8" s="1"/>
  <c r="U56" i="8" s="1" a="1"/>
  <c r="U56" i="8" s="1"/>
  <c r="Q100" i="8"/>
  <c r="R100" i="8" s="1" a="1"/>
  <c r="R100" i="8" s="1"/>
  <c r="S100" i="8" s="1" a="1"/>
  <c r="S100" i="8" s="1"/>
  <c r="T100" i="8" s="1" a="1"/>
  <c r="T100" i="8" s="1"/>
  <c r="U100" i="8" s="1" a="1"/>
  <c r="U100" i="8" s="1"/>
  <c r="Q91" i="8"/>
  <c r="R91" i="8" s="1" a="1"/>
  <c r="R91" i="8" s="1"/>
  <c r="S91" i="8" s="1" a="1"/>
  <c r="S91" i="8" s="1"/>
  <c r="T91" i="8" s="1" a="1"/>
  <c r="T91" i="8" s="1"/>
  <c r="U91" i="8" s="1" a="1"/>
  <c r="U91" i="8" s="1"/>
  <c r="Q96" i="8"/>
  <c r="R96" i="8" s="1" a="1"/>
  <c r="R96" i="8" s="1"/>
  <c r="S96" i="8" s="1" a="1"/>
  <c r="S96" i="8" s="1"/>
  <c r="T96" i="8" s="1" a="1"/>
  <c r="T96" i="8" s="1"/>
  <c r="U96" i="8" s="1" a="1"/>
  <c r="U96" i="8" s="1"/>
  <c r="Q41" i="8"/>
  <c r="R41" i="8" s="1" a="1"/>
  <c r="R41" i="8" s="1"/>
  <c r="S41" i="8" s="1" a="1"/>
  <c r="S41" i="8" s="1"/>
  <c r="T41" i="8" s="1" a="1"/>
  <c r="T41" i="8" s="1"/>
  <c r="U41" i="8" s="1" a="1"/>
  <c r="U41" i="8" s="1"/>
  <c r="Q90" i="8"/>
  <c r="R90" i="8" s="1" a="1"/>
  <c r="R90" i="8" s="1"/>
  <c r="S90" i="8" s="1" a="1"/>
  <c r="S90" i="8" s="1"/>
  <c r="T90" i="8" s="1" a="1"/>
  <c r="T90" i="8" s="1"/>
  <c r="U90" i="8" s="1" a="1"/>
  <c r="U90" i="8" s="1"/>
  <c r="Q54" i="8"/>
  <c r="R54" i="8" s="1" a="1"/>
  <c r="R54" i="8" s="1"/>
  <c r="S54" i="8" s="1" a="1"/>
  <c r="S54" i="8" s="1"/>
  <c r="T54" i="8" s="1" a="1"/>
  <c r="T54" i="8" s="1"/>
  <c r="U54" i="8" s="1" a="1"/>
  <c r="U54" i="8" s="1"/>
  <c r="Q48" i="8"/>
  <c r="R48" i="8" s="1" a="1"/>
  <c r="R48" i="8" s="1"/>
  <c r="S48" i="8" s="1" a="1"/>
  <c r="S48" i="8" s="1"/>
  <c r="T48" i="8" s="1" a="1"/>
  <c r="T48" i="8" s="1"/>
  <c r="U48" i="8" s="1" a="1"/>
  <c r="U48" i="8" s="1"/>
  <c r="AR37" i="7"/>
  <c r="AR72" i="7"/>
  <c r="AR66" i="7"/>
  <c r="AR55" i="7"/>
  <c r="AR85" i="7"/>
  <c r="AR99" i="7"/>
  <c r="AR86" i="7"/>
  <c r="AR62" i="7"/>
  <c r="AR35" i="7"/>
  <c r="AR84" i="7"/>
  <c r="AR101" i="7"/>
  <c r="AR33" i="7"/>
  <c r="AR96" i="7"/>
  <c r="AR32" i="7"/>
  <c r="AR83" i="7"/>
  <c r="AR88" i="7"/>
  <c r="AR56" i="7"/>
  <c r="AR90" i="7"/>
  <c r="AR41" i="7"/>
  <c r="AR93" i="7"/>
  <c r="AR68" i="7"/>
  <c r="AR79" i="7"/>
  <c r="AR38" i="7"/>
  <c r="AR105" i="7"/>
  <c r="AR81" i="7"/>
  <c r="AR104" i="7"/>
  <c r="AR63" i="7"/>
  <c r="AR61" i="7"/>
  <c r="AR110" i="7"/>
  <c r="AR89" i="7"/>
  <c r="AR64" i="7"/>
  <c r="AR59" i="7"/>
  <c r="AR47" i="7"/>
  <c r="AR43" i="7"/>
  <c r="AR44" i="7"/>
  <c r="AR69" i="7"/>
  <c r="AR95" i="7"/>
  <c r="AR80" i="7"/>
  <c r="AR40" i="7"/>
  <c r="AR52" i="7"/>
  <c r="AR102" i="7"/>
  <c r="AR67" i="7"/>
  <c r="AR45" i="7"/>
  <c r="AR97" i="7"/>
  <c r="AR100" i="7"/>
  <c r="AR65" i="7"/>
  <c r="AR76" i="7"/>
  <c r="AR82" i="7"/>
  <c r="AR74" i="7"/>
  <c r="AR98" i="7"/>
  <c r="AR53" i="7"/>
  <c r="AR36" i="7"/>
  <c r="AR70" i="7"/>
  <c r="AR34" i="7"/>
  <c r="AR103" i="7"/>
  <c r="AR109" i="7"/>
  <c r="AR94" i="7"/>
  <c r="AR48" i="7"/>
  <c r="AR108" i="7"/>
  <c r="AR51" i="7"/>
  <c r="AR106" i="7"/>
  <c r="AR58" i="7"/>
  <c r="AR50" i="7"/>
  <c r="AR49" i="7"/>
  <c r="AR75" i="7"/>
  <c r="AR78" i="7"/>
  <c r="AR42" i="7"/>
  <c r="AR73" i="7"/>
  <c r="AR46" i="7"/>
  <c r="AR31" i="7"/>
  <c r="AR60" i="7"/>
  <c r="AR92" i="7"/>
  <c r="AR54" i="7"/>
  <c r="AE37" i="7" a="1"/>
  <c r="AE37" i="7" s="1"/>
  <c r="AJ37" i="7" s="1"/>
  <c r="AD37" i="20"/>
  <c r="AE72" i="7" a="1"/>
  <c r="AE72" i="7" s="1"/>
  <c r="AJ72" i="7" s="1"/>
  <c r="AE66" i="7" a="1"/>
  <c r="AE66" i="7" s="1"/>
  <c r="AE55" i="7" a="1"/>
  <c r="AE55" i="7" s="1"/>
  <c r="AJ55" i="7" s="1"/>
  <c r="AD55" i="20"/>
  <c r="AE85" i="7" a="1"/>
  <c r="AE85" i="7" s="1"/>
  <c r="AD85" i="20"/>
  <c r="AE99" i="7" a="1"/>
  <c r="AE99" i="7" s="1"/>
  <c r="AJ99" i="7" s="1"/>
  <c r="AE86" i="7" a="1"/>
  <c r="AE86" i="7" s="1"/>
  <c r="AJ86" i="7" s="1"/>
  <c r="AD86" i="20"/>
  <c r="AE62" i="7" a="1"/>
  <c r="AE62" i="7" s="1"/>
  <c r="AJ62" i="7" s="1"/>
  <c r="AD62" i="20"/>
  <c r="AE35" i="7" a="1"/>
  <c r="AE35" i="7" s="1"/>
  <c r="AJ35" i="7" s="1"/>
  <c r="AD35" i="20"/>
  <c r="AE84" i="7" a="1"/>
  <c r="AE84" i="7" s="1"/>
  <c r="AJ84" i="7" s="1"/>
  <c r="AD84" i="20"/>
  <c r="AE101" i="7" a="1"/>
  <c r="AE101" i="7" s="1"/>
  <c r="AJ101" i="7" s="1"/>
  <c r="AD101" i="20"/>
  <c r="AE33" i="7" a="1"/>
  <c r="AE33" i="7" s="1"/>
  <c r="AJ33" i="7" s="1"/>
  <c r="AD33" i="20"/>
  <c r="AE96" i="7" a="1"/>
  <c r="AE96" i="7" s="1"/>
  <c r="AJ96" i="7" s="1"/>
  <c r="AE32" i="7" a="1"/>
  <c r="AE32" i="7" s="1"/>
  <c r="AJ32" i="7" s="1"/>
  <c r="AD32" i="20"/>
  <c r="AE83" i="7" a="1"/>
  <c r="AE83" i="7" s="1"/>
  <c r="AJ83" i="7" s="1"/>
  <c r="AE29" i="7" a="1"/>
  <c r="AE29" i="7" s="1"/>
  <c r="AF29" i="7" s="1" a="1"/>
  <c r="AF29" i="7" s="1"/>
  <c r="AG29" i="7" s="1" a="1"/>
  <c r="AG29" i="7" s="1"/>
  <c r="AH29" i="7" s="1" a="1"/>
  <c r="AH29" i="7" s="1"/>
  <c r="AK29" i="7" s="1"/>
  <c r="AD29" i="20"/>
  <c r="AE88" i="7" a="1"/>
  <c r="AE88" i="7" s="1"/>
  <c r="AE56" i="7" a="1"/>
  <c r="AE56" i="7" s="1"/>
  <c r="AJ56" i="7" s="1"/>
  <c r="AD56" i="20"/>
  <c r="AE90" i="7" a="1"/>
  <c r="AE90" i="7" s="1"/>
  <c r="AD90" i="20"/>
  <c r="AE41" i="7" a="1"/>
  <c r="AE41" i="7" s="1"/>
  <c r="AJ41" i="7" s="1"/>
  <c r="AD41" i="20"/>
  <c r="AE93" i="7" a="1"/>
  <c r="AE93" i="7" s="1"/>
  <c r="AJ93" i="7" s="1"/>
  <c r="AD93" i="20"/>
  <c r="AE68" i="7" a="1"/>
  <c r="AE68" i="7" s="1"/>
  <c r="AJ68" i="7" s="1"/>
  <c r="AD68" i="20"/>
  <c r="AE79" i="7" a="1"/>
  <c r="AE79" i="7" s="1"/>
  <c r="AJ79" i="7" s="1"/>
  <c r="AD79" i="20"/>
  <c r="AE38" i="7" a="1"/>
  <c r="AE38" i="7" s="1"/>
  <c r="AJ38" i="7" s="1"/>
  <c r="AD38" i="20"/>
  <c r="AE105" i="7" a="1"/>
  <c r="AE105" i="7" s="1"/>
  <c r="AJ105" i="7" s="1"/>
  <c r="AD105" i="20"/>
  <c r="AE81" i="7" a="1"/>
  <c r="AE81" i="7" s="1"/>
  <c r="AJ81" i="7" s="1"/>
  <c r="AD81" i="20"/>
  <c r="AE104" i="7" a="1"/>
  <c r="AE104" i="7" s="1"/>
  <c r="AJ104" i="7" s="1"/>
  <c r="AE63" i="7" a="1"/>
  <c r="AE63" i="7" s="1"/>
  <c r="AE61" i="7" a="1"/>
  <c r="AE61" i="7" s="1"/>
  <c r="AD61" i="20"/>
  <c r="Q116" i="8"/>
  <c r="AE110" i="7" a="1"/>
  <c r="AE110" i="7" s="1"/>
  <c r="AJ110" i="7" s="1"/>
  <c r="AD110" i="20"/>
  <c r="AE89" i="7" a="1"/>
  <c r="AE89" i="7" s="1"/>
  <c r="AJ89" i="7" s="1"/>
  <c r="AD89" i="20"/>
  <c r="AE64" i="7" a="1"/>
  <c r="AE64" i="7" s="1"/>
  <c r="AJ64" i="7" s="1"/>
  <c r="AE59" i="7" a="1"/>
  <c r="AE59" i="7" s="1"/>
  <c r="AD59" i="20"/>
  <c r="AE47" i="7" a="1"/>
  <c r="AE47" i="7" s="1"/>
  <c r="AJ47" i="7" s="1"/>
  <c r="AE43" i="7" a="1"/>
  <c r="AE43" i="7" s="1"/>
  <c r="AJ43" i="7" s="1"/>
  <c r="AD43" i="20"/>
  <c r="AE44" i="7" a="1"/>
  <c r="AE44" i="7" s="1"/>
  <c r="AJ44" i="7" s="1"/>
  <c r="AD44" i="20"/>
  <c r="AE69" i="7" a="1"/>
  <c r="AE69" i="7" s="1"/>
  <c r="AJ69" i="7" s="1"/>
  <c r="AD69" i="20"/>
  <c r="AE95" i="7" a="1"/>
  <c r="AE95" i="7" s="1"/>
  <c r="AJ95" i="7" s="1"/>
  <c r="AE80" i="7" a="1"/>
  <c r="AE80" i="7" s="1"/>
  <c r="AJ80" i="7"/>
  <c r="AD80" i="20"/>
  <c r="AE40" i="7" a="1"/>
  <c r="AE40" i="7" s="1"/>
  <c r="AJ40" i="7" s="1"/>
  <c r="AE52" i="7" a="1"/>
  <c r="AE52" i="7" s="1"/>
  <c r="AJ52" i="7" s="1"/>
  <c r="AE102" i="7" a="1"/>
  <c r="AE102" i="7" s="1"/>
  <c r="AJ102" i="7" s="1"/>
  <c r="AD102" i="20"/>
  <c r="AE67" i="7" a="1"/>
  <c r="AE67" i="7" s="1"/>
  <c r="AJ67" i="7" s="1"/>
  <c r="AD67" i="20"/>
  <c r="AE45" i="7" a="1"/>
  <c r="AE45" i="7" s="1"/>
  <c r="AJ45" i="7"/>
  <c r="AD45" i="20"/>
  <c r="AE97" i="7" a="1"/>
  <c r="AE97" i="7" s="1"/>
  <c r="AD97" i="20"/>
  <c r="AE100" i="7" a="1"/>
  <c r="AE100" i="7" s="1"/>
  <c r="AJ100" i="7" s="1"/>
  <c r="AE65" i="7" a="1"/>
  <c r="AE65" i="7" s="1"/>
  <c r="AD65" i="20"/>
  <c r="AJ65" i="7"/>
  <c r="AE76" i="7" a="1"/>
  <c r="AE76" i="7" s="1"/>
  <c r="AJ76" i="7" s="1"/>
  <c r="AD76" i="20"/>
  <c r="AE82" i="7" a="1"/>
  <c r="AE82" i="7" s="1"/>
  <c r="AJ82" i="7" s="1"/>
  <c r="AE74" i="7" a="1"/>
  <c r="AE74" i="7" s="1"/>
  <c r="AD74" i="20"/>
  <c r="AE98" i="7" a="1"/>
  <c r="AE98" i="7" s="1"/>
  <c r="AJ98" i="7" s="1"/>
  <c r="AD98" i="20"/>
  <c r="AE53" i="7" a="1"/>
  <c r="AE53" i="7" s="1"/>
  <c r="AD53" i="20"/>
  <c r="AE36" i="7" a="1"/>
  <c r="AE36" i="7" s="1"/>
  <c r="AJ36" i="7" s="1"/>
  <c r="AE70" i="7" a="1"/>
  <c r="AE70" i="7" s="1"/>
  <c r="AJ70" i="7" s="1"/>
  <c r="AD70" i="20"/>
  <c r="AE34" i="7" a="1"/>
  <c r="AE34" i="7" s="1"/>
  <c r="AJ34" i="7" s="1"/>
  <c r="AE103" i="7" a="1"/>
  <c r="AE103" i="7" s="1"/>
  <c r="AJ103" i="7" s="1"/>
  <c r="Q115" i="8"/>
  <c r="AE109" i="7" a="1"/>
  <c r="AE109" i="7" s="1"/>
  <c r="AJ109" i="7" s="1"/>
  <c r="AD109" i="20"/>
  <c r="AE94" i="7" a="1"/>
  <c r="AE94" i="7" s="1"/>
  <c r="AJ94" i="7" s="1"/>
  <c r="AD94" i="20"/>
  <c r="AE48" i="7" a="1"/>
  <c r="AE48" i="7" s="1"/>
  <c r="AJ48" i="7" s="1"/>
  <c r="AD48" i="20"/>
  <c r="AE108" i="7" a="1"/>
  <c r="AE108" i="7" s="1"/>
  <c r="AJ108" i="7" s="1"/>
  <c r="AE51" i="7" a="1"/>
  <c r="AE51" i="7" s="1"/>
  <c r="AJ51" i="7" s="1"/>
  <c r="Q111" i="8"/>
  <c r="AE106" i="7" a="1"/>
  <c r="AE106" i="7" s="1"/>
  <c r="AJ106" i="7" s="1"/>
  <c r="AD106" i="20"/>
  <c r="AE58" i="7" a="1"/>
  <c r="AE58" i="7" s="1"/>
  <c r="AJ58" i="7" s="1"/>
  <c r="AD58" i="20"/>
  <c r="AE50" i="7" a="1"/>
  <c r="AE50" i="7" s="1"/>
  <c r="AJ50" i="7" s="1"/>
  <c r="AD50" i="20"/>
  <c r="AE49" i="7" a="1"/>
  <c r="AE49" i="7" s="1"/>
  <c r="AJ49" i="7" s="1"/>
  <c r="AD49" i="20"/>
  <c r="AE75" i="7" a="1"/>
  <c r="AE75" i="7" s="1"/>
  <c r="AD75" i="20"/>
  <c r="AJ75" i="7"/>
  <c r="AE78" i="7" a="1"/>
  <c r="AE78" i="7" s="1"/>
  <c r="AJ78" i="7" s="1"/>
  <c r="AE42" i="7" a="1"/>
  <c r="AE42" i="7" s="1"/>
  <c r="AE73" i="7" a="1"/>
  <c r="AE73" i="7" s="1"/>
  <c r="AJ73" i="7" s="1"/>
  <c r="AE46" i="7" a="1"/>
  <c r="AE46" i="7" s="1"/>
  <c r="AE31" i="7" a="1"/>
  <c r="AE31" i="7" s="1"/>
  <c r="AJ31" i="7" s="1"/>
  <c r="AE60" i="7" a="1"/>
  <c r="AE60" i="7" s="1"/>
  <c r="AD60" i="20"/>
  <c r="AE92" i="7" a="1"/>
  <c r="AE92" i="7" s="1"/>
  <c r="AJ92" i="7" s="1"/>
  <c r="AE30" i="7" a="1"/>
  <c r="AE30" i="7" s="1"/>
  <c r="AJ30" i="7" s="1"/>
  <c r="AR30" i="7"/>
  <c r="AD103" i="20"/>
  <c r="AE54" i="7" a="1"/>
  <c r="AE54" i="7" s="1"/>
  <c r="AJ54" i="7" s="1"/>
  <c r="AD54" i="20"/>
  <c r="L75" i="3"/>
  <c r="AS62" i="7" a="1"/>
  <c r="AS84" i="7" a="1"/>
  <c r="AS33" i="7" a="1"/>
  <c r="AR32" i="20" a="1"/>
  <c r="AR93" i="20" a="1"/>
  <c r="AR59" i="20" a="1"/>
  <c r="AS95" i="7" a="1"/>
  <c r="AS52" i="7" a="1"/>
  <c r="AR67" i="20" a="1"/>
  <c r="AR97" i="20" a="1"/>
  <c r="AS34" i="7" a="1"/>
  <c r="AS108" i="7" a="1"/>
  <c r="AS49" i="7" a="1"/>
  <c r="AS78" i="7" a="1"/>
  <c r="AS60" i="7" a="1"/>
  <c r="AS94" i="7" a="1"/>
  <c r="AR103" i="20" a="1"/>
  <c r="AR54" i="20" a="1"/>
  <c r="AS104" i="7" a="1"/>
  <c r="AS110" i="7" a="1"/>
  <c r="AS109" i="7" a="1"/>
  <c r="AS75" i="7" a="1"/>
  <c r="AS67" i="7" a="1"/>
  <c r="AS53" i="7" a="1"/>
  <c r="AR48" i="20" a="1"/>
  <c r="AS99" i="7" a="1"/>
  <c r="AR62" i="20" a="1"/>
  <c r="AS83" i="7" a="1"/>
  <c r="AS89" i="7" a="1"/>
  <c r="AS44" i="7" a="1"/>
  <c r="AS76" i="7" a="1"/>
  <c r="AR74" i="20" a="1"/>
  <c r="AR53" i="20" a="1"/>
  <c r="AS58" i="7" a="1"/>
  <c r="AS69" i="7" a="1"/>
  <c r="AS48" i="7" a="1"/>
  <c r="AR43" i="20" a="1"/>
  <c r="AS37" i="7" a="1"/>
  <c r="AS55" i="7" a="1"/>
  <c r="AR84" i="20" a="1"/>
  <c r="AR33" i="20" a="1"/>
  <c r="AS56" i="7" a="1"/>
  <c r="AS41" i="7" a="1"/>
  <c r="AS68" i="7" a="1"/>
  <c r="AS38" i="7" a="1"/>
  <c r="AS81" i="7" a="1"/>
  <c r="AS61" i="7" a="1"/>
  <c r="AR89" i="20" a="1"/>
  <c r="AS47" i="7" a="1"/>
  <c r="AS100" i="7" a="1"/>
  <c r="AS36" i="7" a="1"/>
  <c r="AS103" i="7" a="1"/>
  <c r="AR94" i="20" a="1"/>
  <c r="AS51" i="7" a="1"/>
  <c r="AS42" i="7" a="1"/>
  <c r="AR60" i="20" a="1"/>
  <c r="AS82" i="7" a="1"/>
  <c r="AR98" i="20" a="1"/>
  <c r="AS65" i="7" a="1"/>
  <c r="AS70" i="7" a="1"/>
  <c r="AS50" i="7" a="1"/>
  <c r="AS46" i="7" a="1"/>
  <c r="AS63" i="7" a="1"/>
  <c r="AR69" i="20" a="1"/>
  <c r="AR55" i="20" a="1"/>
  <c r="AS96" i="7" a="1"/>
  <c r="AR61" i="20" a="1"/>
  <c r="AR44" i="20" a="1"/>
  <c r="AS80" i="7" a="1"/>
  <c r="AS102" i="7" a="1"/>
  <c r="AS45" i="7" a="1"/>
  <c r="AR76" i="20" a="1"/>
  <c r="AS98" i="7" a="1"/>
  <c r="AR58" i="20" a="1"/>
  <c r="AR49" i="20" a="1"/>
  <c r="AS73" i="7" a="1"/>
  <c r="AS92" i="7" a="1"/>
  <c r="AS54" i="7" a="1"/>
  <c r="AS43" i="7" a="1"/>
  <c r="AR45" i="20" a="1"/>
  <c r="AS106" i="7" a="1"/>
  <c r="AR105" i="20" a="1"/>
  <c r="AR70" i="20" a="1"/>
  <c r="AR37" i="20" a="1"/>
  <c r="AS86" i="7" a="1"/>
  <c r="AS35" i="7" a="1"/>
  <c r="AS101" i="7" a="1"/>
  <c r="AR56" i="20" a="1"/>
  <c r="AR41" i="20" a="1"/>
  <c r="AR68" i="20" a="1"/>
  <c r="AR38" i="20" a="1"/>
  <c r="AR81" i="20" a="1"/>
  <c r="AS64" i="7" a="1"/>
  <c r="AR102" i="20" a="1"/>
  <c r="AS72" i="7" a="1"/>
  <c r="AR86" i="20" a="1"/>
  <c r="AR101" i="20" a="1"/>
  <c r="AR80" i="20" a="1"/>
  <c r="AR50" i="20" a="1"/>
  <c r="AS85" i="7" a="1"/>
  <c r="AR35" i="20" a="1"/>
  <c r="AS32" i="7" a="1"/>
  <c r="AS90" i="7" a="1"/>
  <c r="AS93" i="7" a="1"/>
  <c r="AS79" i="7" a="1"/>
  <c r="AS105" i="7" a="1"/>
  <c r="AR110" i="20" a="1"/>
  <c r="AS40" i="7" a="1"/>
  <c r="AR65" i="20" a="1"/>
  <c r="AR106" i="20" a="1"/>
  <c r="AR75" i="20" a="1"/>
  <c r="AS31" i="7" a="1"/>
  <c r="AS66" i="7" a="1"/>
  <c r="AR85" i="20" a="1"/>
  <c r="AS88" i="7" a="1"/>
  <c r="AR90" i="20" a="1"/>
  <c r="AR79" i="20" a="1"/>
  <c r="AS59" i="7" a="1"/>
  <c r="AS97" i="7" a="1"/>
  <c r="AS74" i="7" a="1"/>
  <c r="AR109" i="20" a="1"/>
  <c r="T84" i="8" l="1" a="1"/>
  <c r="T84" i="8" s="1"/>
  <c r="S114" i="8"/>
  <c r="S109" i="8"/>
  <c r="S104" i="8"/>
  <c r="S99" i="8"/>
  <c r="S94" i="8"/>
  <c r="S89" i="8"/>
  <c r="AR109" i="20"/>
  <c r="AS74" i="7"/>
  <c r="AS97" i="7"/>
  <c r="AS59" i="7"/>
  <c r="AR79" i="20"/>
  <c r="AR90" i="20"/>
  <c r="AS88" i="7"/>
  <c r="AR85" i="20"/>
  <c r="AS66" i="7"/>
  <c r="AS31" i="7"/>
  <c r="AR75" i="20"/>
  <c r="AR106" i="20"/>
  <c r="AR65" i="20"/>
  <c r="AS40" i="7"/>
  <c r="AR110" i="20"/>
  <c r="AS105" i="7"/>
  <c r="AS79" i="7"/>
  <c r="AS93" i="7"/>
  <c r="AS90" i="7"/>
  <c r="AS32" i="7"/>
  <c r="AR35" i="20"/>
  <c r="AS85" i="7"/>
  <c r="AR50" i="20"/>
  <c r="AR80" i="20"/>
  <c r="AR101" i="20"/>
  <c r="AR86" i="20"/>
  <c r="AS72" i="7"/>
  <c r="AR102" i="20"/>
  <c r="AS64" i="7"/>
  <c r="AR81" i="20"/>
  <c r="AR38" i="20"/>
  <c r="AR68" i="20"/>
  <c r="AR41" i="20"/>
  <c r="AR56" i="20"/>
  <c r="AS101" i="7"/>
  <c r="AS35" i="7"/>
  <c r="AS86" i="7"/>
  <c r="AR37" i="20"/>
  <c r="AR70" i="20"/>
  <c r="AR105" i="20"/>
  <c r="AS106" i="7"/>
  <c r="AR45" i="20"/>
  <c r="AS43" i="7"/>
  <c r="AS54" i="7"/>
  <c r="AS92" i="7"/>
  <c r="AS73" i="7"/>
  <c r="AR49" i="20"/>
  <c r="AR58" i="20"/>
  <c r="AS98" i="7"/>
  <c r="AR76" i="20"/>
  <c r="AS45" i="7"/>
  <c r="AS102" i="7"/>
  <c r="AS80" i="7"/>
  <c r="AR44" i="20"/>
  <c r="AR61" i="20"/>
  <c r="AS96" i="7"/>
  <c r="AR55" i="20"/>
  <c r="AR69" i="20"/>
  <c r="AS63" i="7"/>
  <c r="AS46" i="7"/>
  <c r="AS50" i="7"/>
  <c r="AS70" i="7"/>
  <c r="AS65" i="7"/>
  <c r="AR98" i="20"/>
  <c r="AS82" i="7"/>
  <c r="AR60" i="20"/>
  <c r="AS42" i="7"/>
  <c r="AS51" i="7"/>
  <c r="AR94" i="20"/>
  <c r="AS103" i="7"/>
  <c r="AS36" i="7"/>
  <c r="AS100" i="7"/>
  <c r="AS47" i="7"/>
  <c r="AR89" i="20"/>
  <c r="AS61" i="7"/>
  <c r="AS81" i="7"/>
  <c r="AS38" i="7"/>
  <c r="AS68" i="7"/>
  <c r="AS41" i="7"/>
  <c r="AS56" i="7"/>
  <c r="AR33" i="20"/>
  <c r="AR84" i="20"/>
  <c r="AS55" i="7"/>
  <c r="AS37" i="7"/>
  <c r="AR43" i="20"/>
  <c r="AS48" i="7"/>
  <c r="AS69" i="7"/>
  <c r="AS58" i="7"/>
  <c r="AR53" i="20"/>
  <c r="AR74" i="20"/>
  <c r="AS76" i="7"/>
  <c r="AS44" i="7"/>
  <c r="AS89" i="7"/>
  <c r="AS83" i="7"/>
  <c r="AR62" i="20"/>
  <c r="AS99" i="7"/>
  <c r="AR48" i="20"/>
  <c r="AS53" i="7"/>
  <c r="AS67" i="7"/>
  <c r="AS75" i="7"/>
  <c r="AS109" i="7"/>
  <c r="AS110" i="7"/>
  <c r="AS104" i="7"/>
  <c r="AR54" i="20"/>
  <c r="AR103" i="20"/>
  <c r="AS94" i="7"/>
  <c r="AS60" i="7"/>
  <c r="AS78" i="7"/>
  <c r="AS49" i="7"/>
  <c r="AS108" i="7"/>
  <c r="AS34" i="7"/>
  <c r="AR97" i="20"/>
  <c r="AR67" i="20"/>
  <c r="AS52" i="7"/>
  <c r="AS95" i="7"/>
  <c r="AR59" i="20"/>
  <c r="AR93" i="20"/>
  <c r="AR32" i="20"/>
  <c r="AS33" i="7"/>
  <c r="AS84" i="7"/>
  <c r="AS62" i="7"/>
  <c r="AE109" i="20" a="1"/>
  <c r="AE109" i="20" s="1"/>
  <c r="AJ109" i="20" s="1"/>
  <c r="AF74" i="7" a="1"/>
  <c r="AF74" i="7" s="1"/>
  <c r="AF97" i="7" a="1"/>
  <c r="AF97" i="7" s="1"/>
  <c r="AF59" i="7" a="1"/>
  <c r="AF59" i="7" s="1"/>
  <c r="AE79" i="20" a="1"/>
  <c r="AE79" i="20" s="1"/>
  <c r="AJ79" i="20" s="1"/>
  <c r="AE90" i="20" a="1"/>
  <c r="AE90" i="20" s="1"/>
  <c r="AJ90" i="20" s="1"/>
  <c r="AF88" i="7" a="1"/>
  <c r="AF88" i="7" s="1"/>
  <c r="AA127" i="4"/>
  <c r="AA93" i="4"/>
  <c r="W62" i="8"/>
  <c r="AA132" i="4"/>
  <c r="AE85" i="20" a="1"/>
  <c r="AE85" i="20" s="1"/>
  <c r="AJ85" i="20" s="1"/>
  <c r="AF66" i="7" a="1"/>
  <c r="AF66" i="7" s="1"/>
  <c r="AF30" i="7" a="1"/>
  <c r="AF30" i="7" s="1"/>
  <c r="AG30" i="7" s="1" a="1"/>
  <c r="AG30" i="7" s="1"/>
  <c r="AH30" i="7" s="1" a="1"/>
  <c r="AH30" i="7" s="1"/>
  <c r="AK30" i="7" s="1"/>
  <c r="AF31" i="7" a="1"/>
  <c r="AF31" i="7" s="1"/>
  <c r="AE75" i="20" a="1"/>
  <c r="AE75" i="20" s="1"/>
  <c r="AJ75" i="20"/>
  <c r="AE106" i="20" a="1"/>
  <c r="AE106" i="20" s="1"/>
  <c r="AJ106" i="20" s="1"/>
  <c r="W53" i="8"/>
  <c r="AA62" i="4"/>
  <c r="W74" i="8"/>
  <c r="AA91" i="4"/>
  <c r="AE65" i="20" a="1"/>
  <c r="AE65" i="20" s="1"/>
  <c r="AJ65" i="20" s="1"/>
  <c r="AA104" i="4"/>
  <c r="W100" i="8"/>
  <c r="W67" i="8"/>
  <c r="AA109" i="4"/>
  <c r="Z109" i="4" s="1"/>
  <c r="AF40" i="7" a="1"/>
  <c r="AF40" i="7" s="1"/>
  <c r="W59" i="8"/>
  <c r="AA134" i="4"/>
  <c r="AE110" i="20" a="1"/>
  <c r="AE110" i="20" s="1"/>
  <c r="AJ110" i="20" s="1"/>
  <c r="AF105" i="7" a="1"/>
  <c r="AF105" i="7" s="1"/>
  <c r="AF79" i="7" a="1"/>
  <c r="AF79" i="7" s="1"/>
  <c r="AF93" i="7" a="1"/>
  <c r="AF93" i="7" s="1"/>
  <c r="AF90" i="7" a="1"/>
  <c r="AF90" i="7" s="1"/>
  <c r="AJ29" i="7"/>
  <c r="AF32" i="7" a="1"/>
  <c r="AF32" i="7" s="1"/>
  <c r="AE35" i="20" a="1"/>
  <c r="AE35" i="20" s="1"/>
  <c r="AJ35" i="20" s="1"/>
  <c r="AF85" i="7" a="1"/>
  <c r="AF85" i="7" s="1"/>
  <c r="AE50" i="20" a="1"/>
  <c r="AE50" i="20" s="1"/>
  <c r="AJ50" i="20" s="1"/>
  <c r="AE80" i="20" a="1"/>
  <c r="AE80" i="20" s="1"/>
  <c r="AJ80" i="20" s="1"/>
  <c r="W95" i="8"/>
  <c r="AA103" i="4"/>
  <c r="AE29" i="20" a="1"/>
  <c r="AE29" i="20" s="1"/>
  <c r="AF29" i="20" s="1" a="1"/>
  <c r="AF29" i="20" s="1"/>
  <c r="AG29" i="20" s="1" a="1"/>
  <c r="AG29" i="20" s="1"/>
  <c r="AH29" i="20" s="1" a="1"/>
  <c r="AH29" i="20" s="1"/>
  <c r="AK29" i="20" s="1"/>
  <c r="AJ29" i="20"/>
  <c r="AA123" i="4"/>
  <c r="AE101" i="20" a="1"/>
  <c r="AE101" i="20" s="1"/>
  <c r="AJ101" i="20" s="1"/>
  <c r="AE86" i="20" a="1"/>
  <c r="AE86" i="20" s="1"/>
  <c r="AJ86" i="20" s="1"/>
  <c r="W85" i="8"/>
  <c r="AA101" i="4"/>
  <c r="AF72" i="7" a="1"/>
  <c r="AF72" i="7" s="1"/>
  <c r="AE102" i="20" a="1"/>
  <c r="AE102" i="20" s="1"/>
  <c r="AJ102" i="20" s="1"/>
  <c r="AF64" i="7" a="1"/>
  <c r="AF64" i="7" s="1"/>
  <c r="R116" i="8" a="1"/>
  <c r="R116" i="8" s="1"/>
  <c r="AA90" i="4"/>
  <c r="AE81" i="20" a="1"/>
  <c r="AE81" i="20" s="1"/>
  <c r="AJ81" i="20"/>
  <c r="AE38" i="20" a="1"/>
  <c r="AE38" i="20" s="1"/>
  <c r="AJ38" i="20" s="1"/>
  <c r="AE68" i="20" a="1"/>
  <c r="AE68" i="20" s="1"/>
  <c r="AJ68" i="20" s="1"/>
  <c r="AE41" i="20" a="1"/>
  <c r="AE41" i="20" s="1"/>
  <c r="AJ41" i="20" s="1"/>
  <c r="AE56" i="20" a="1"/>
  <c r="AE56" i="20" s="1"/>
  <c r="AJ56" i="20"/>
  <c r="AF101" i="7" a="1"/>
  <c r="AF101" i="7" s="1"/>
  <c r="AF35" i="7" a="1"/>
  <c r="AF35" i="7" s="1"/>
  <c r="AF86" i="7" a="1"/>
  <c r="AF86" i="7" s="1"/>
  <c r="AE37" i="20" a="1"/>
  <c r="AE37" i="20" s="1"/>
  <c r="AJ37" i="20" s="1"/>
  <c r="AE70" i="20" a="1"/>
  <c r="AE70" i="20" s="1"/>
  <c r="AJ70" i="20" s="1"/>
  <c r="AE105" i="20" a="1"/>
  <c r="AE105" i="20" s="1"/>
  <c r="AJ105" i="20" s="1"/>
  <c r="AF106" i="7" a="1"/>
  <c r="AF106" i="7" s="1"/>
  <c r="AE45" i="20" a="1"/>
  <c r="AE45" i="20" s="1"/>
  <c r="AJ45" i="20" s="1"/>
  <c r="W79" i="8"/>
  <c r="AA92" i="4"/>
  <c r="W48" i="8"/>
  <c r="W70" i="8"/>
  <c r="AA112" i="4"/>
  <c r="W65" i="8"/>
  <c r="AA111" i="4"/>
  <c r="Z111" i="4" s="1"/>
  <c r="W69" i="8"/>
  <c r="AF43" i="7" a="1"/>
  <c r="AF43" i="7" s="1"/>
  <c r="AF54" i="7" a="1"/>
  <c r="AF54" i="7" s="1"/>
  <c r="AF92" i="7" a="1"/>
  <c r="AF92" i="7" s="1"/>
  <c r="AF73" i="7" a="1"/>
  <c r="AF73" i="7" s="1"/>
  <c r="AE49" i="20" a="1"/>
  <c r="AE49" i="20" s="1"/>
  <c r="AJ49" i="20" s="1"/>
  <c r="AE58" i="20" a="1"/>
  <c r="AE58" i="20" s="1"/>
  <c r="AJ58" i="20" s="1"/>
  <c r="AF98" i="7" a="1"/>
  <c r="AF98" i="7" s="1"/>
  <c r="AE76" i="20" a="1"/>
  <c r="AE76" i="20" s="1"/>
  <c r="AJ76" i="20" s="1"/>
  <c r="AF45" i="7" a="1"/>
  <c r="AF45" i="7" s="1"/>
  <c r="AF102" i="7" a="1"/>
  <c r="AF102" i="7" s="1"/>
  <c r="AF80" i="7" a="1"/>
  <c r="AF80" i="7" s="1"/>
  <c r="AE44" i="20" a="1"/>
  <c r="AE44" i="20" s="1"/>
  <c r="AJ44" i="20" s="1"/>
  <c r="AE61" i="20" a="1"/>
  <c r="AE61" i="20" s="1"/>
  <c r="AJ61" i="20" s="1"/>
  <c r="W29" i="8"/>
  <c r="AA70" i="4"/>
  <c r="AF96" i="7" a="1"/>
  <c r="AF96" i="7" s="1"/>
  <c r="W105" i="8"/>
  <c r="AA105" i="4"/>
  <c r="AA121" i="4"/>
  <c r="W35" i="8"/>
  <c r="W86" i="8"/>
  <c r="AA84" i="4"/>
  <c r="AE55" i="20" a="1"/>
  <c r="AE55" i="20" s="1"/>
  <c r="AJ55" i="20" s="1"/>
  <c r="AE69" i="20" a="1"/>
  <c r="AE69" i="20" s="1"/>
  <c r="AJ69" i="20" s="1"/>
  <c r="AF63" i="7" a="1"/>
  <c r="AF63" i="7" s="1"/>
  <c r="AJ46" i="7"/>
  <c r="AF46" i="7" a="1"/>
  <c r="AF46" i="7" s="1"/>
  <c r="AF50" i="7" a="1"/>
  <c r="AF50" i="7" s="1"/>
  <c r="AF70" i="7" a="1"/>
  <c r="AF70" i="7" s="1"/>
  <c r="AF65" i="7" a="1"/>
  <c r="AF65" i="7" s="1"/>
  <c r="W110" i="8"/>
  <c r="AA106" i="4"/>
  <c r="R111" i="8" a="1"/>
  <c r="R111" i="8" s="1"/>
  <c r="W111" i="8" s="1"/>
  <c r="AA89" i="4"/>
  <c r="AE98" i="20" a="1"/>
  <c r="AE98" i="20" s="1"/>
  <c r="AJ98" i="20" s="1"/>
  <c r="AF82" i="7" a="1"/>
  <c r="AF82" i="7" s="1"/>
  <c r="W54" i="8"/>
  <c r="AA63" i="4"/>
  <c r="AE60" i="20" a="1"/>
  <c r="AE60" i="20" s="1"/>
  <c r="AJ42" i="7"/>
  <c r="AF42" i="7" a="1"/>
  <c r="AF42" i="7" s="1"/>
  <c r="AF51" i="7" a="1"/>
  <c r="AF51" i="7" s="1"/>
  <c r="AE94" i="20" a="1"/>
  <c r="AE94" i="20" s="1"/>
  <c r="AJ94" i="20"/>
  <c r="AF103" i="7" a="1"/>
  <c r="AF103" i="7" s="1"/>
  <c r="AF36" i="7" a="1"/>
  <c r="AF36" i="7" s="1"/>
  <c r="W101" i="8"/>
  <c r="AA87" i="4"/>
  <c r="AF100" i="7" a="1"/>
  <c r="AF100" i="7" s="1"/>
  <c r="AA117" i="4"/>
  <c r="W45" i="8"/>
  <c r="AA88" i="4"/>
  <c r="W106" i="8"/>
  <c r="AA100" i="4"/>
  <c r="AF47" i="7" a="1"/>
  <c r="AF47" i="7" s="1"/>
  <c r="AE89" i="20" a="1"/>
  <c r="AE89" i="20" s="1"/>
  <c r="AJ89" i="20" s="1"/>
  <c r="AJ61" i="7"/>
  <c r="AF61" i="7" a="1"/>
  <c r="AF61" i="7" s="1"/>
  <c r="AF81" i="7" a="1"/>
  <c r="AF81" i="7" s="1"/>
  <c r="AF38" i="7" a="1"/>
  <c r="AF38" i="7" s="1"/>
  <c r="AF68" i="7" a="1"/>
  <c r="AF68" i="7" s="1"/>
  <c r="AF41" i="7" a="1"/>
  <c r="AF41" i="7" s="1"/>
  <c r="AF56" i="7" a="1"/>
  <c r="AF56" i="7" s="1"/>
  <c r="AE33" i="20" a="1"/>
  <c r="AE33" i="20" s="1"/>
  <c r="AJ33" i="20" s="1"/>
  <c r="AE84" i="20" a="1"/>
  <c r="AE84" i="20" s="1"/>
  <c r="AJ84" i="20" s="1"/>
  <c r="AF55" i="7" a="1"/>
  <c r="AF55" i="7" s="1"/>
  <c r="AF37" i="7" a="1"/>
  <c r="AF37" i="7" s="1"/>
  <c r="AE43" i="20" a="1"/>
  <c r="AE43" i="20" s="1"/>
  <c r="AJ43" i="20" s="1"/>
  <c r="AF48" i="7" a="1"/>
  <c r="AF48" i="7" s="1"/>
  <c r="AF69" i="7" a="1"/>
  <c r="AF69" i="7" s="1"/>
  <c r="W91" i="8"/>
  <c r="AA85" i="4"/>
  <c r="R115" i="8" a="1"/>
  <c r="R115" i="8" s="1"/>
  <c r="W115" i="8" s="1"/>
  <c r="AA107" i="4"/>
  <c r="AA133" i="4"/>
  <c r="AF58" i="7" a="1"/>
  <c r="AF58" i="7" s="1"/>
  <c r="AE53" i="20" a="1"/>
  <c r="AE53" i="20" s="1"/>
  <c r="AJ53" i="20" s="1"/>
  <c r="AE74" i="20" a="1"/>
  <c r="AE74" i="20" s="1"/>
  <c r="AJ74" i="20"/>
  <c r="AF76" i="7" a="1"/>
  <c r="AF76" i="7" s="1"/>
  <c r="AJ97" i="7"/>
  <c r="AF44" i="7" a="1"/>
  <c r="AF44" i="7" s="1"/>
  <c r="AJ59" i="7"/>
  <c r="AF89" i="7" a="1"/>
  <c r="AF89" i="7" s="1"/>
  <c r="W61" i="8"/>
  <c r="AA135" i="4"/>
  <c r="W81" i="8"/>
  <c r="AA83" i="4"/>
  <c r="AA125" i="4"/>
  <c r="W38" i="8"/>
  <c r="W68" i="8"/>
  <c r="AA113" i="4"/>
  <c r="W41" i="8"/>
  <c r="AA119" i="4"/>
  <c r="AA60" i="4"/>
  <c r="AF83" i="7" a="1"/>
  <c r="AF83" i="7" s="1"/>
  <c r="AE62" i="20" a="1"/>
  <c r="AE62" i="20" s="1"/>
  <c r="AJ62" i="20" s="1"/>
  <c r="AF99" i="7" a="1"/>
  <c r="AF99" i="7" s="1"/>
  <c r="W55" i="8"/>
  <c r="AA61" i="4"/>
  <c r="W37" i="8"/>
  <c r="AA126" i="4"/>
  <c r="AE48" i="20" a="1"/>
  <c r="AE48" i="20" s="1"/>
  <c r="AJ48" i="20" s="1"/>
  <c r="AF53" i="7" a="1"/>
  <c r="AF53" i="7" s="1"/>
  <c r="AF67" i="7" a="1"/>
  <c r="AF67" i="7" s="1"/>
  <c r="W107" i="8"/>
  <c r="AF75" i="7" a="1"/>
  <c r="AF75" i="7" s="1"/>
  <c r="AF109" i="7" a="1"/>
  <c r="AF109" i="7" s="1"/>
  <c r="W43" i="8"/>
  <c r="AA120" i="4"/>
  <c r="AF110" i="7" a="1"/>
  <c r="AF110" i="7" s="1"/>
  <c r="AF104" i="7" a="1"/>
  <c r="AF104" i="7" s="1"/>
  <c r="AE54" i="20" a="1"/>
  <c r="AE54" i="20" s="1"/>
  <c r="AJ54" i="20" s="1"/>
  <c r="AE103" i="20" a="1"/>
  <c r="AE103" i="20" s="1"/>
  <c r="AJ103" i="20" s="1"/>
  <c r="AA130" i="4"/>
  <c r="AF94" i="7" a="1"/>
  <c r="AF94" i="7" s="1"/>
  <c r="AJ60" i="7"/>
  <c r="AF60" i="7" a="1"/>
  <c r="AF60" i="7" s="1"/>
  <c r="AF78" i="7" a="1"/>
  <c r="AF78" i="7" s="1"/>
  <c r="AF49" i="7" a="1"/>
  <c r="AF49" i="7" s="1"/>
  <c r="AA131" i="4"/>
  <c r="AF108" i="7" a="1"/>
  <c r="AF108" i="7" s="1"/>
  <c r="W96" i="8"/>
  <c r="AA86" i="4"/>
  <c r="AF34" i="7" a="1"/>
  <c r="AF34" i="7" s="1"/>
  <c r="AJ53" i="7"/>
  <c r="AJ74" i="7"/>
  <c r="AA82" i="4"/>
  <c r="AE97" i="20" a="1"/>
  <c r="AE97" i="20" s="1"/>
  <c r="AJ97" i="20" s="1"/>
  <c r="AE67" i="20" a="1"/>
  <c r="AE67" i="20" s="1"/>
  <c r="AJ67" i="20" s="1"/>
  <c r="AF52" i="7" a="1"/>
  <c r="AF52" i="7" s="1"/>
  <c r="AF95" i="7" a="1"/>
  <c r="AF95" i="7" s="1"/>
  <c r="AA118" i="4"/>
  <c r="W44" i="8"/>
  <c r="AE59" i="20" a="1"/>
  <c r="AE59" i="20" s="1"/>
  <c r="AJ59" i="20" s="1"/>
  <c r="AA102" i="4"/>
  <c r="AJ63" i="7"/>
  <c r="AE93" i="20" a="1"/>
  <c r="AE93" i="20" s="1"/>
  <c r="AJ90" i="7"/>
  <c r="AJ88" i="7"/>
  <c r="AE32" i="20" a="1"/>
  <c r="AE32" i="20" s="1"/>
  <c r="AF33" i="7" a="1"/>
  <c r="AF33" i="7" s="1"/>
  <c r="AF84" i="7" a="1"/>
  <c r="AF84" i="7" s="1"/>
  <c r="AF62" i="7" a="1"/>
  <c r="AF62" i="7" s="1"/>
  <c r="AJ85" i="7"/>
  <c r="AJ66" i="7"/>
  <c r="M106" i="3"/>
  <c r="N106" i="3" s="1"/>
  <c r="N120" i="3" s="1"/>
  <c r="M71" i="3"/>
  <c r="M72" i="3"/>
  <c r="L81" i="3"/>
  <c r="M73" i="3"/>
  <c r="AT66" i="7" a="1"/>
  <c r="AS106" i="20" a="1"/>
  <c r="AS65" i="20" a="1"/>
  <c r="AT40" i="7" a="1"/>
  <c r="AT32" i="7" a="1"/>
  <c r="AS80" i="20" a="1"/>
  <c r="AS41" i="20" a="1"/>
  <c r="AT86" i="7" a="1"/>
  <c r="AT106" i="7" a="1"/>
  <c r="AT96" i="7" a="1"/>
  <c r="AT65" i="7" a="1"/>
  <c r="AS98" i="20" a="1"/>
  <c r="AT103" i="7" a="1"/>
  <c r="AT76" i="7" a="1"/>
  <c r="AT53" i="7" a="1"/>
  <c r="AT109" i="7" a="1"/>
  <c r="AT95" i="7" a="1"/>
  <c r="AS109" i="20" a="1"/>
  <c r="AS79" i="20" a="1"/>
  <c r="AT79" i="7" a="1"/>
  <c r="AT72" i="7" a="1"/>
  <c r="AT73" i="7" a="1"/>
  <c r="AS76" i="20" a="1"/>
  <c r="AS44" i="20" a="1"/>
  <c r="AT81" i="7" a="1"/>
  <c r="AT56" i="7" a="1"/>
  <c r="AT37" i="7" a="1"/>
  <c r="AS54" i="20" a="1"/>
  <c r="AT49" i="7" a="1"/>
  <c r="AT33" i="7" a="1"/>
  <c r="AS102" i="20" a="1"/>
  <c r="AS49" i="20" a="1"/>
  <c r="AS61" i="20" a="1"/>
  <c r="AS55" i="20" a="1"/>
  <c r="AT38" i="7" a="1"/>
  <c r="AS43" i="20" a="1"/>
  <c r="AT44" i="7" a="1"/>
  <c r="AS35" i="20" a="1"/>
  <c r="AS101" i="20" a="1"/>
  <c r="AS81" i="20" a="1"/>
  <c r="AS56" i="20" a="1"/>
  <c r="AS37" i="20" a="1"/>
  <c r="AS45" i="20" a="1"/>
  <c r="AT46" i="7" a="1"/>
  <c r="AT82" i="7" a="1"/>
  <c r="AT42" i="7" a="1"/>
  <c r="AT36" i="7" a="1"/>
  <c r="AT47" i="7" a="1"/>
  <c r="AT58" i="7" a="1"/>
  <c r="AT83" i="7" a="1"/>
  <c r="AT67" i="7" a="1"/>
  <c r="AT94" i="7" a="1"/>
  <c r="AS97" i="20" a="1"/>
  <c r="AT43" i="7" a="1"/>
  <c r="AT45" i="7" a="1"/>
  <c r="AS33" i="20" a="1"/>
  <c r="AT34" i="7" a="1"/>
  <c r="AT74" i="7" a="1"/>
  <c r="AS90" i="20" a="1"/>
  <c r="AT93" i="7" a="1"/>
  <c r="AT31" i="7" a="1"/>
  <c r="AT85" i="7" a="1"/>
  <c r="AS86" i="20" a="1"/>
  <c r="AS38" i="20" a="1"/>
  <c r="AT101" i="7" a="1"/>
  <c r="AS70" i="20" a="1"/>
  <c r="AT50" i="7" a="1"/>
  <c r="AT51" i="7" a="1"/>
  <c r="AS89" i="20" a="1"/>
  <c r="AS53" i="20" a="1"/>
  <c r="AS62" i="20" a="1"/>
  <c r="AS67" i="20" a="1"/>
  <c r="AS60" i="20" a="1"/>
  <c r="AT61" i="7" a="1"/>
  <c r="AT78" i="7" a="1"/>
  <c r="AT84" i="7" a="1"/>
  <c r="AT97" i="7" a="1"/>
  <c r="AT88" i="7" a="1"/>
  <c r="AS110" i="20" a="1"/>
  <c r="AT90" i="7" a="1"/>
  <c r="AT64" i="7" a="1"/>
  <c r="AT54" i="7" a="1"/>
  <c r="AS58" i="20" a="1"/>
  <c r="AT102" i="7" a="1"/>
  <c r="AS69" i="20" a="1"/>
  <c r="AT68" i="7" a="1"/>
  <c r="AS84" i="20" a="1"/>
  <c r="AT48" i="7" a="1"/>
  <c r="AT110" i="7" a="1"/>
  <c r="AS103" i="20" a="1"/>
  <c r="AT60" i="7" a="1"/>
  <c r="AS59" i="20" a="1"/>
  <c r="AT62" i="7" a="1"/>
  <c r="AT92" i="7" a="1"/>
  <c r="AT80" i="7" a="1"/>
  <c r="AT100" i="7" a="1"/>
  <c r="AT41" i="7" a="1"/>
  <c r="AT69" i="7" a="1"/>
  <c r="AS93" i="20" a="1"/>
  <c r="AS85" i="20" a="1"/>
  <c r="AS75" i="20" a="1"/>
  <c r="AS50" i="20" a="1"/>
  <c r="AS68" i="20" a="1"/>
  <c r="AT35" i="7" a="1"/>
  <c r="AS105" i="20" a="1"/>
  <c r="AT70" i="7" a="1"/>
  <c r="AS94" i="20" a="1"/>
  <c r="AS74" i="20" a="1"/>
  <c r="AT89" i="7" a="1"/>
  <c r="AT99" i="7" a="1"/>
  <c r="AS48" i="20" a="1"/>
  <c r="AT75" i="7" a="1"/>
  <c r="AT108" i="7" a="1"/>
  <c r="AT52" i="7" a="1"/>
  <c r="AT105" i="7" a="1"/>
  <c r="AT98" i="7" a="1"/>
  <c r="AT63" i="7" a="1"/>
  <c r="AT55" i="7" a="1"/>
  <c r="AT104" i="7" a="1"/>
  <c r="AS32" i="20" a="1"/>
  <c r="AT59" i="7" a="1"/>
  <c r="U84" i="8" l="1" a="1"/>
  <c r="U84" i="8" s="1"/>
  <c r="T114" i="8"/>
  <c r="T109" i="8"/>
  <c r="T104" i="8"/>
  <c r="T99" i="8"/>
  <c r="T94" i="8"/>
  <c r="T89" i="8"/>
  <c r="AT59" i="7"/>
  <c r="AS32" i="20"/>
  <c r="AT104" i="7"/>
  <c r="AT55" i="7"/>
  <c r="AT63" i="7"/>
  <c r="AT98" i="7"/>
  <c r="AT105" i="7"/>
  <c r="AT52" i="7"/>
  <c r="AT108" i="7"/>
  <c r="AT75" i="7"/>
  <c r="AS48" i="20"/>
  <c r="AT99" i="7"/>
  <c r="AT89" i="7"/>
  <c r="AS74" i="20"/>
  <c r="AS94" i="20"/>
  <c r="AT70" i="7"/>
  <c r="AS105" i="20"/>
  <c r="AT35" i="7"/>
  <c r="AS68" i="20"/>
  <c r="AS50" i="20"/>
  <c r="AS75" i="20"/>
  <c r="AS85" i="20"/>
  <c r="AS93" i="20"/>
  <c r="AT69" i="7"/>
  <c r="AT41" i="7"/>
  <c r="AT100" i="7"/>
  <c r="AT80" i="7"/>
  <c r="AT92" i="7"/>
  <c r="AT62" i="7"/>
  <c r="AS59" i="20"/>
  <c r="AT60" i="7"/>
  <c r="AS103" i="20"/>
  <c r="AT110" i="7"/>
  <c r="AT48" i="7"/>
  <c r="AS84" i="20"/>
  <c r="AT68" i="7"/>
  <c r="AS69" i="20"/>
  <c r="AT102" i="7"/>
  <c r="AS58" i="20"/>
  <c r="AT54" i="7"/>
  <c r="AT64" i="7"/>
  <c r="AT90" i="7"/>
  <c r="AS110" i="20"/>
  <c r="AT88" i="7"/>
  <c r="AT97" i="7"/>
  <c r="AT84" i="7"/>
  <c r="AT78" i="7"/>
  <c r="AT61" i="7"/>
  <c r="AS60" i="20"/>
  <c r="AS67" i="20"/>
  <c r="AS62" i="20"/>
  <c r="AS53" i="20"/>
  <c r="AS89" i="20"/>
  <c r="AT51" i="7"/>
  <c r="AT50" i="7"/>
  <c r="AS70" i="20"/>
  <c r="AT101" i="7"/>
  <c r="AS38" i="20"/>
  <c r="AS86" i="20"/>
  <c r="AT85" i="7"/>
  <c r="AT31" i="7"/>
  <c r="AT93" i="7"/>
  <c r="AS90" i="20"/>
  <c r="AT74" i="7"/>
  <c r="AT34" i="7"/>
  <c r="AS33" i="20"/>
  <c r="AT45" i="7"/>
  <c r="AT43" i="7"/>
  <c r="AS97" i="20"/>
  <c r="AT94" i="7"/>
  <c r="AT67" i="7"/>
  <c r="AT83" i="7"/>
  <c r="AT58" i="7"/>
  <c r="AT47" i="7"/>
  <c r="AT36" i="7"/>
  <c r="AT42" i="7"/>
  <c r="AT82" i="7"/>
  <c r="AT46" i="7"/>
  <c r="AS45" i="20"/>
  <c r="AS37" i="20"/>
  <c r="AS56" i="20"/>
  <c r="AS81" i="20"/>
  <c r="AS101" i="20"/>
  <c r="AS35" i="20"/>
  <c r="AT44" i="7"/>
  <c r="AS43" i="20"/>
  <c r="AT38" i="7"/>
  <c r="AS55" i="20"/>
  <c r="AS61" i="20"/>
  <c r="AS49" i="20"/>
  <c r="AS102" i="20"/>
  <c r="AT33" i="7"/>
  <c r="AT49" i="7"/>
  <c r="AS54" i="20"/>
  <c r="AT37" i="7"/>
  <c r="AT56" i="7"/>
  <c r="AT81" i="7"/>
  <c r="AS44" i="20"/>
  <c r="AS76" i="20"/>
  <c r="AT73" i="7"/>
  <c r="AT72" i="7"/>
  <c r="AT79" i="7"/>
  <c r="AS79" i="20"/>
  <c r="AS109" i="20"/>
  <c r="AT95" i="7"/>
  <c r="AT109" i="7"/>
  <c r="AT53" i="7"/>
  <c r="AT76" i="7"/>
  <c r="AT103" i="7"/>
  <c r="AS98" i="20"/>
  <c r="AT65" i="7"/>
  <c r="AT96" i="7"/>
  <c r="AT106" i="7"/>
  <c r="AT86" i="7"/>
  <c r="AS41" i="20"/>
  <c r="AS80" i="20"/>
  <c r="AT32" i="7"/>
  <c r="AT40" i="7"/>
  <c r="AS65" i="20"/>
  <c r="AS106" i="20"/>
  <c r="AT66" i="7"/>
  <c r="AG59" i="7" a="1"/>
  <c r="AG59" i="7" s="1"/>
  <c r="X50" i="8"/>
  <c r="AF32" i="20" a="1"/>
  <c r="AF32" i="20" s="1"/>
  <c r="AB82" i="4"/>
  <c r="F82" i="13" s="1" a="1"/>
  <c r="F82" i="13" s="1"/>
  <c r="AG104" i="7" a="1"/>
  <c r="AG104" i="7" s="1"/>
  <c r="AB133" i="4"/>
  <c r="F55" i="13" s="1" a="1"/>
  <c r="F55" i="13" s="1"/>
  <c r="AG55" i="7" a="1"/>
  <c r="AG55" i="7" s="1"/>
  <c r="AB100" i="4"/>
  <c r="F100" i="13" s="1" a="1"/>
  <c r="F100" i="13" s="1"/>
  <c r="AG63" i="7" a="1"/>
  <c r="AG63" i="7" s="1"/>
  <c r="AG98" i="7" a="1"/>
  <c r="AG98" i="7" s="1"/>
  <c r="X75" i="8"/>
  <c r="S116" i="8" a="1"/>
  <c r="S116" i="8" s="1"/>
  <c r="AB90" i="4"/>
  <c r="F90" i="13" s="1" a="1"/>
  <c r="F90" i="13" s="1"/>
  <c r="AB123" i="4"/>
  <c r="F21" i="13" s="1" a="1"/>
  <c r="F21" i="13" s="1"/>
  <c r="AG105" i="7" a="1"/>
  <c r="AG105" i="7" s="1"/>
  <c r="AA97" i="4"/>
  <c r="W104" i="8"/>
  <c r="AB127" i="4"/>
  <c r="F24" i="13" s="1" a="1"/>
  <c r="F24" i="13" s="1"/>
  <c r="AG52" i="7" a="1"/>
  <c r="AG52" i="7" s="1"/>
  <c r="AG108" i="7" a="1"/>
  <c r="AG108" i="7" s="1"/>
  <c r="AG75" i="7" a="1"/>
  <c r="AG75" i="7" s="1"/>
  <c r="AF48" i="20" a="1"/>
  <c r="AF48" i="20" s="1"/>
  <c r="AG99" i="7" a="1"/>
  <c r="AG99" i="7" s="1"/>
  <c r="AB125" i="4"/>
  <c r="F22" i="13" s="1" a="1"/>
  <c r="F22" i="13" s="1"/>
  <c r="AG89" i="7" a="1"/>
  <c r="AG89" i="7" s="1"/>
  <c r="AF74" i="20" a="1"/>
  <c r="AF74" i="20" s="1"/>
  <c r="AF94" i="20" a="1"/>
  <c r="AF94" i="20" s="1"/>
  <c r="AG70" i="7" a="1"/>
  <c r="AG70" i="7" s="1"/>
  <c r="AB111" i="4"/>
  <c r="F68" i="13" s="1" a="1"/>
  <c r="F68" i="13" s="1"/>
  <c r="AF105" i="20" a="1"/>
  <c r="AF105" i="20" s="1"/>
  <c r="AG35" i="7" a="1"/>
  <c r="AG35" i="7" s="1"/>
  <c r="AF68" i="20" a="1"/>
  <c r="AF68" i="20" s="1"/>
  <c r="AB101" i="4"/>
  <c r="F101" i="13" s="1" a="1"/>
  <c r="F101" i="13" s="1"/>
  <c r="AF50" i="20" a="1"/>
  <c r="AF50" i="20" s="1"/>
  <c r="AF75" i="20" a="1"/>
  <c r="AF75" i="20" s="1"/>
  <c r="AF85" i="20" a="1"/>
  <c r="AF85" i="20" s="1"/>
  <c r="AA96" i="4"/>
  <c r="W99" i="8"/>
  <c r="AF93" i="20" a="1"/>
  <c r="AF93" i="20" s="1"/>
  <c r="AB131" i="4"/>
  <c r="F53" i="13" s="1" a="1"/>
  <c r="F53" i="13" s="1"/>
  <c r="AB130" i="4"/>
  <c r="F37" i="13" s="1" a="1"/>
  <c r="F37" i="13" s="1"/>
  <c r="AG69" i="7" a="1"/>
  <c r="AG69" i="7" s="1"/>
  <c r="AG41" i="7" a="1"/>
  <c r="AG41" i="7" s="1"/>
  <c r="AG100" i="7" a="1"/>
  <c r="AG100" i="7" s="1"/>
  <c r="AG80" i="7" a="1"/>
  <c r="AG80" i="7" s="1"/>
  <c r="AG92" i="7" a="1"/>
  <c r="AG92" i="7" s="1"/>
  <c r="AG62" i="7" a="1"/>
  <c r="AG62" i="7" s="1"/>
  <c r="AF59" i="20" a="1"/>
  <c r="AF59" i="20" s="1"/>
  <c r="W58" i="8"/>
  <c r="AG60" i="7" a="1"/>
  <c r="AG60" i="7" s="1"/>
  <c r="AF103" i="20" a="1"/>
  <c r="AF103" i="20" s="1"/>
  <c r="AG110" i="7" a="1"/>
  <c r="AG110" i="7" s="1"/>
  <c r="AG48" i="7" a="1"/>
  <c r="AG48" i="7" s="1"/>
  <c r="AF84" i="20" a="1"/>
  <c r="AF84" i="20" s="1"/>
  <c r="AG68" i="7" a="1"/>
  <c r="AG68" i="7" s="1"/>
  <c r="S111" i="8" a="1"/>
  <c r="S111" i="8" s="1"/>
  <c r="AB89" i="4"/>
  <c r="F89" i="13" s="1" a="1"/>
  <c r="F89" i="13" s="1"/>
  <c r="AF69" i="20" a="1"/>
  <c r="AF69" i="20" s="1"/>
  <c r="AB121" i="4"/>
  <c r="F20" i="13" s="1" a="1"/>
  <c r="F20" i="13" s="1"/>
  <c r="AB70" i="4"/>
  <c r="F32" i="13" s="1" a="1"/>
  <c r="F32" i="13" s="1"/>
  <c r="AG102" i="7" a="1"/>
  <c r="AG102" i="7" s="1"/>
  <c r="AF58" i="20" a="1"/>
  <c r="AF58" i="20" s="1"/>
  <c r="AG54" i="7" a="1"/>
  <c r="AG54" i="7" s="1"/>
  <c r="AG64" i="7" a="1"/>
  <c r="AG64" i="7" s="1"/>
  <c r="AG90" i="7" a="1"/>
  <c r="AG90" i="7" s="1"/>
  <c r="AF110" i="20" a="1"/>
  <c r="AF110" i="20" s="1"/>
  <c r="AB109" i="4"/>
  <c r="F66" i="13" s="1" a="1"/>
  <c r="F66" i="13" s="1"/>
  <c r="AB91" i="4"/>
  <c r="F91" i="13" s="1" a="1"/>
  <c r="F91" i="13" s="1"/>
  <c r="AB93" i="4"/>
  <c r="F93" i="13" s="1" a="1"/>
  <c r="F93" i="13" s="1"/>
  <c r="AG88" i="7" a="1"/>
  <c r="AG88" i="7" s="1"/>
  <c r="AG97" i="7" a="1"/>
  <c r="AG97" i="7" s="1"/>
  <c r="AG84" i="7" a="1"/>
  <c r="AG84" i="7" s="1"/>
  <c r="AJ32" i="20"/>
  <c r="AB102" i="4"/>
  <c r="F102" i="13" s="1" a="1"/>
  <c r="F102" i="13" s="1"/>
  <c r="AG78" i="7" a="1"/>
  <c r="AG78" i="7" s="1"/>
  <c r="AB60" i="4"/>
  <c r="F40" i="13" s="1" a="1"/>
  <c r="F40" i="13" s="1"/>
  <c r="AG61" i="7" a="1"/>
  <c r="AG61" i="7" s="1"/>
  <c r="AF60" i="20" a="1"/>
  <c r="AF60" i="20" s="1"/>
  <c r="AJ93" i="20"/>
  <c r="AF67" i="20" a="1"/>
  <c r="AF67" i="20" s="1"/>
  <c r="W50" i="8"/>
  <c r="X107" i="8"/>
  <c r="AF62" i="20" a="1"/>
  <c r="AF62" i="20" s="1"/>
  <c r="AB119" i="4"/>
  <c r="F50" i="13" s="1" a="1"/>
  <c r="F50" i="13" s="1"/>
  <c r="AF53" i="20" a="1"/>
  <c r="AF53" i="20" s="1"/>
  <c r="S115" i="8" a="1"/>
  <c r="S115" i="8" s="1"/>
  <c r="AB107" i="4"/>
  <c r="F107" i="13" s="1" a="1"/>
  <c r="F107" i="13" s="1"/>
  <c r="AF89" i="20" a="1"/>
  <c r="AF89" i="20" s="1"/>
  <c r="AB88" i="4"/>
  <c r="F88" i="13" s="1" a="1"/>
  <c r="F88" i="13" s="1"/>
  <c r="AB87" i="4"/>
  <c r="F87" i="13" s="1" a="1"/>
  <c r="F87" i="13" s="1"/>
  <c r="AG51" i="7" a="1"/>
  <c r="AG51" i="7" s="1"/>
  <c r="AB63" i="4"/>
  <c r="F43" i="13" s="1" a="1"/>
  <c r="F43" i="13" s="1"/>
  <c r="AG50" i="7" a="1"/>
  <c r="AG50" i="7" s="1"/>
  <c r="AB92" i="4"/>
  <c r="F92" i="13" s="1" a="1"/>
  <c r="F92" i="13" s="1"/>
  <c r="AF70" i="20" a="1"/>
  <c r="AF70" i="20" s="1"/>
  <c r="AG101" i="7" a="1"/>
  <c r="AG101" i="7" s="1"/>
  <c r="AF38" i="20" a="1"/>
  <c r="AF38" i="20" s="1"/>
  <c r="AF86" i="20" a="1"/>
  <c r="AF86" i="20" s="1"/>
  <c r="AG85" i="7" a="1"/>
  <c r="AG85" i="7" s="1"/>
  <c r="AG31" i="7" a="1"/>
  <c r="AG31" i="7" s="1"/>
  <c r="W114" i="8"/>
  <c r="AA99" i="4"/>
  <c r="AG93" i="7" a="1"/>
  <c r="AG93" i="7" s="1"/>
  <c r="AB132" i="4"/>
  <c r="F54" i="13" s="1" a="1"/>
  <c r="F54" i="13" s="1"/>
  <c r="W94" i="8"/>
  <c r="AA95" i="4"/>
  <c r="AF90" i="20" a="1"/>
  <c r="AF90" i="20" s="1"/>
  <c r="AG74" i="7" a="1"/>
  <c r="AG74" i="7" s="1"/>
  <c r="AG34" i="7" a="1"/>
  <c r="AG34" i="7" s="1"/>
  <c r="AB126" i="4"/>
  <c r="F23" i="13" s="1" a="1"/>
  <c r="F23" i="13" s="1"/>
  <c r="AB83" i="4"/>
  <c r="F83" i="13" s="1" a="1"/>
  <c r="F83" i="13" s="1"/>
  <c r="AF33" i="20" a="1"/>
  <c r="AF33" i="20" s="1"/>
  <c r="AG45" i="7" a="1"/>
  <c r="AG45" i="7" s="1"/>
  <c r="AG43" i="7" a="1"/>
  <c r="AG43" i="7" s="1"/>
  <c r="AB118" i="4"/>
  <c r="F49" i="13" s="1" a="1"/>
  <c r="F49" i="13" s="1"/>
  <c r="AF97" i="20" a="1"/>
  <c r="AF97" i="20" s="1"/>
  <c r="AG94" i="7" a="1"/>
  <c r="AG94" i="7" s="1"/>
  <c r="AB120" i="4"/>
  <c r="F51" i="13" s="1" a="1"/>
  <c r="F51" i="13" s="1"/>
  <c r="AG67" i="7" a="1"/>
  <c r="AG67" i="7" s="1"/>
  <c r="AG83" i="7" a="1"/>
  <c r="AG83" i="7" s="1"/>
  <c r="AG58" i="7" a="1"/>
  <c r="AG58" i="7" s="1"/>
  <c r="AG47" i="7" a="1"/>
  <c r="AG47" i="7" s="1"/>
  <c r="AG36" i="7" a="1"/>
  <c r="AG36" i="7" s="1"/>
  <c r="AG42" i="7" a="1"/>
  <c r="AG42" i="7" s="1"/>
  <c r="AG82" i="7" a="1"/>
  <c r="AG82" i="7" s="1"/>
  <c r="AB106" i="4"/>
  <c r="F106" i="13" s="1" a="1"/>
  <c r="F106" i="13" s="1"/>
  <c r="AG46" i="7" a="1"/>
  <c r="AG46" i="7" s="1"/>
  <c r="AB105" i="4"/>
  <c r="F105" i="13" s="1" a="1"/>
  <c r="F105" i="13" s="1"/>
  <c r="AF45" i="20" a="1"/>
  <c r="AF45" i="20" s="1"/>
  <c r="AF37" i="20" a="1"/>
  <c r="AF37" i="20" s="1"/>
  <c r="AF56" i="20" a="1"/>
  <c r="AF56" i="20" s="1"/>
  <c r="AF81" i="20" a="1"/>
  <c r="AF81" i="20" s="1"/>
  <c r="AF101" i="20" a="1"/>
  <c r="AF101" i="20" s="1"/>
  <c r="AB103" i="4"/>
  <c r="F103" i="13" s="1" a="1"/>
  <c r="F103" i="13" s="1"/>
  <c r="AF35" i="20" a="1"/>
  <c r="AF35" i="20" s="1"/>
  <c r="AB134" i="4"/>
  <c r="F57" i="13" s="1" a="1"/>
  <c r="F57" i="13" s="1"/>
  <c r="AB104" i="4"/>
  <c r="F104" i="13" s="1" a="1"/>
  <c r="F104" i="13" s="1"/>
  <c r="AB62" i="4"/>
  <c r="F42" i="13" s="1" a="1"/>
  <c r="F42" i="13" s="1"/>
  <c r="W84" i="8"/>
  <c r="W89" i="8"/>
  <c r="AA94" i="4"/>
  <c r="AG44" i="7" a="1"/>
  <c r="AG44" i="7" s="1"/>
  <c r="AF43" i="20" a="1"/>
  <c r="AF43" i="20" s="1"/>
  <c r="AG38" i="7" a="1"/>
  <c r="AG38" i="7" s="1"/>
  <c r="AF55" i="20" a="1"/>
  <c r="AF55" i="20" s="1"/>
  <c r="AF61" i="20" a="1"/>
  <c r="AF61" i="20" s="1"/>
  <c r="AF49" i="20" a="1"/>
  <c r="AF49" i="20" s="1"/>
  <c r="AB112" i="4"/>
  <c r="F69" i="13" s="1" a="1"/>
  <c r="F69" i="13" s="1"/>
  <c r="AF102" i="20" a="1"/>
  <c r="AF102" i="20" s="1"/>
  <c r="AG33" i="7" a="1"/>
  <c r="AG33" i="7" s="1"/>
  <c r="W90" i="8"/>
  <c r="W76" i="8"/>
  <c r="AG49" i="7" a="1"/>
  <c r="AG49" i="7" s="1"/>
  <c r="W49" i="8"/>
  <c r="AF54" i="20" a="1"/>
  <c r="AF54" i="20" s="1"/>
  <c r="W56" i="8"/>
  <c r="AB113" i="4"/>
  <c r="F70" i="13" s="1" a="1"/>
  <c r="F70" i="13" s="1"/>
  <c r="W60" i="8"/>
  <c r="AB85" i="4"/>
  <c r="F85" i="13" s="1" a="1"/>
  <c r="F85" i="13" s="1"/>
  <c r="AG37" i="7" a="1"/>
  <c r="AG37" i="7" s="1"/>
  <c r="AG56" i="7" a="1"/>
  <c r="AG56" i="7" s="1"/>
  <c r="AG81" i="7" a="1"/>
  <c r="AG81" i="7" s="1"/>
  <c r="W80" i="8"/>
  <c r="AB117" i="4"/>
  <c r="F48" i="13" s="1" a="1"/>
  <c r="F48" i="13" s="1"/>
  <c r="AF44" i="20" a="1"/>
  <c r="AF44" i="20" s="1"/>
  <c r="AF76" i="20" a="1"/>
  <c r="AF76" i="20" s="1"/>
  <c r="AG73" i="7" a="1"/>
  <c r="AG73" i="7" s="1"/>
  <c r="X69" i="8"/>
  <c r="X48" i="8"/>
  <c r="W116" i="8"/>
  <c r="AG72" i="7" a="1"/>
  <c r="AG72" i="7" s="1"/>
  <c r="W32" i="8"/>
  <c r="AG79" i="7" a="1"/>
  <c r="AG79" i="7" s="1"/>
  <c r="W33" i="8"/>
  <c r="AF79" i="20" a="1"/>
  <c r="AF79" i="20" s="1"/>
  <c r="AF109" i="20" a="1"/>
  <c r="AF109" i="20" s="1"/>
  <c r="Z102" i="4"/>
  <c r="AG95" i="7" a="1"/>
  <c r="AG95" i="7" s="1"/>
  <c r="AB86" i="4"/>
  <c r="F86" i="13" s="1" a="1"/>
  <c r="F86" i="13" s="1"/>
  <c r="AG109" i="7" a="1"/>
  <c r="AG109" i="7" s="1"/>
  <c r="AG53" i="7" a="1"/>
  <c r="AG53" i="7" s="1"/>
  <c r="AB61" i="4"/>
  <c r="F41" i="13" s="1" a="1"/>
  <c r="F41" i="13" s="1"/>
  <c r="AB135" i="4"/>
  <c r="F56" i="13" s="1" a="1"/>
  <c r="F56" i="13" s="1"/>
  <c r="AG76" i="7" a="1"/>
  <c r="AG76" i="7" s="1"/>
  <c r="Z100" i="4"/>
  <c r="AG103" i="7" a="1"/>
  <c r="AG103" i="7" s="1"/>
  <c r="AJ60" i="20"/>
  <c r="AF98" i="20" a="1"/>
  <c r="AF98" i="20" s="1"/>
  <c r="AG65" i="7" a="1"/>
  <c r="AG65" i="7" s="1"/>
  <c r="AB84" i="4"/>
  <c r="F84" i="13" s="1" a="1"/>
  <c r="F84" i="13" s="1"/>
  <c r="AG96" i="7" a="1"/>
  <c r="AG96" i="7" s="1"/>
  <c r="W75" i="8"/>
  <c r="AG106" i="7" a="1"/>
  <c r="AG106" i="7" s="1"/>
  <c r="AG86" i="7" a="1"/>
  <c r="AG86" i="7" s="1"/>
  <c r="AF41" i="20" a="1"/>
  <c r="AF41" i="20" s="1"/>
  <c r="AF80" i="20" a="1"/>
  <c r="AF80" i="20" s="1"/>
  <c r="AG32" i="7" a="1"/>
  <c r="AG32" i="7" s="1"/>
  <c r="AG40" i="7" a="1"/>
  <c r="AG40" i="7" s="1"/>
  <c r="AF65" i="20" a="1"/>
  <c r="AF65" i="20" s="1"/>
  <c r="AF106" i="20" a="1"/>
  <c r="AF106" i="20" s="1"/>
  <c r="AG66" i="7" a="1"/>
  <c r="AG66" i="7" s="1"/>
  <c r="W109" i="8"/>
  <c r="AA98" i="4"/>
  <c r="Z127" i="4"/>
  <c r="N71" i="3"/>
  <c r="N77" i="3"/>
  <c r="N72" i="3"/>
  <c r="N73" i="3"/>
  <c r="AU70" i="7" a="1"/>
  <c r="AU41" i="7" a="1"/>
  <c r="AT84" i="20" a="1"/>
  <c r="AT58" i="20" a="1"/>
  <c r="AU78" i="7" a="1"/>
  <c r="AT67" i="20" a="1"/>
  <c r="AT90" i="20" a="1"/>
  <c r="AU42" i="7" a="1"/>
  <c r="AU81" i="7" a="1"/>
  <c r="AU53" i="7" a="1"/>
  <c r="AU66" i="7" a="1"/>
  <c r="AU59" i="7" a="1"/>
  <c r="AU104" i="7" a="1"/>
  <c r="AU63" i="7" a="1"/>
  <c r="AT85" i="20" a="1"/>
  <c r="AU100" i="7" a="1"/>
  <c r="AU60" i="7" a="1"/>
  <c r="AU88" i="7" a="1"/>
  <c r="AT89" i="20" a="1"/>
  <c r="AU51" i="7" a="1"/>
  <c r="AU85" i="7" a="1"/>
  <c r="AU67" i="7" a="1"/>
  <c r="AU82" i="7" a="1"/>
  <c r="AT45" i="20" a="1"/>
  <c r="AT101" i="20" a="1"/>
  <c r="AU38" i="7" a="1"/>
  <c r="AU49" i="7" a="1"/>
  <c r="AU73" i="7" a="1"/>
  <c r="AU79" i="7" a="1"/>
  <c r="AU96" i="7" a="1"/>
  <c r="AT49" i="20" a="1"/>
  <c r="AU98" i="7" a="1"/>
  <c r="AU52" i="7" a="1"/>
  <c r="AU80" i="7" a="1"/>
  <c r="AT103" i="20" a="1"/>
  <c r="AU68" i="7" a="1"/>
  <c r="AU54" i="7" a="1"/>
  <c r="AU97" i="7" a="1"/>
  <c r="AT70" i="20" a="1"/>
  <c r="AU31" i="7" a="1"/>
  <c r="AU74" i="7" a="1"/>
  <c r="AT33" i="20" a="1"/>
  <c r="AU83" i="7" a="1"/>
  <c r="AU95" i="7" a="1"/>
  <c r="AU103" i="7" a="1"/>
  <c r="AU32" i="7" a="1"/>
  <c r="AU90" i="7" a="1"/>
  <c r="AT38" i="20" a="1"/>
  <c r="AU94" i="7" a="1"/>
  <c r="AU47" i="7" a="1"/>
  <c r="AU46" i="7" a="1"/>
  <c r="AU86" i="7" a="1"/>
  <c r="AT86" i="20" a="1"/>
  <c r="AT81" i="20" a="1"/>
  <c r="AU105" i="7" a="1"/>
  <c r="AU108" i="7" a="1"/>
  <c r="AU89" i="7" a="1"/>
  <c r="AU92" i="7" a="1"/>
  <c r="AU84" i="7" a="1"/>
  <c r="AU34" i="7" a="1"/>
  <c r="AT97" i="20" a="1"/>
  <c r="AT37" i="20" a="1"/>
  <c r="AT55" i="20" a="1"/>
  <c r="AT54" i="20" a="1"/>
  <c r="AU40" i="7" a="1"/>
  <c r="AT79" i="20" a="1"/>
  <c r="AT98" i="20" a="1"/>
  <c r="AU106" i="7" a="1"/>
  <c r="AT65" i="20" a="1"/>
  <c r="AT60" i="20" a="1"/>
  <c r="AU50" i="7" a="1"/>
  <c r="AT61" i="20" a="1"/>
  <c r="AT76" i="20" a="1"/>
  <c r="AU109" i="7" a="1"/>
  <c r="AU76" i="7" a="1"/>
  <c r="AT80" i="20" a="1"/>
  <c r="AT32" i="20" a="1"/>
  <c r="AU75" i="7" a="1"/>
  <c r="AT74" i="20" a="1"/>
  <c r="AT105" i="20" a="1"/>
  <c r="AT50" i="20" a="1"/>
  <c r="AU110" i="7" a="1"/>
  <c r="AU64" i="7" a="1"/>
  <c r="AU61" i="7" a="1"/>
  <c r="AT53" i="20" a="1"/>
  <c r="AU101" i="7" a="1"/>
  <c r="AU58" i="7" a="1"/>
  <c r="AT102" i="20" a="1"/>
  <c r="AU45" i="7" a="1"/>
  <c r="AT56" i="20" a="1"/>
  <c r="AT44" i="20" a="1"/>
  <c r="AU55" i="7" a="1"/>
  <c r="AT48" i="20" a="1"/>
  <c r="AU62" i="7" a="1"/>
  <c r="AT43" i="20" a="1"/>
  <c r="AU56" i="7" a="1"/>
  <c r="AU72" i="7" a="1"/>
  <c r="AT94" i="20" a="1"/>
  <c r="AU35" i="7" a="1"/>
  <c r="AT93" i="20" a="1"/>
  <c r="AT59" i="20" a="1"/>
  <c r="AT110" i="20" a="1"/>
  <c r="AU43" i="7" a="1"/>
  <c r="AT35" i="20" a="1"/>
  <c r="AU44" i="7" a="1"/>
  <c r="AU33" i="7" a="1"/>
  <c r="AU37" i="7" a="1"/>
  <c r="AT109" i="20" a="1"/>
  <c r="AU65" i="7" a="1"/>
  <c r="AT41" i="20" a="1"/>
  <c r="AT106" i="20" a="1"/>
  <c r="AU99" i="7" a="1"/>
  <c r="AT68" i="20" a="1"/>
  <c r="AT75" i="20" a="1"/>
  <c r="AU69" i="7" a="1"/>
  <c r="AU48" i="7" a="1"/>
  <c r="AT69" i="20" a="1"/>
  <c r="AU102" i="7" a="1"/>
  <c r="AT62" i="20" a="1"/>
  <c r="AU93" i="7" a="1"/>
  <c r="AU36" i="7" a="1"/>
  <c r="U114" i="8" l="1"/>
  <c r="U109" i="8"/>
  <c r="U104" i="8"/>
  <c r="U99" i="8"/>
  <c r="U94" i="8"/>
  <c r="U89" i="8"/>
  <c r="Z133" i="4"/>
  <c r="Z131" i="4"/>
  <c r="Z118" i="4"/>
  <c r="Z106" i="4"/>
  <c r="Z103" i="4"/>
  <c r="Z93" i="4"/>
  <c r="Z130" i="4"/>
  <c r="Z125" i="4"/>
  <c r="Z134" i="4"/>
  <c r="Z101" i="4"/>
  <c r="AU36" i="7"/>
  <c r="AU93" i="7"/>
  <c r="AT62" i="20"/>
  <c r="AU102" i="7"/>
  <c r="AT69" i="20"/>
  <c r="AU48" i="7"/>
  <c r="AU69" i="7"/>
  <c r="AT75" i="20"/>
  <c r="AT68" i="20"/>
  <c r="AU99" i="7"/>
  <c r="AT106" i="20"/>
  <c r="AT41" i="20"/>
  <c r="AU65" i="7"/>
  <c r="AT109" i="20"/>
  <c r="AU37" i="7"/>
  <c r="AU33" i="7"/>
  <c r="AU44" i="7"/>
  <c r="AT35" i="20"/>
  <c r="AU43" i="7"/>
  <c r="AT110" i="20"/>
  <c r="AT59" i="20"/>
  <c r="AT93" i="20"/>
  <c r="AU35" i="7"/>
  <c r="AT94" i="20"/>
  <c r="AU72" i="7"/>
  <c r="AU56" i="7"/>
  <c r="AT43" i="20"/>
  <c r="AU62" i="7"/>
  <c r="AT48" i="20"/>
  <c r="AU55" i="7"/>
  <c r="AT44" i="20"/>
  <c r="AT56" i="20"/>
  <c r="AU45" i="7"/>
  <c r="AT102" i="20"/>
  <c r="AU58" i="7"/>
  <c r="AU101" i="7"/>
  <c r="AT53" i="20"/>
  <c r="AU61" i="7"/>
  <c r="AU64" i="7"/>
  <c r="AU110" i="7"/>
  <c r="AT50" i="20"/>
  <c r="AT105" i="20"/>
  <c r="AT74" i="20"/>
  <c r="AU75" i="7"/>
  <c r="AT32" i="20"/>
  <c r="AT80" i="20"/>
  <c r="AU76" i="7"/>
  <c r="AU109" i="7"/>
  <c r="AT76" i="20"/>
  <c r="AT61" i="20"/>
  <c r="AU50" i="7"/>
  <c r="AT60" i="20"/>
  <c r="AT65" i="20"/>
  <c r="AU106" i="7"/>
  <c r="AT98" i="20"/>
  <c r="AT79" i="20"/>
  <c r="AU40" i="7"/>
  <c r="AT54" i="20"/>
  <c r="AT55" i="20"/>
  <c r="AT37" i="20"/>
  <c r="AT97" i="20"/>
  <c r="AU34" i="7"/>
  <c r="AU84" i="7"/>
  <c r="AU92" i="7"/>
  <c r="AU89" i="7"/>
  <c r="AU108" i="7"/>
  <c r="AU105" i="7"/>
  <c r="AT81" i="20"/>
  <c r="AT86" i="20"/>
  <c r="AU86" i="7"/>
  <c r="AU46" i="7"/>
  <c r="AU47" i="7"/>
  <c r="AU94" i="7"/>
  <c r="AT38" i="20"/>
  <c r="AU90" i="7"/>
  <c r="AU32" i="7"/>
  <c r="AU103" i="7"/>
  <c r="AU95" i="7"/>
  <c r="AU83" i="7"/>
  <c r="AT33" i="20"/>
  <c r="AU74" i="7"/>
  <c r="AU31" i="7"/>
  <c r="AT70" i="20"/>
  <c r="AU97" i="7"/>
  <c r="AU54" i="7"/>
  <c r="AU68" i="7"/>
  <c r="AT103" i="20"/>
  <c r="AU80" i="7"/>
  <c r="AU52" i="7"/>
  <c r="AU98" i="7"/>
  <c r="AT49" i="20"/>
  <c r="AU96" i="7"/>
  <c r="AU79" i="7"/>
  <c r="AU73" i="7"/>
  <c r="AU49" i="7"/>
  <c r="AU38" i="7"/>
  <c r="AT101" i="20"/>
  <c r="AT45" i="20"/>
  <c r="AU82" i="7"/>
  <c r="AU67" i="7"/>
  <c r="AU85" i="7"/>
  <c r="AU51" i="7"/>
  <c r="AT89" i="20"/>
  <c r="AU88" i="7"/>
  <c r="AU60" i="7"/>
  <c r="AU100" i="7"/>
  <c r="AT85" i="20"/>
  <c r="AU63" i="7"/>
  <c r="AU104" i="7"/>
  <c r="AU59" i="7"/>
  <c r="AU66" i="7"/>
  <c r="AU53" i="7"/>
  <c r="AU81" i="7"/>
  <c r="AU42" i="7"/>
  <c r="AT90" i="20"/>
  <c r="AT67" i="20"/>
  <c r="AU78" i="7"/>
  <c r="AT58" i="20"/>
  <c r="AT84" i="20"/>
  <c r="AU41" i="7"/>
  <c r="AU70" i="7"/>
  <c r="AH36" i="7" a="1"/>
  <c r="AH36" i="7" s="1"/>
  <c r="AH93" i="7" a="1"/>
  <c r="AH93" i="7" s="1"/>
  <c r="AG62" i="20" a="1"/>
  <c r="AG62" i="20" s="1"/>
  <c r="AH102" i="7" a="1"/>
  <c r="AH102" i="7" s="1"/>
  <c r="AG69" i="20" a="1"/>
  <c r="AG69" i="20" s="1"/>
  <c r="AH48" i="7" a="1"/>
  <c r="AH48" i="7" s="1"/>
  <c r="AH69" i="7" a="1"/>
  <c r="AH69" i="7" s="1"/>
  <c r="AG75" i="20" a="1"/>
  <c r="AG75" i="20" s="1"/>
  <c r="AG68" i="20" a="1"/>
  <c r="AG68" i="20" s="1"/>
  <c r="AH99" i="7" a="1"/>
  <c r="AH99" i="7" s="1"/>
  <c r="AC127" i="4"/>
  <c r="G24" i="13" s="1" a="1"/>
  <c r="G24" i="13" s="1"/>
  <c r="AG106" i="20" a="1"/>
  <c r="AG106" i="20" s="1"/>
  <c r="AG41" i="20" a="1"/>
  <c r="AG41" i="20" s="1"/>
  <c r="AH65" i="7" a="1"/>
  <c r="AH65" i="7" s="1"/>
  <c r="AG109" i="20" a="1"/>
  <c r="AG109" i="20" s="1"/>
  <c r="AH37" i="7" a="1"/>
  <c r="AH37" i="7" s="1"/>
  <c r="AC113" i="4"/>
  <c r="G70" i="13" s="1" a="1"/>
  <c r="G70" i="13" s="1"/>
  <c r="AH33" i="7" a="1"/>
  <c r="AH33" i="7" s="1"/>
  <c r="AH44" i="7" a="1"/>
  <c r="AH44" i="7" s="1"/>
  <c r="AC62" i="4"/>
  <c r="G42" i="13" s="1" a="1"/>
  <c r="G42" i="13" s="1"/>
  <c r="AG35" i="20" a="1"/>
  <c r="AG35" i="20" s="1"/>
  <c r="AC105" i="4"/>
  <c r="G105" i="13" s="1" a="1"/>
  <c r="G105" i="13" s="1"/>
  <c r="Z117" i="4"/>
  <c r="AC120" i="4"/>
  <c r="G51" i="13" s="1" a="1"/>
  <c r="G51" i="13" s="1"/>
  <c r="AH43" i="7" a="1"/>
  <c r="AH43" i="7" s="1"/>
  <c r="Z112" i="4"/>
  <c r="AC87" i="4"/>
  <c r="G87" i="13" s="1" a="1"/>
  <c r="G87" i="13" s="1"/>
  <c r="T115" i="8" a="1"/>
  <c r="T115" i="8" s="1"/>
  <c r="AC107" i="4"/>
  <c r="G107" i="13" s="1" a="1"/>
  <c r="G107" i="13" s="1"/>
  <c r="Z126" i="4"/>
  <c r="AC93" i="4"/>
  <c r="G93" i="13" s="1" a="1"/>
  <c r="G93" i="13" s="1"/>
  <c r="AG110" i="20" a="1"/>
  <c r="AG110" i="20" s="1"/>
  <c r="Z107" i="4"/>
  <c r="AG59" i="20" a="1"/>
  <c r="AG59" i="20" s="1"/>
  <c r="AG93" i="20" a="1"/>
  <c r="AG93" i="20" s="1"/>
  <c r="Z91" i="4"/>
  <c r="AH35" i="7" a="1"/>
  <c r="AH35" i="7" s="1"/>
  <c r="AG94" i="20" a="1"/>
  <c r="AG94" i="20" s="1"/>
  <c r="AC100" i="4"/>
  <c r="G100" i="13" s="1" a="1"/>
  <c r="G100" i="13" s="1"/>
  <c r="AC82" i="4"/>
  <c r="G82" i="13" s="1" a="1"/>
  <c r="G82" i="13" s="1"/>
  <c r="AH72" i="7" a="1"/>
  <c r="AH72" i="7" s="1"/>
  <c r="AH56" i="7" a="1"/>
  <c r="AH56" i="7" s="1"/>
  <c r="AG43" i="20" a="1"/>
  <c r="AG43" i="20" s="1"/>
  <c r="Z119" i="4"/>
  <c r="AH62" i="7" a="1"/>
  <c r="AH62" i="7" s="1"/>
  <c r="AG48" i="20" a="1"/>
  <c r="AG48" i="20" s="1"/>
  <c r="T116" i="8" a="1"/>
  <c r="T116" i="8" s="1"/>
  <c r="AC90" i="4"/>
  <c r="G90" i="13" s="1" a="1"/>
  <c r="G90" i="13" s="1"/>
  <c r="AH55" i="7" a="1"/>
  <c r="AH55" i="7" s="1"/>
  <c r="AC92" i="4"/>
  <c r="G92" i="13" s="1" a="1"/>
  <c r="G92" i="13" s="1"/>
  <c r="AG44" i="20" a="1"/>
  <c r="AG44" i="20" s="1"/>
  <c r="AG56" i="20" a="1"/>
  <c r="AG56" i="20" s="1"/>
  <c r="AH45" i="7" a="1"/>
  <c r="AH45" i="7" s="1"/>
  <c r="AG102" i="20" a="1"/>
  <c r="AG102" i="20" s="1"/>
  <c r="AH58" i="7" a="1"/>
  <c r="AH58" i="7" s="1"/>
  <c r="Z105" i="4"/>
  <c r="AC126" i="4"/>
  <c r="G23" i="13" s="1" a="1"/>
  <c r="G23" i="13" s="1"/>
  <c r="AB99" i="4"/>
  <c r="F99" i="13" s="1" a="1"/>
  <c r="F99" i="13" s="1"/>
  <c r="AH101" i="7" a="1"/>
  <c r="AH101" i="7" s="1"/>
  <c r="AG53" i="20" a="1"/>
  <c r="AG53" i="20" s="1"/>
  <c r="AH61" i="7" a="1"/>
  <c r="AH61" i="7" s="1"/>
  <c r="AH64" i="7" a="1"/>
  <c r="AH64" i="7" s="1"/>
  <c r="AC70" i="4"/>
  <c r="G32" i="13" s="1" a="1"/>
  <c r="G32" i="13" s="1"/>
  <c r="T111" i="8" a="1"/>
  <c r="T111" i="8" s="1"/>
  <c r="AC89" i="4"/>
  <c r="G89" i="13" s="1" a="1"/>
  <c r="G89" i="13" s="1"/>
  <c r="AH110" i="7" a="1"/>
  <c r="AH110" i="7" s="1"/>
  <c r="AG50" i="20" a="1"/>
  <c r="AG50" i="20" s="1"/>
  <c r="AG105" i="20" a="1"/>
  <c r="AG105" i="20" s="1"/>
  <c r="AG74" i="20" a="1"/>
  <c r="AG74" i="20" s="1"/>
  <c r="AH75" i="7" a="1"/>
  <c r="AH75" i="7" s="1"/>
  <c r="AB97" i="4"/>
  <c r="F97" i="13" s="1" a="1"/>
  <c r="F97" i="13" s="1"/>
  <c r="AG32" i="20" a="1"/>
  <c r="AG32" i="20" s="1"/>
  <c r="AG80" i="20" a="1"/>
  <c r="AG80" i="20" s="1"/>
  <c r="AC84" i="4"/>
  <c r="G84" i="13" s="1" a="1"/>
  <c r="G84" i="13" s="1"/>
  <c r="AH76" i="7" a="1"/>
  <c r="AH76" i="7" s="1"/>
  <c r="AH109" i="7" a="1"/>
  <c r="AH109" i="7" s="1"/>
  <c r="AG76" i="20" a="1"/>
  <c r="AG76" i="20" s="1"/>
  <c r="AG61" i="20" a="1"/>
  <c r="AG61" i="20" s="1"/>
  <c r="Z99" i="4"/>
  <c r="AH50" i="7" a="1"/>
  <c r="AH50" i="7" s="1"/>
  <c r="AG60" i="20" a="1"/>
  <c r="AG60" i="20" s="1"/>
  <c r="AG65" i="20" a="1"/>
  <c r="AG65" i="20" s="1"/>
  <c r="AH106" i="7" a="1"/>
  <c r="AH106" i="7" s="1"/>
  <c r="AG98" i="20" a="1"/>
  <c r="AG98" i="20" s="1"/>
  <c r="AC135" i="4"/>
  <c r="G56" i="13" s="1" a="1"/>
  <c r="G56" i="13" s="1"/>
  <c r="AG79" i="20" a="1"/>
  <c r="AG79" i="20" s="1"/>
  <c r="AH40" i="7" a="1"/>
  <c r="AH40" i="7" s="1"/>
  <c r="AC86" i="4"/>
  <c r="G86" i="13" s="1" a="1"/>
  <c r="G86" i="13" s="1"/>
  <c r="AC85" i="4"/>
  <c r="G85" i="13" s="1" a="1"/>
  <c r="G85" i="13" s="1"/>
  <c r="AG54" i="20" a="1"/>
  <c r="AG54" i="20" s="1"/>
  <c r="AG55" i="20" a="1"/>
  <c r="AG55" i="20" s="1"/>
  <c r="AC104" i="4"/>
  <c r="G104" i="13" s="1" a="1"/>
  <c r="G104" i="13" s="1"/>
  <c r="AC103" i="4"/>
  <c r="G103" i="13" s="1" a="1"/>
  <c r="G103" i="13" s="1"/>
  <c r="AG37" i="20" a="1"/>
  <c r="AG37" i="20" s="1"/>
  <c r="Z113" i="4"/>
  <c r="AG97" i="20" a="1"/>
  <c r="AG97" i="20" s="1"/>
  <c r="AH34" i="7" a="1"/>
  <c r="AH34" i="7" s="1"/>
  <c r="Z132" i="4"/>
  <c r="AC88" i="4"/>
  <c r="G88" i="13" s="1" a="1"/>
  <c r="G88" i="13" s="1"/>
  <c r="AH84" i="7" a="1"/>
  <c r="AH84" i="7" s="1"/>
  <c r="AC91" i="4"/>
  <c r="G91" i="13" s="1" a="1"/>
  <c r="G91" i="13" s="1"/>
  <c r="Z92" i="4"/>
  <c r="Z63" i="4"/>
  <c r="AH92" i="7" a="1"/>
  <c r="AH92" i="7" s="1"/>
  <c r="AC130" i="4"/>
  <c r="G37" i="13" s="1" a="1"/>
  <c r="G37" i="13" s="1"/>
  <c r="AB96" i="4"/>
  <c r="F96" i="13" s="1" a="1"/>
  <c r="F96" i="13" s="1"/>
  <c r="AH89" i="7" a="1"/>
  <c r="AH89" i="7" s="1"/>
  <c r="AH108" i="7" a="1"/>
  <c r="AH108" i="7" s="1"/>
  <c r="AH105" i="7" a="1"/>
  <c r="AH105" i="7" s="1"/>
  <c r="AG81" i="20" a="1"/>
  <c r="AG81" i="20" s="1"/>
  <c r="AC83" i="4"/>
  <c r="G83" i="13" s="1" a="1"/>
  <c r="G83" i="13" s="1"/>
  <c r="AG86" i="20" a="1"/>
  <c r="AG86" i="20" s="1"/>
  <c r="AH86" i="7" a="1"/>
  <c r="AH86" i="7" s="1"/>
  <c r="Z120" i="4"/>
  <c r="AH46" i="7" a="1"/>
  <c r="AH46" i="7" s="1"/>
  <c r="AH47" i="7" a="1"/>
  <c r="AH47" i="7" s="1"/>
  <c r="AH94" i="7" a="1"/>
  <c r="AH94" i="7" s="1"/>
  <c r="AB95" i="4"/>
  <c r="F95" i="13" s="1" a="1"/>
  <c r="F95" i="13" s="1"/>
  <c r="AG38" i="20" a="1"/>
  <c r="AG38" i="20" s="1"/>
  <c r="AC102" i="4"/>
  <c r="G102" i="13" s="1" a="1"/>
  <c r="G102" i="13" s="1"/>
  <c r="AH90" i="7" a="1"/>
  <c r="AH90" i="7" s="1"/>
  <c r="AH32" i="7" a="1"/>
  <c r="AH32" i="7" s="1"/>
  <c r="AH103" i="7" a="1"/>
  <c r="AH103" i="7" s="1"/>
  <c r="AH95" i="7" a="1"/>
  <c r="AH95" i="7" s="1"/>
  <c r="AC117" i="4"/>
  <c r="G48" i="13" s="1" a="1"/>
  <c r="G48" i="13" s="1"/>
  <c r="AB94" i="4"/>
  <c r="F94" i="13" s="1" a="1"/>
  <c r="F94" i="13" s="1"/>
  <c r="AC106" i="4"/>
  <c r="G106" i="13" s="1" a="1"/>
  <c r="G106" i="13" s="1"/>
  <c r="AH83" i="7" a="1"/>
  <c r="AH83" i="7" s="1"/>
  <c r="AG33" i="20" a="1"/>
  <c r="AG33" i="20" s="1"/>
  <c r="AH74" i="7" a="1"/>
  <c r="AH74" i="7" s="1"/>
  <c r="AC132" i="4"/>
  <c r="G54" i="13" s="1" a="1"/>
  <c r="G54" i="13" s="1"/>
  <c r="AH31" i="7" a="1"/>
  <c r="AH31" i="7" s="1"/>
  <c r="AG70" i="20" a="1"/>
  <c r="AG70" i="20" s="1"/>
  <c r="AC63" i="4"/>
  <c r="G43" i="13" s="1" a="1"/>
  <c r="G43" i="13" s="1"/>
  <c r="AH97" i="7" a="1"/>
  <c r="AH97" i="7" s="1"/>
  <c r="AH54" i="7" a="1"/>
  <c r="AH54" i="7" s="1"/>
  <c r="AH68" i="7" a="1"/>
  <c r="AH68" i="7" s="1"/>
  <c r="AG103" i="20" a="1"/>
  <c r="AG103" i="20" s="1"/>
  <c r="AH80" i="7" a="1"/>
  <c r="AH80" i="7" s="1"/>
  <c r="AH52" i="7" a="1"/>
  <c r="AH52" i="7" s="1"/>
  <c r="AH98" i="7" a="1"/>
  <c r="AH98" i="7" s="1"/>
  <c r="AC133" i="4"/>
  <c r="G55" i="13" s="1" a="1"/>
  <c r="G55" i="13" s="1"/>
  <c r="AG49" i="20" a="1"/>
  <c r="AG49" i="20" s="1"/>
  <c r="AH96" i="7" a="1"/>
  <c r="AH96" i="7" s="1"/>
  <c r="AB98" i="4"/>
  <c r="F98" i="13" s="1" a="1"/>
  <c r="F98" i="13" s="1"/>
  <c r="AC61" i="4"/>
  <c r="G41" i="13" s="1" a="1"/>
  <c r="G41" i="13" s="1"/>
  <c r="AH79" i="7" a="1"/>
  <c r="AH79" i="7" s="1"/>
  <c r="AH73" i="7" a="1"/>
  <c r="AH73" i="7" s="1"/>
  <c r="Z135" i="4"/>
  <c r="AH49" i="7" a="1"/>
  <c r="AH49" i="7" s="1"/>
  <c r="AC112" i="4"/>
  <c r="G69" i="13" s="1" a="1"/>
  <c r="G69" i="13" s="1"/>
  <c r="AH38" i="7" a="1"/>
  <c r="AH38" i="7" s="1"/>
  <c r="AG101" i="20" a="1"/>
  <c r="AG101" i="20" s="1"/>
  <c r="AG45" i="20" a="1"/>
  <c r="AG45" i="20" s="1"/>
  <c r="AH82" i="7" a="1"/>
  <c r="AH82" i="7" s="1"/>
  <c r="AH67" i="7" a="1"/>
  <c r="AH67" i="7" s="1"/>
  <c r="Z104" i="4"/>
  <c r="AH85" i="7" a="1"/>
  <c r="AH85" i="7" s="1"/>
  <c r="AH51" i="7" a="1"/>
  <c r="AH51" i="7" s="1"/>
  <c r="AG89" i="20" a="1"/>
  <c r="AG89" i="20" s="1"/>
  <c r="AC119" i="4"/>
  <c r="G50" i="13" s="1" a="1"/>
  <c r="G50" i="13" s="1"/>
  <c r="AC60" i="4"/>
  <c r="G40" i="13" s="1" a="1"/>
  <c r="G40" i="13" s="1"/>
  <c r="AH88" i="7" a="1"/>
  <c r="AH88" i="7" s="1"/>
  <c r="AC121" i="4"/>
  <c r="G20" i="13" s="1" a="1"/>
  <c r="G20" i="13" s="1"/>
  <c r="AH60" i="7" a="1"/>
  <c r="AH60" i="7" s="1"/>
  <c r="AH100" i="7" a="1"/>
  <c r="AH100" i="7" s="1"/>
  <c r="AG85" i="20" a="1"/>
  <c r="AG85" i="20" s="1"/>
  <c r="AC101" i="4"/>
  <c r="G101" i="13" s="1" a="1"/>
  <c r="G101" i="13" s="1"/>
  <c r="AC111" i="4"/>
  <c r="G68" i="13" s="1" a="1"/>
  <c r="G68" i="13" s="1"/>
  <c r="AH63" i="7" a="1"/>
  <c r="AH63" i="7" s="1"/>
  <c r="AH104" i="7" a="1"/>
  <c r="AH104" i="7" s="1"/>
  <c r="AH59" i="7" a="1"/>
  <c r="AH59" i="7" s="1"/>
  <c r="AH66" i="7" a="1"/>
  <c r="AH66" i="7" s="1"/>
  <c r="AH53" i="7" a="1"/>
  <c r="AH53" i="7" s="1"/>
  <c r="AH81" i="7" a="1"/>
  <c r="AH81" i="7" s="1"/>
  <c r="AC134" i="4"/>
  <c r="G57" i="13" s="1" a="1"/>
  <c r="G57" i="13" s="1"/>
  <c r="AH42" i="7" a="1"/>
  <c r="AH42" i="7" s="1"/>
  <c r="AC118" i="4"/>
  <c r="G49" i="13" s="1" a="1"/>
  <c r="G49" i="13" s="1"/>
  <c r="AG90" i="20" a="1"/>
  <c r="AG90" i="20" s="1"/>
  <c r="AG67" i="20" a="1"/>
  <c r="AG67" i="20" s="1"/>
  <c r="AH78" i="7" a="1"/>
  <c r="AH78" i="7" s="1"/>
  <c r="AC109" i="4"/>
  <c r="G66" i="13" s="1" a="1"/>
  <c r="G66" i="13" s="1"/>
  <c r="AG58" i="20" a="1"/>
  <c r="AG58" i="20" s="1"/>
  <c r="AG84" i="20" a="1"/>
  <c r="AG84" i="20" s="1"/>
  <c r="AH41" i="7" a="1"/>
  <c r="AH41" i="7" s="1"/>
  <c r="AC131" i="4"/>
  <c r="G53" i="13" s="1" a="1"/>
  <c r="G53" i="13" s="1"/>
  <c r="AH70" i="7" a="1"/>
  <c r="AH70" i="7" s="1"/>
  <c r="AC125" i="4"/>
  <c r="G22" i="13" s="1" a="1"/>
  <c r="G22" i="13" s="1"/>
  <c r="AC123" i="4"/>
  <c r="G21" i="13" s="1" a="1"/>
  <c r="G21" i="13" s="1"/>
  <c r="Y79" i="11"/>
  <c r="L73" i="10" s="1"/>
  <c r="F59" i="13"/>
  <c r="G59" i="13" s="1"/>
  <c r="H59" i="13" s="1"/>
  <c r="I59" i="13" s="1"/>
  <c r="AU75" i="20" a="1"/>
  <c r="AU109" i="20" a="1"/>
  <c r="AU35" i="20" a="1"/>
  <c r="AU110" i="20" a="1"/>
  <c r="AU48" i="20" a="1"/>
  <c r="AU56" i="20" a="1"/>
  <c r="AV109" i="7" a="1"/>
  <c r="AU98" i="20" a="1"/>
  <c r="AU37" i="20" a="1"/>
  <c r="AU86" i="20" a="1"/>
  <c r="AU33" i="20" a="1"/>
  <c r="AV97" i="7" a="1"/>
  <c r="AU101" i="20" a="1"/>
  <c r="AV100" i="7" a="1"/>
  <c r="AV59" i="7" a="1"/>
  <c r="AV41" i="7" a="1"/>
  <c r="AV50" i="7" a="1"/>
  <c r="AV105" i="7" a="1"/>
  <c r="AV90" i="7" a="1"/>
  <c r="AV62" i="7" a="1"/>
  <c r="AV76" i="7" a="1"/>
  <c r="AV84" i="7" a="1"/>
  <c r="AV36" i="7" a="1"/>
  <c r="AU68" i="20" a="1"/>
  <c r="AV37" i="7" a="1"/>
  <c r="AV45" i="7" a="1"/>
  <c r="AU76" i="20" a="1"/>
  <c r="AU54" i="20" a="1"/>
  <c r="AV86" i="7" a="1"/>
  <c r="AU38" i="20" a="1"/>
  <c r="AV74" i="7" a="1"/>
  <c r="AV54" i="7" a="1"/>
  <c r="AU49" i="20" a="1"/>
  <c r="AV79" i="7" a="1"/>
  <c r="AU45" i="20" a="1"/>
  <c r="AU85" i="20" a="1"/>
  <c r="AV66" i="7" a="1"/>
  <c r="AU90" i="20" a="1"/>
  <c r="AU67" i="20" a="1"/>
  <c r="AV56" i="7" a="1"/>
  <c r="AV61" i="7" a="1"/>
  <c r="AU50" i="20" a="1"/>
  <c r="AV40" i="7" a="1"/>
  <c r="AV80" i="7" a="1"/>
  <c r="AV51" i="7" a="1"/>
  <c r="AU58" i="20" a="1"/>
  <c r="AV83" i="7" a="1"/>
  <c r="AV38" i="7" a="1"/>
  <c r="AV60" i="7" a="1"/>
  <c r="AV93" i="7" a="1"/>
  <c r="AV99" i="7" a="1"/>
  <c r="AU59" i="20" a="1"/>
  <c r="AU102" i="20" a="1"/>
  <c r="AV101" i="7" a="1"/>
  <c r="AV110" i="7" a="1"/>
  <c r="AU61" i="20" a="1"/>
  <c r="AU55" i="20" a="1"/>
  <c r="AU97" i="20" a="1"/>
  <c r="AV89" i="7" a="1"/>
  <c r="AV68" i="7" a="1"/>
  <c r="AV73" i="7" a="1"/>
  <c r="AV82" i="7" a="1"/>
  <c r="AV53" i="7" a="1"/>
  <c r="AV55" i="7" a="1"/>
  <c r="AU80" i="20" a="1"/>
  <c r="AV92" i="7" a="1"/>
  <c r="AV49" i="7" a="1"/>
  <c r="AV98" i="7" a="1"/>
  <c r="AV63" i="7" a="1"/>
  <c r="AV42" i="7" a="1"/>
  <c r="AV69" i="7" a="1"/>
  <c r="AV75" i="7" a="1"/>
  <c r="AU62" i="20" a="1"/>
  <c r="AU93" i="20" a="1"/>
  <c r="AV72" i="7" a="1"/>
  <c r="AV58" i="7" a="1"/>
  <c r="AU53" i="20" a="1"/>
  <c r="AU32" i="20" a="1"/>
  <c r="AU79" i="20" a="1"/>
  <c r="AV34" i="7" a="1"/>
  <c r="AV108" i="7" a="1"/>
  <c r="AV46" i="7" a="1"/>
  <c r="AU103" i="20" a="1"/>
  <c r="AV96" i="7" a="1"/>
  <c r="AV67" i="7" a="1"/>
  <c r="AV81" i="7" a="1"/>
  <c r="AV78" i="7" a="1"/>
  <c r="AV70" i="7" a="1"/>
  <c r="AV47" i="7" a="1"/>
  <c r="AV31" i="7" a="1"/>
  <c r="AU89" i="20" a="1"/>
  <c r="AV104" i="7" a="1"/>
  <c r="AV102" i="7" a="1"/>
  <c r="AV33" i="7" a="1"/>
  <c r="AV88" i="7" a="1"/>
  <c r="AU69" i="20" a="1"/>
  <c r="AU106" i="20" a="1"/>
  <c r="AV44" i="7" a="1"/>
  <c r="AV35" i="7" a="1"/>
  <c r="AU43" i="20" a="1"/>
  <c r="AV64" i="7" a="1"/>
  <c r="AU105" i="20" a="1"/>
  <c r="AU60" i="20" a="1"/>
  <c r="AU81" i="20" a="1"/>
  <c r="AV94" i="7" a="1"/>
  <c r="AV32" i="7" a="1"/>
  <c r="AU70" i="20" a="1"/>
  <c r="AV52" i="7" a="1"/>
  <c r="AV85" i="7" a="1"/>
  <c r="AU44" i="20" a="1"/>
  <c r="AV106" i="7" a="1"/>
  <c r="AV95" i="7" a="1"/>
  <c r="AV48" i="7" a="1"/>
  <c r="AU41" i="20" a="1"/>
  <c r="AV43" i="7" a="1"/>
  <c r="AU94" i="20" a="1"/>
  <c r="AU74" i="20" a="1"/>
  <c r="AU65" i="20" a="1"/>
  <c r="AV103" i="7" a="1"/>
  <c r="AV65" i="7" a="1"/>
  <c r="AU84" i="20" a="1"/>
  <c r="AU84" i="20" l="1"/>
  <c r="AV65" i="7"/>
  <c r="AV103" i="7"/>
  <c r="AU65" i="20"/>
  <c r="AU74" i="20"/>
  <c r="AU94" i="20"/>
  <c r="AV43" i="7"/>
  <c r="AU41" i="20"/>
  <c r="AV48" i="7"/>
  <c r="AV95" i="7"/>
  <c r="AV106" i="7"/>
  <c r="AU44" i="20"/>
  <c r="AV85" i="7"/>
  <c r="AV52" i="7"/>
  <c r="AU70" i="20"/>
  <c r="AV32" i="7"/>
  <c r="AV94" i="7"/>
  <c r="AU81" i="20"/>
  <c r="AU60" i="20"/>
  <c r="AU105" i="20"/>
  <c r="AV64" i="7"/>
  <c r="AU43" i="20"/>
  <c r="AV35" i="7"/>
  <c r="AV44" i="7"/>
  <c r="AU106" i="20"/>
  <c r="AU69" i="20"/>
  <c r="AV88" i="7"/>
  <c r="AV33" i="7"/>
  <c r="AV102" i="7"/>
  <c r="AV104" i="7"/>
  <c r="AU89" i="20"/>
  <c r="AV31" i="7"/>
  <c r="AV47" i="7"/>
  <c r="AV70" i="7"/>
  <c r="AV78" i="7"/>
  <c r="AV81" i="7"/>
  <c r="AV67" i="7"/>
  <c r="AV96" i="7"/>
  <c r="AU103" i="20"/>
  <c r="AV46" i="7"/>
  <c r="AV108" i="7"/>
  <c r="AV34" i="7"/>
  <c r="AU79" i="20"/>
  <c r="AU32" i="20"/>
  <c r="AU53" i="20"/>
  <c r="AV58" i="7"/>
  <c r="AV72" i="7"/>
  <c r="AU93" i="20"/>
  <c r="AU62" i="20"/>
  <c r="AV75" i="7"/>
  <c r="AV69" i="7"/>
  <c r="AV42" i="7"/>
  <c r="AV63" i="7"/>
  <c r="AV98" i="7"/>
  <c r="AV49" i="7"/>
  <c r="AV92" i="7"/>
  <c r="AU80" i="20"/>
  <c r="AV55" i="7"/>
  <c r="AV53" i="7"/>
  <c r="AV82" i="7"/>
  <c r="AV73" i="7"/>
  <c r="AV68" i="7"/>
  <c r="AV89" i="7"/>
  <c r="AU97" i="20"/>
  <c r="AU55" i="20"/>
  <c r="AU61" i="20"/>
  <c r="AV110" i="7"/>
  <c r="AV101" i="7"/>
  <c r="AU102" i="20"/>
  <c r="AU59" i="20"/>
  <c r="AV99" i="7"/>
  <c r="AV93" i="7"/>
  <c r="AV60" i="7"/>
  <c r="AV38" i="7"/>
  <c r="AV83" i="7"/>
  <c r="AU58" i="20"/>
  <c r="AV51" i="7"/>
  <c r="AV80" i="7"/>
  <c r="AV40" i="7"/>
  <c r="AU50" i="20"/>
  <c r="AV61" i="7"/>
  <c r="AV56" i="7"/>
  <c r="AU67" i="20"/>
  <c r="AU90" i="20"/>
  <c r="AV66" i="7"/>
  <c r="AU85" i="20"/>
  <c r="AU45" i="20"/>
  <c r="AV79" i="7"/>
  <c r="AU49" i="20"/>
  <c r="AV54" i="7"/>
  <c r="AV74" i="7"/>
  <c r="AU38" i="20"/>
  <c r="AV86" i="7"/>
  <c r="AU54" i="20"/>
  <c r="AU76" i="20"/>
  <c r="AV45" i="7"/>
  <c r="AV37" i="7"/>
  <c r="AU68" i="20"/>
  <c r="AV36" i="7"/>
  <c r="AV84" i="7"/>
  <c r="AV76" i="7"/>
  <c r="AV62" i="7"/>
  <c r="AV90" i="7"/>
  <c r="AV105" i="7"/>
  <c r="AV50" i="7"/>
  <c r="AV41" i="7"/>
  <c r="AV59" i="7"/>
  <c r="AV100" i="7"/>
  <c r="AU101" i="20"/>
  <c r="AV97" i="7"/>
  <c r="AU33" i="20"/>
  <c r="AU86" i="20"/>
  <c r="AU37" i="20"/>
  <c r="AU98" i="20"/>
  <c r="AV109" i="7"/>
  <c r="AU56" i="20"/>
  <c r="AU48" i="20"/>
  <c r="AU110" i="20"/>
  <c r="AU35" i="20"/>
  <c r="AU109" i="20"/>
  <c r="AU75" i="20"/>
  <c r="AH84" i="20" a="1"/>
  <c r="AH84" i="20" s="1"/>
  <c r="AD61" i="4"/>
  <c r="H41" i="13" s="1" a="1"/>
  <c r="H41" i="13" s="1"/>
  <c r="AK65" i="7"/>
  <c r="AK103" i="7"/>
  <c r="AC95" i="4"/>
  <c r="G95" i="13" s="1" a="1"/>
  <c r="G95" i="13" s="1"/>
  <c r="AD83" i="4"/>
  <c r="H83" i="13" s="1" a="1"/>
  <c r="H83" i="13" s="1"/>
  <c r="AD103" i="4"/>
  <c r="H103" i="13" s="1" a="1"/>
  <c r="H103" i="13" s="1"/>
  <c r="AH65" i="20" a="1"/>
  <c r="AH65" i="20" s="1"/>
  <c r="AH74" i="20" a="1"/>
  <c r="AH74" i="20" s="1"/>
  <c r="AD70" i="4"/>
  <c r="H32" i="13" s="1" a="1"/>
  <c r="H32" i="13" s="1"/>
  <c r="AH94" i="20" a="1"/>
  <c r="AH94" i="20" s="1"/>
  <c r="AD93" i="4"/>
  <c r="H93" i="13" s="1" a="1"/>
  <c r="H93" i="13" s="1"/>
  <c r="AK43" i="7"/>
  <c r="AD62" i="4"/>
  <c r="H42" i="13" s="1" a="1"/>
  <c r="H42" i="13" s="1"/>
  <c r="AH41" i="20" a="1"/>
  <c r="AH41" i="20" s="1"/>
  <c r="AK48" i="7"/>
  <c r="AK95" i="7"/>
  <c r="AK106" i="7"/>
  <c r="AH44" i="20" a="1"/>
  <c r="AH44" i="20" s="1"/>
  <c r="AD121" i="4"/>
  <c r="H20" i="13" s="1" a="1"/>
  <c r="H20" i="13" s="1"/>
  <c r="AK85" i="7"/>
  <c r="AD112" i="4"/>
  <c r="H69" i="13" s="1" a="1"/>
  <c r="H69" i="13" s="1"/>
  <c r="AC98" i="4"/>
  <c r="G98" i="13" s="1" a="1"/>
  <c r="G98" i="13" s="1"/>
  <c r="AK52" i="7"/>
  <c r="AH70" i="20" a="1"/>
  <c r="AH70" i="20" s="1"/>
  <c r="AD106" i="4"/>
  <c r="H106" i="13" s="1" a="1"/>
  <c r="H106" i="13" s="1"/>
  <c r="AK32" i="7"/>
  <c r="AK94" i="7"/>
  <c r="AH81" i="20" a="1"/>
  <c r="AH81" i="20" s="1"/>
  <c r="AD130" i="4"/>
  <c r="H37" i="13" s="1" a="1"/>
  <c r="H37" i="13" s="1"/>
  <c r="AD88" i="4"/>
  <c r="H88" i="13" s="1" a="1"/>
  <c r="H88" i="13" s="1"/>
  <c r="AD86" i="4"/>
  <c r="H86" i="13" s="1" a="1"/>
  <c r="H86" i="13" s="1"/>
  <c r="AH60" i="20" a="1"/>
  <c r="AH60" i="20" s="1"/>
  <c r="AD84" i="4"/>
  <c r="H84" i="13" s="1" a="1"/>
  <c r="H84" i="13" s="1"/>
  <c r="AH105" i="20" a="1"/>
  <c r="AH105" i="20" s="1"/>
  <c r="AK64" i="7"/>
  <c r="AD126" i="4"/>
  <c r="H23" i="13" s="1" a="1"/>
  <c r="H23" i="13" s="1"/>
  <c r="AD92" i="4"/>
  <c r="H92" i="13" s="1" a="1"/>
  <c r="H92" i="13" s="1"/>
  <c r="AH43" i="20" a="1"/>
  <c r="AH43" i="20" s="1"/>
  <c r="AK35" i="7"/>
  <c r="AK44" i="7"/>
  <c r="AH106" i="20" a="1"/>
  <c r="AH106" i="20" s="1"/>
  <c r="AH69" i="20" a="1"/>
  <c r="AH69" i="20" s="1"/>
  <c r="AK88" i="7"/>
  <c r="AK33" i="7"/>
  <c r="AK102" i="7"/>
  <c r="AK104" i="7"/>
  <c r="AH89" i="20" a="1"/>
  <c r="AH89" i="20" s="1"/>
  <c r="AD133" i="4"/>
  <c r="H55" i="13" s="1" a="1"/>
  <c r="H55" i="13" s="1"/>
  <c r="AD63" i="4"/>
  <c r="H43" i="13" s="1" a="1"/>
  <c r="H43" i="13" s="1"/>
  <c r="AD125" i="4"/>
  <c r="H22" i="13" s="1" a="1"/>
  <c r="H22" i="13" s="1"/>
  <c r="AD111" i="4"/>
  <c r="H68" i="13" s="1" a="1"/>
  <c r="H68" i="13" s="1"/>
  <c r="AK31" i="7"/>
  <c r="AK47" i="7"/>
  <c r="AD104" i="4"/>
  <c r="H104" i="13" s="1" a="1"/>
  <c r="H104" i="13" s="1"/>
  <c r="AD120" i="4"/>
  <c r="H51" i="13" s="1" a="1"/>
  <c r="H51" i="13" s="1"/>
  <c r="AK70" i="7"/>
  <c r="AK78" i="7"/>
  <c r="AK81" i="7"/>
  <c r="AK67" i="7"/>
  <c r="AK96" i="7"/>
  <c r="AH103" i="20" a="1"/>
  <c r="AH103" i="20" s="1"/>
  <c r="AK46" i="7"/>
  <c r="AK108" i="7"/>
  <c r="AK34" i="7"/>
  <c r="Z94" i="4"/>
  <c r="AH79" i="20" a="1"/>
  <c r="AH79" i="20" s="1"/>
  <c r="AH32" i="20" a="1"/>
  <c r="AH32" i="20" s="1"/>
  <c r="Z96" i="4"/>
  <c r="AH53" i="20" a="1"/>
  <c r="AH53" i="20" s="1"/>
  <c r="AK58" i="7"/>
  <c r="AK72" i="7"/>
  <c r="AH93" i="20" a="1"/>
  <c r="AH93" i="20" s="1"/>
  <c r="U115" i="8" a="1"/>
  <c r="U115" i="8" s="1"/>
  <c r="AD107" i="4"/>
  <c r="H107" i="13" s="1" a="1"/>
  <c r="H107" i="13" s="1"/>
  <c r="AD127" i="4"/>
  <c r="H24" i="13" s="1" a="1"/>
  <c r="H24" i="13" s="1"/>
  <c r="AH62" i="20" a="1"/>
  <c r="AH62" i="20" s="1"/>
  <c r="AK75" i="7"/>
  <c r="AC99" i="4"/>
  <c r="G99" i="13" s="1" a="1"/>
  <c r="G99" i="13" s="1"/>
  <c r="AD100" i="4"/>
  <c r="H100" i="13" s="1" a="1"/>
  <c r="H100" i="13" s="1"/>
  <c r="Z95" i="4"/>
  <c r="AK69" i="7"/>
  <c r="AD123" i="4"/>
  <c r="H21" i="13" s="1" a="1"/>
  <c r="H21" i="13" s="1"/>
  <c r="AK42" i="7"/>
  <c r="AK63" i="7"/>
  <c r="AK98" i="7"/>
  <c r="AD109" i="4"/>
  <c r="H66" i="13" s="1" a="1"/>
  <c r="H66" i="13" s="1"/>
  <c r="AK49" i="7"/>
  <c r="AK92" i="7"/>
  <c r="AH80" i="20" a="1"/>
  <c r="AH80" i="20" s="1"/>
  <c r="AK55" i="7"/>
  <c r="AK53" i="7"/>
  <c r="AD60" i="4"/>
  <c r="H40" i="13" s="1" a="1"/>
  <c r="H40" i="13" s="1"/>
  <c r="AK82" i="7"/>
  <c r="AK73" i="7"/>
  <c r="Z98" i="4"/>
  <c r="AK68" i="7"/>
  <c r="AD132" i="4"/>
  <c r="H54" i="13" s="1" a="1"/>
  <c r="H54" i="13" s="1"/>
  <c r="AC94" i="4"/>
  <c r="G94" i="13" s="1" a="1"/>
  <c r="G94" i="13" s="1"/>
  <c r="AD102" i="4"/>
  <c r="H102" i="13" s="1" a="1"/>
  <c r="H102" i="13" s="1"/>
  <c r="AK89" i="7"/>
  <c r="AH97" i="20" a="1"/>
  <c r="AH97" i="20" s="1"/>
  <c r="AH55" i="20" a="1"/>
  <c r="AH55" i="20" s="1"/>
  <c r="AH61" i="20" a="1"/>
  <c r="AH61" i="20" s="1"/>
  <c r="AK110" i="7"/>
  <c r="AK101" i="7"/>
  <c r="AH102" i="20" a="1"/>
  <c r="AH102" i="20" s="1"/>
  <c r="U116" i="8" a="1"/>
  <c r="U116" i="8" s="1"/>
  <c r="AD90" i="4"/>
  <c r="H90" i="13" s="1" a="1"/>
  <c r="H90" i="13" s="1"/>
  <c r="AH59" i="20" a="1"/>
  <c r="AH59" i="20" s="1"/>
  <c r="AD113" i="4"/>
  <c r="H70" i="13" s="1" a="1"/>
  <c r="H70" i="13" s="1"/>
  <c r="AK99" i="7"/>
  <c r="AK93" i="7"/>
  <c r="AD118" i="4"/>
  <c r="H49" i="13" s="1" a="1"/>
  <c r="H49" i="13" s="1"/>
  <c r="AK60" i="7"/>
  <c r="AK38" i="7"/>
  <c r="AK83" i="7"/>
  <c r="AH58" i="20" a="1"/>
  <c r="AH58" i="20" s="1"/>
  <c r="AK51" i="7"/>
  <c r="AD134" i="4"/>
  <c r="H57" i="13" s="1" a="1"/>
  <c r="H57" i="13" s="1"/>
  <c r="AK80" i="7"/>
  <c r="AK40" i="7"/>
  <c r="AH50" i="20" a="1"/>
  <c r="AH50" i="20" s="1"/>
  <c r="AK61" i="7"/>
  <c r="AK56" i="7"/>
  <c r="AH67" i="20" a="1"/>
  <c r="AH67" i="20" s="1"/>
  <c r="AD101" i="4"/>
  <c r="H101" i="13" s="1" a="1"/>
  <c r="H101" i="13" s="1"/>
  <c r="AD131" i="4"/>
  <c r="H53" i="13" s="1" a="1"/>
  <c r="H53" i="13" s="1"/>
  <c r="AH90" i="20" a="1"/>
  <c r="AH90" i="20" s="1"/>
  <c r="AK66" i="7"/>
  <c r="AH85" i="20" a="1"/>
  <c r="AH85" i="20" s="1"/>
  <c r="AH45" i="20" a="1"/>
  <c r="AH45" i="20" s="1"/>
  <c r="AK79" i="7"/>
  <c r="AH49" i="20" a="1"/>
  <c r="AH49" i="20" s="1"/>
  <c r="AK54" i="7"/>
  <c r="AK74" i="7"/>
  <c r="AH38" i="20" a="1"/>
  <c r="AH38" i="20" s="1"/>
  <c r="AK86" i="7"/>
  <c r="AH54" i="20" a="1"/>
  <c r="AH54" i="20" s="1"/>
  <c r="AD135" i="4"/>
  <c r="H56" i="13" s="1" a="1"/>
  <c r="H56" i="13" s="1"/>
  <c r="AH76" i="20" a="1"/>
  <c r="AH76" i="20" s="1"/>
  <c r="AK45" i="7"/>
  <c r="Z97" i="4"/>
  <c r="AD82" i="4"/>
  <c r="H82" i="13" s="1" a="1"/>
  <c r="H82" i="13" s="1"/>
  <c r="AD87" i="4"/>
  <c r="H87" i="13" s="1" a="1"/>
  <c r="H87" i="13" s="1"/>
  <c r="AD105" i="4"/>
  <c r="H105" i="13" s="1" a="1"/>
  <c r="H105" i="13" s="1"/>
  <c r="AK37" i="7"/>
  <c r="AH68" i="20" a="1"/>
  <c r="AH68" i="20" s="1"/>
  <c r="AK36" i="7"/>
  <c r="AC96" i="4"/>
  <c r="G96" i="13" s="1" a="1"/>
  <c r="G96" i="13" s="1"/>
  <c r="AK84" i="7"/>
  <c r="AD85" i="4"/>
  <c r="H85" i="13" s="1" a="1"/>
  <c r="H85" i="13" s="1"/>
  <c r="AK76" i="7"/>
  <c r="AK62" i="7"/>
  <c r="AK90" i="7"/>
  <c r="AK105" i="7"/>
  <c r="AK50" i="7"/>
  <c r="AK41" i="7"/>
  <c r="AK59" i="7"/>
  <c r="AK100" i="7"/>
  <c r="AD119" i="4"/>
  <c r="H50" i="13" s="1" a="1"/>
  <c r="H50" i="13" s="1"/>
  <c r="AH101" i="20" a="1"/>
  <c r="AH101" i="20" s="1"/>
  <c r="AK97" i="7"/>
  <c r="AH33" i="20" a="1"/>
  <c r="AH33" i="20" s="1"/>
  <c r="AD117" i="4"/>
  <c r="H48" i="13" s="1" a="1"/>
  <c r="H48" i="13" s="1"/>
  <c r="AH86" i="20" a="1"/>
  <c r="AH86" i="20" s="1"/>
  <c r="AD91" i="4"/>
  <c r="H91" i="13" s="1" a="1"/>
  <c r="H91" i="13" s="1"/>
  <c r="AH37" i="20" a="1"/>
  <c r="AH37" i="20" s="1"/>
  <c r="AH98" i="20" a="1"/>
  <c r="AH98" i="20" s="1"/>
  <c r="AK109" i="7"/>
  <c r="AC97" i="4"/>
  <c r="G97" i="13" s="1" a="1"/>
  <c r="G97" i="13" s="1"/>
  <c r="U111" i="8" a="1"/>
  <c r="U111" i="8" s="1"/>
  <c r="AD89" i="4"/>
  <c r="H89" i="13" s="1" a="1"/>
  <c r="H89" i="13" s="1"/>
  <c r="AH56" i="20" a="1"/>
  <c r="AH56" i="20" s="1"/>
  <c r="AH48" i="20" a="1"/>
  <c r="AH48" i="20" s="1"/>
  <c r="AH110" i="20" a="1"/>
  <c r="AH110" i="20" s="1"/>
  <c r="AH35" i="20" a="1"/>
  <c r="AH35" i="20" s="1"/>
  <c r="AH109" i="20" a="1"/>
  <c r="AH109" i="20" s="1"/>
  <c r="AH75" i="20" a="1"/>
  <c r="AH75" i="20" s="1"/>
  <c r="L75" i="10"/>
  <c r="M73" i="10" s="1"/>
  <c r="Z79" i="11"/>
  <c r="AV94" i="20" a="1"/>
  <c r="AV81" i="20" a="1"/>
  <c r="AV43" i="20" a="1"/>
  <c r="AV93" i="20" a="1"/>
  <c r="AV61" i="20" a="1"/>
  <c r="AV58" i="20" a="1"/>
  <c r="AV85" i="20" a="1"/>
  <c r="AV54" i="20" a="1"/>
  <c r="AV33" i="20" a="1"/>
  <c r="AV35" i="20" a="1"/>
  <c r="AV109" i="20" a="1"/>
  <c r="AV68" i="20" a="1"/>
  <c r="AV84" i="20" a="1"/>
  <c r="AV89" i="20" a="1"/>
  <c r="AV67" i="20" a="1"/>
  <c r="AV45" i="20" a="1"/>
  <c r="AV75" i="20" a="1"/>
  <c r="AV49" i="20" a="1"/>
  <c r="AV76" i="20" a="1"/>
  <c r="AV60" i="20" a="1"/>
  <c r="AV98" i="20" a="1"/>
  <c r="AV44" i="20" a="1"/>
  <c r="AV105" i="20" a="1"/>
  <c r="AV79" i="20" a="1"/>
  <c r="AV86" i="20" a="1"/>
  <c r="AV70" i="20" a="1"/>
  <c r="AV106" i="20" a="1"/>
  <c r="AV32" i="20" a="1"/>
  <c r="AV102" i="20" a="1"/>
  <c r="AV69" i="20" a="1"/>
  <c r="AV65" i="20" a="1"/>
  <c r="AV55" i="20" a="1"/>
  <c r="AV74" i="20" a="1"/>
  <c r="AV103" i="20" a="1"/>
  <c r="AV53" i="20" a="1"/>
  <c r="AV62" i="20" a="1"/>
  <c r="AV56" i="20" a="1"/>
  <c r="AV110" i="20" a="1"/>
  <c r="AV41" i="20" a="1"/>
  <c r="AV80" i="20" a="1"/>
  <c r="AV97" i="20" a="1"/>
  <c r="AV59" i="20" a="1"/>
  <c r="AV50" i="20" a="1"/>
  <c r="AV90" i="20" a="1"/>
  <c r="AV38" i="20" a="1"/>
  <c r="AV101" i="20" a="1"/>
  <c r="AV37" i="20" a="1"/>
  <c r="AV48" i="20" a="1"/>
  <c r="AV48" i="20" l="1"/>
  <c r="AV37" i="20"/>
  <c r="AV101" i="20"/>
  <c r="AV38" i="20"/>
  <c r="AV90" i="20"/>
  <c r="AV50" i="20"/>
  <c r="AV59" i="20"/>
  <c r="AV97" i="20"/>
  <c r="AV80" i="20"/>
  <c r="AV41" i="20"/>
  <c r="AV110" i="20"/>
  <c r="AV56" i="20"/>
  <c r="AV62" i="20"/>
  <c r="AV53" i="20"/>
  <c r="AV103" i="20"/>
  <c r="AV74" i="20"/>
  <c r="AV55" i="20"/>
  <c r="AV65" i="20"/>
  <c r="AV69" i="20"/>
  <c r="AV102" i="20"/>
  <c r="AV32" i="20"/>
  <c r="AV106" i="20"/>
  <c r="AV70" i="20"/>
  <c r="AV86" i="20"/>
  <c r="AV79" i="20"/>
  <c r="AV105" i="20"/>
  <c r="AV44" i="20"/>
  <c r="AV98" i="20"/>
  <c r="AV60" i="20"/>
  <c r="AV76" i="20"/>
  <c r="AV49" i="20"/>
  <c r="AV75" i="20"/>
  <c r="AV45" i="20"/>
  <c r="AV67" i="20"/>
  <c r="AV89" i="20"/>
  <c r="AV84" i="20"/>
  <c r="AV68" i="20"/>
  <c r="AV109" i="20"/>
  <c r="AV35" i="20"/>
  <c r="AV33" i="20"/>
  <c r="AV54" i="20"/>
  <c r="AV85" i="20"/>
  <c r="AV58" i="20"/>
  <c r="AV61" i="20"/>
  <c r="AV93" i="20"/>
  <c r="AV43" i="20"/>
  <c r="AV81" i="20"/>
  <c r="AV94" i="20"/>
  <c r="AK48" i="20"/>
  <c r="AK37" i="20"/>
  <c r="AK101" i="20"/>
  <c r="AE82" i="4"/>
  <c r="I82" i="13" s="1" a="1"/>
  <c r="I82" i="13" s="1"/>
  <c r="X76" i="8"/>
  <c r="AK38" i="20"/>
  <c r="AK90" i="20"/>
  <c r="AK50" i="20"/>
  <c r="AK59" i="20"/>
  <c r="AK97" i="20"/>
  <c r="AK80" i="20"/>
  <c r="AE120" i="4"/>
  <c r="I51" i="13" s="1" a="1"/>
  <c r="I51" i="13" s="1"/>
  <c r="X43" i="8"/>
  <c r="AE125" i="4"/>
  <c r="I22" i="13" s="1" a="1"/>
  <c r="I22" i="13" s="1"/>
  <c r="X38" i="8"/>
  <c r="AE92" i="4"/>
  <c r="I92" i="13" s="1" a="1"/>
  <c r="I92" i="13" s="1"/>
  <c r="X79" i="8"/>
  <c r="AE112" i="4"/>
  <c r="I69" i="13" s="1" a="1"/>
  <c r="I69" i="13" s="1"/>
  <c r="X70" i="8"/>
  <c r="AK41" i="20"/>
  <c r="AE70" i="4"/>
  <c r="I32" i="13" s="1" a="1"/>
  <c r="I32" i="13" s="1"/>
  <c r="X29" i="8"/>
  <c r="AD95" i="4"/>
  <c r="H95" i="13" s="1" a="1"/>
  <c r="H95" i="13" s="1"/>
  <c r="AK110" i="20"/>
  <c r="AK56" i="20"/>
  <c r="AE123" i="4"/>
  <c r="I21" i="13" s="1" a="1"/>
  <c r="I21" i="13" s="1"/>
  <c r="X32" i="8"/>
  <c r="AK62" i="20"/>
  <c r="AK53" i="20"/>
  <c r="AK103" i="20"/>
  <c r="AE86" i="4"/>
  <c r="I86" i="13" s="1" a="1"/>
  <c r="I86" i="13" s="1"/>
  <c r="X96" i="8"/>
  <c r="AK74" i="20"/>
  <c r="AK55" i="20"/>
  <c r="AE106" i="4"/>
  <c r="I106" i="13" s="1" a="1"/>
  <c r="I106" i="13" s="1"/>
  <c r="X110" i="8"/>
  <c r="AE62" i="4"/>
  <c r="I42" i="13" s="1" a="1"/>
  <c r="I42" i="13" s="1"/>
  <c r="X53" i="8"/>
  <c r="AK65" i="20"/>
  <c r="AE104" i="4"/>
  <c r="I104" i="13" s="1" a="1"/>
  <c r="I104" i="13" s="1"/>
  <c r="X100" i="8"/>
  <c r="AK69" i="20"/>
  <c r="AE118" i="4"/>
  <c r="I49" i="13" s="1" a="1"/>
  <c r="I49" i="13" s="1"/>
  <c r="X44" i="8"/>
  <c r="AK102" i="20"/>
  <c r="AE102" i="4"/>
  <c r="I102" i="13" s="1" a="1"/>
  <c r="I102" i="13" s="1"/>
  <c r="X90" i="8"/>
  <c r="AE127" i="4"/>
  <c r="I24" i="13" s="1" a="1"/>
  <c r="I24" i="13" s="1"/>
  <c r="X33" i="8"/>
  <c r="AK32" i="20"/>
  <c r="AK106" i="20"/>
  <c r="AE88" i="4"/>
  <c r="I88" i="13" s="1" a="1"/>
  <c r="I88" i="13" s="1"/>
  <c r="X106" i="8"/>
  <c r="AK70" i="20"/>
  <c r="AE121" i="4"/>
  <c r="I20" i="13" s="1" a="1"/>
  <c r="I20" i="13" s="1"/>
  <c r="X35" i="8"/>
  <c r="AE113" i="4"/>
  <c r="I70" i="13" s="1" a="1"/>
  <c r="I70" i="13" s="1"/>
  <c r="X68" i="8"/>
  <c r="AE132" i="4"/>
  <c r="I54" i="13" s="1" a="1"/>
  <c r="I54" i="13" s="1"/>
  <c r="X62" i="8"/>
  <c r="AE63" i="4"/>
  <c r="I43" i="13" s="1" a="1"/>
  <c r="I43" i="13" s="1"/>
  <c r="X54" i="8"/>
  <c r="AE126" i="4"/>
  <c r="I23" i="13" s="1" a="1"/>
  <c r="I23" i="13" s="1"/>
  <c r="X37" i="8"/>
  <c r="AE89" i="4"/>
  <c r="I89" i="13" s="1" a="1"/>
  <c r="I89" i="13" s="1"/>
  <c r="X111" i="8"/>
  <c r="AK86" i="20"/>
  <c r="AE109" i="4"/>
  <c r="I66" i="13" s="1" a="1"/>
  <c r="I66" i="13" s="1"/>
  <c r="X67" i="8"/>
  <c r="AK79" i="20"/>
  <c r="AE133" i="4"/>
  <c r="I55" i="13" s="1" a="1"/>
  <c r="I55" i="13" s="1"/>
  <c r="X60" i="8"/>
  <c r="AK105" i="20"/>
  <c r="AK44" i="20"/>
  <c r="AE103" i="4"/>
  <c r="I103" i="13" s="1" a="1"/>
  <c r="I103" i="13" s="1"/>
  <c r="X95" i="8"/>
  <c r="AE61" i="4"/>
  <c r="I41" i="13" s="1" a="1"/>
  <c r="I41" i="13" s="1"/>
  <c r="X55" i="8"/>
  <c r="AK98" i="20"/>
  <c r="AK60" i="20"/>
  <c r="AE91" i="4"/>
  <c r="I91" i="13" s="1" a="1"/>
  <c r="I91" i="13" s="1"/>
  <c r="X74" i="8"/>
  <c r="AE119" i="4"/>
  <c r="I50" i="13" s="1" a="1"/>
  <c r="I50" i="13" s="1"/>
  <c r="X41" i="8"/>
  <c r="AE131" i="4"/>
  <c r="I53" i="13" s="1" a="1"/>
  <c r="I53" i="13" s="1"/>
  <c r="X58" i="8"/>
  <c r="AE90" i="4"/>
  <c r="I90" i="13" s="1" a="1"/>
  <c r="I90" i="13" s="1"/>
  <c r="X116" i="8"/>
  <c r="AK76" i="20"/>
  <c r="AK49" i="20"/>
  <c r="AK75" i="20"/>
  <c r="AE101" i="4"/>
  <c r="I101" i="13" s="1" a="1"/>
  <c r="I101" i="13" s="1"/>
  <c r="X85" i="8"/>
  <c r="AE134" i="4"/>
  <c r="I57" i="13" s="1" a="1"/>
  <c r="I57" i="13" s="1"/>
  <c r="X59" i="8"/>
  <c r="AE135" i="4"/>
  <c r="I56" i="13" s="1" a="1"/>
  <c r="I56" i="13" s="1"/>
  <c r="X61" i="8"/>
  <c r="AK45" i="20"/>
  <c r="AK67" i="20"/>
  <c r="AD94" i="4"/>
  <c r="H94" i="13" s="1" a="1"/>
  <c r="H94" i="13" s="1"/>
  <c r="AE60" i="4"/>
  <c r="I40" i="13" s="1" a="1"/>
  <c r="I40" i="13" s="1"/>
  <c r="X56" i="8"/>
  <c r="AE100" i="4"/>
  <c r="I100" i="13" s="1" a="1"/>
  <c r="I100" i="13" s="1"/>
  <c r="X80" i="8"/>
  <c r="AE107" i="4"/>
  <c r="I107" i="13" s="1" a="1"/>
  <c r="I107" i="13" s="1"/>
  <c r="X115" i="8"/>
  <c r="AK89" i="20"/>
  <c r="AE130" i="4"/>
  <c r="I37" i="13" s="1" a="1"/>
  <c r="I37" i="13" s="1"/>
  <c r="X49" i="8"/>
  <c r="AD98" i="4"/>
  <c r="H98" i="13" s="1" a="1"/>
  <c r="H98" i="13" s="1"/>
  <c r="AE93" i="4"/>
  <c r="I93" i="13" s="1" a="1"/>
  <c r="I93" i="13" s="1"/>
  <c r="X84" i="8"/>
  <c r="AK84" i="20"/>
  <c r="AK68" i="20"/>
  <c r="AE85" i="4"/>
  <c r="I85" i="13" s="1" a="1"/>
  <c r="I85" i="13" s="1"/>
  <c r="X91" i="8"/>
  <c r="AE105" i="4"/>
  <c r="I105" i="13" s="1" a="1"/>
  <c r="I105" i="13" s="1"/>
  <c r="X105" i="8"/>
  <c r="AK109" i="20"/>
  <c r="AD97" i="4"/>
  <c r="H97" i="13" s="1" a="1"/>
  <c r="H97" i="13" s="1"/>
  <c r="AE117" i="4"/>
  <c r="I48" i="13" s="1" a="1"/>
  <c r="I48" i="13" s="1"/>
  <c r="X45" i="8"/>
  <c r="AK35" i="20"/>
  <c r="AK33" i="20"/>
  <c r="AD96" i="4"/>
  <c r="H96" i="13" s="1" a="1"/>
  <c r="H96" i="13" s="1"/>
  <c r="AE87" i="4"/>
  <c r="I87" i="13" s="1" a="1"/>
  <c r="I87" i="13" s="1"/>
  <c r="X101" i="8"/>
  <c r="AK54" i="20"/>
  <c r="AK85" i="20"/>
  <c r="AK58" i="20"/>
  <c r="AK61" i="20"/>
  <c r="AD99" i="4"/>
  <c r="H99" i="13" s="1" a="1"/>
  <c r="H99" i="13" s="1"/>
  <c r="AK93" i="20"/>
  <c r="AE111" i="4"/>
  <c r="I68" i="13" s="1" a="1"/>
  <c r="I68" i="13" s="1"/>
  <c r="X65" i="8"/>
  <c r="AK43" i="20"/>
  <c r="AE84" i="4"/>
  <c r="I84" i="13" s="1" a="1"/>
  <c r="I84" i="13" s="1"/>
  <c r="X86" i="8"/>
  <c r="AK81" i="20"/>
  <c r="AK94" i="20"/>
  <c r="AE83" i="4"/>
  <c r="I83" i="13" s="1" a="1"/>
  <c r="I83" i="13" s="1"/>
  <c r="X81" i="8"/>
  <c r="AB79" i="11"/>
  <c r="J15" i="15"/>
  <c r="M72" i="10"/>
  <c r="M71" i="10"/>
  <c r="M106" i="10"/>
  <c r="N106" i="10" s="1"/>
  <c r="L81" i="10"/>
  <c r="AE99" i="4" l="1"/>
  <c r="I99" i="13" s="1" a="1"/>
  <c r="I99" i="13" s="1"/>
  <c r="X114" i="8"/>
  <c r="AE96" i="4"/>
  <c r="I96" i="13" s="1" a="1"/>
  <c r="I96" i="13" s="1"/>
  <c r="X99" i="8"/>
  <c r="AE98" i="4"/>
  <c r="I98" i="13" s="1" a="1"/>
  <c r="I98" i="13" s="1"/>
  <c r="X109" i="8"/>
  <c r="AE95" i="4"/>
  <c r="I95" i="13" s="1" a="1"/>
  <c r="I95" i="13" s="1"/>
  <c r="X94" i="8"/>
  <c r="AE94" i="4"/>
  <c r="I94" i="13" s="1" a="1"/>
  <c r="I94" i="13" s="1"/>
  <c r="X89" i="8"/>
  <c r="AE97" i="4"/>
  <c r="I97" i="13" s="1" a="1"/>
  <c r="I97" i="13" s="1"/>
  <c r="X104" i="8"/>
  <c r="N71" i="10"/>
  <c r="N77" i="10"/>
  <c r="N72" i="10"/>
  <c r="N73" i="10"/>
  <c r="I8" i="10"/>
  <c r="I80" i="10"/>
  <c r="M118" i="10"/>
  <c r="N118" i="10"/>
  <c r="N120" i="10"/>
  <c r="AX19" i="23" l="1"/>
  <c r="AP19" i="23"/>
  <c r="AH19" i="23"/>
  <c r="AX18" i="23"/>
  <c r="AP18" i="23"/>
  <c r="AH18" i="23"/>
  <c r="AX17" i="23"/>
  <c r="AP17" i="23"/>
  <c r="AH17" i="23"/>
  <c r="AK13" i="23"/>
  <c r="AF13" i="23"/>
  <c r="BA12" i="23"/>
  <c r="AK12" i="23"/>
  <c r="AF12" i="23"/>
  <c r="AE12" i="23"/>
  <c r="AK11" i="23"/>
  <c r="AF11" i="23"/>
  <c r="AE11" i="23"/>
  <c r="AC35" i="21"/>
  <c r="AC30" i="21"/>
  <c r="AC23" i="21"/>
  <c r="AC51" i="21"/>
  <c r="AA53" i="21"/>
  <c r="AB53" i="21"/>
  <c r="S47" i="13"/>
  <c r="S66" i="13"/>
  <c r="S20" i="13"/>
  <c r="C13" i="23"/>
  <c r="C12" i="23"/>
  <c r="C11" i="23"/>
  <c r="AB11" i="23" l="1"/>
  <c r="T11" i="23"/>
  <c r="AA11" i="23"/>
  <c r="S11" i="23"/>
  <c r="Z11" i="23"/>
  <c r="R11" i="23"/>
  <c r="Y11" i="23"/>
  <c r="Q11" i="23"/>
  <c r="X11" i="23"/>
  <c r="W11" i="23"/>
  <c r="V11" i="23"/>
  <c r="AC11" i="23"/>
  <c r="U11" i="23"/>
  <c r="AB12" i="23"/>
  <c r="T12" i="23"/>
  <c r="AA12" i="23"/>
  <c r="S12" i="23"/>
  <c r="Z12" i="23"/>
  <c r="R12" i="23"/>
  <c r="Y12" i="23"/>
  <c r="Q12" i="23"/>
  <c r="X12" i="23"/>
  <c r="W12" i="23"/>
  <c r="V12" i="23"/>
  <c r="U12" i="23"/>
  <c r="AC12" i="23"/>
  <c r="AB13" i="23"/>
  <c r="T13" i="23"/>
  <c r="AA13" i="23"/>
  <c r="S13" i="23"/>
  <c r="Z13" i="23"/>
  <c r="R13" i="23"/>
  <c r="Y13" i="23"/>
  <c r="Q13" i="23"/>
  <c r="X13" i="23"/>
  <c r="W13" i="23"/>
  <c r="V13" i="23"/>
  <c r="U13" i="23"/>
  <c r="AC13" i="23"/>
  <c r="Z53" i="21" l="1"/>
  <c r="C19" i="23"/>
  <c r="C18" i="23"/>
  <c r="C17" i="23"/>
  <c r="Y17" i="23"/>
  <c r="Q17" i="23"/>
  <c r="X17" i="23"/>
  <c r="W17" i="23"/>
  <c r="V17" i="23"/>
  <c r="AC17" i="23"/>
  <c r="U17" i="23"/>
  <c r="AB17" i="23"/>
  <c r="T17" i="23"/>
  <c r="AA17" i="23"/>
  <c r="S17" i="23"/>
  <c r="R17" i="23"/>
  <c r="Z17" i="23"/>
  <c r="Y19" i="23"/>
  <c r="Q19" i="23"/>
  <c r="X19" i="23"/>
  <c r="W19" i="23"/>
  <c r="V19" i="23"/>
  <c r="AC19" i="23"/>
  <c r="U19" i="23"/>
  <c r="AB19" i="23"/>
  <c r="T19" i="23"/>
  <c r="AA19" i="23"/>
  <c r="S19" i="23"/>
  <c r="Z19" i="23"/>
  <c r="R19" i="23"/>
  <c r="Y18" i="23"/>
  <c r="Q18" i="23"/>
  <c r="X18" i="23"/>
  <c r="W18" i="23"/>
  <c r="V18" i="23"/>
  <c r="AC18" i="23"/>
  <c r="U18" i="23"/>
  <c r="AB18" i="23"/>
  <c r="T18" i="23"/>
  <c r="AA18" i="23"/>
  <c r="S18" i="23"/>
  <c r="Z18" i="23"/>
  <c r="R18" i="23"/>
  <c r="T18" i="21"/>
  <c r="U18" i="21"/>
  <c r="V18" i="21"/>
  <c r="W18" i="21"/>
  <c r="S18" i="21"/>
  <c r="Q17" i="21"/>
  <c r="Z17" i="21"/>
  <c r="AB18" i="21"/>
  <c r="Z61" i="21"/>
  <c r="Z57" i="21"/>
  <c r="Z65" i="21"/>
  <c r="AB65" i="21"/>
  <c r="AB61" i="21"/>
  <c r="AB57" i="21"/>
  <c r="AF18" i="21"/>
  <c r="AE18" i="21"/>
  <c r="AD18" i="21"/>
  <c r="AC18" i="21"/>
  <c r="AC61" i="21"/>
  <c r="AC65" i="21"/>
  <c r="AD65" i="21"/>
  <c r="AC57" i="21"/>
  <c r="AD61" i="21"/>
  <c r="AD57" i="21"/>
  <c r="AA57" i="21"/>
  <c r="AA61" i="21"/>
  <c r="AA65" i="21"/>
  <c r="Z62" i="21"/>
  <c r="AD62" i="21"/>
  <c r="AB62" i="21"/>
  <c r="AC62" i="21"/>
  <c r="AA62" i="21"/>
  <c r="AD66" i="21"/>
  <c r="AA66" i="21"/>
  <c r="AC66" i="21"/>
  <c r="AB66" i="21"/>
  <c r="Z66" i="21"/>
  <c r="P101" i="13"/>
  <c r="R101" i="13"/>
  <c r="Q101" i="13"/>
  <c r="T101" i="13"/>
  <c r="S101" i="13"/>
  <c r="X101" i="13"/>
  <c r="W101" i="13"/>
  <c r="V101" i="13"/>
  <c r="X32" i="13"/>
  <c r="W32" i="13"/>
  <c r="Y32" i="13"/>
  <c r="T32" i="13"/>
  <c r="R32" i="13"/>
  <c r="S32" i="13"/>
  <c r="U32" i="13"/>
  <c r="V33" i="13"/>
  <c r="P33" i="13"/>
  <c r="Q91" i="13"/>
  <c r="S91" i="13"/>
  <c r="P91" i="13"/>
  <c r="T91" i="13"/>
  <c r="R91" i="13"/>
  <c r="W91" i="13"/>
  <c r="X91" i="13"/>
  <c r="V91" i="13"/>
  <c r="Q92" i="13"/>
  <c r="S92" i="13"/>
  <c r="R92" i="13"/>
  <c r="T92" i="13"/>
  <c r="P92" i="13"/>
  <c r="V92" i="13"/>
  <c r="X92" i="13"/>
  <c r="W92" i="13"/>
  <c r="T100" i="13"/>
  <c r="Q100" i="13"/>
  <c r="P100" i="13"/>
  <c r="S100" i="13"/>
  <c r="R100" i="13"/>
  <c r="W100" i="13"/>
  <c r="V100" i="13"/>
  <c r="X100" i="13"/>
  <c r="Q93" i="13"/>
  <c r="T93" i="13"/>
  <c r="P93" i="13"/>
  <c r="S93" i="13"/>
  <c r="R93" i="13"/>
  <c r="W93" i="13"/>
  <c r="V93" i="13"/>
  <c r="X93" i="13"/>
  <c r="U67" i="21" l="1"/>
  <c r="T67" i="21"/>
  <c r="S67" i="21"/>
  <c r="R67" i="21"/>
  <c r="Q67" i="21"/>
  <c r="U63" i="21"/>
  <c r="T63" i="21"/>
  <c r="S63" i="21"/>
  <c r="R63" i="21"/>
  <c r="Q63" i="21"/>
  <c r="U59" i="21"/>
  <c r="T59" i="21"/>
  <c r="S59" i="21"/>
  <c r="R59" i="21"/>
  <c r="Q59" i="21"/>
  <c r="Z59" i="21"/>
  <c r="AB59" i="21"/>
  <c r="AC59" i="21"/>
  <c r="AA59" i="21"/>
  <c r="AD59" i="21"/>
  <c r="AC63" i="21"/>
  <c r="AB63" i="21"/>
  <c r="Z63" i="21"/>
  <c r="AA63" i="21"/>
  <c r="AD63" i="21"/>
  <c r="AA67" i="21"/>
  <c r="AC67" i="21"/>
  <c r="AB67" i="21"/>
  <c r="Z67" i="21"/>
  <c r="AD67" i="21"/>
  <c r="AC58" i="21"/>
  <c r="AD58" i="21"/>
  <c r="P83" i="13"/>
  <c r="S83" i="13"/>
  <c r="Q83" i="13"/>
  <c r="T83" i="13"/>
  <c r="R83" i="13"/>
  <c r="W83" i="13"/>
  <c r="X83" i="13"/>
  <c r="V83" i="13"/>
  <c r="T84" i="13"/>
  <c r="Q84" i="13"/>
  <c r="R84" i="13"/>
  <c r="S84" i="13"/>
  <c r="P84" i="13"/>
  <c r="V84" i="13"/>
  <c r="W84" i="13"/>
  <c r="X84" i="13"/>
  <c r="R82" i="13"/>
  <c r="S82" i="13"/>
  <c r="T82" i="13"/>
  <c r="P82" i="13"/>
  <c r="Q82" i="13"/>
  <c r="V82" i="13"/>
  <c r="X82" i="13"/>
  <c r="W82" i="13"/>
  <c r="AB58" i="21"/>
  <c r="AA58" i="21"/>
  <c r="Z5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tc={72E22EBC-6F1C-44E6-9D37-6A2EDC68C4EF}</author>
    <author>tc={68365649-69BE-42E1-A3D3-7826C339A4A4}</author>
    <author>tc={78C9CCF7-1AE4-47F9-BE3C-84B6FCC19C48}</author>
    <author>tc={B5986BBB-6093-45C3-916A-D12C4DF390D0}</author>
    <author>tc={64B612B0-D55B-494B-89E6-694DC15724C6}</author>
  </authors>
  <commentList>
    <comment ref="K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A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K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B24" authorId="1"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34" authorId="2"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42" authorId="3"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0" authorId="4"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7" authorId="5"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Q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V6" authorId="1" shapeId="0" xr:uid="{0D210A22-F54B-4D6F-AB3F-3BDCAC052E64}">
      <text>
        <r>
          <rPr>
            <b/>
            <sz val="9"/>
            <color indexed="81"/>
            <rFont val="Tahoma"/>
            <family val="2"/>
          </rPr>
          <t>Fadiel:</t>
        </r>
        <r>
          <rPr>
            <sz val="9"/>
            <color indexed="81"/>
            <rFont val="Tahoma"/>
            <family val="2"/>
          </rPr>
          <t xml:space="preserve">
</t>
        </r>
      </text>
    </comment>
    <comment ref="Q7" authorId="2" shapeId="0" xr:uid="{F95DA8E9-3010-47AD-B110-3F6ADF84BFBD}">
      <text>
        <r>
          <rPr>
            <b/>
            <sz val="9"/>
            <color indexed="81"/>
            <rFont val="Tahoma"/>
            <family val="2"/>
          </rPr>
          <t>ESAP PC:</t>
        </r>
        <r>
          <rPr>
            <sz val="9"/>
            <color indexed="81"/>
            <rFont val="Tahoma"/>
            <family val="2"/>
          </rPr>
          <t xml:space="preserve">
EFF scenario</t>
        </r>
      </text>
    </comment>
    <comment ref="V7" authorId="1" shapeId="0" xr:uid="{5E14DC95-F96C-4E84-9A43-2BD6510A0AD3}">
      <text>
        <r>
          <rPr>
            <b/>
            <sz val="9"/>
            <color indexed="81"/>
            <rFont val="Tahoma"/>
            <family val="2"/>
          </rPr>
          <t>Fadiel:</t>
        </r>
        <r>
          <rPr>
            <sz val="9"/>
            <color indexed="81"/>
            <rFont val="Tahoma"/>
            <family val="2"/>
          </rPr>
          <t xml:space="preserve">
</t>
        </r>
      </text>
    </comment>
    <comment ref="V11" authorId="1" shapeId="0" xr:uid="{01157E26-C0A2-4877-A7F9-420DB97ADFD9}">
      <text>
        <r>
          <rPr>
            <b/>
            <sz val="9"/>
            <color indexed="81"/>
            <rFont val="Tahoma"/>
            <family val="2"/>
          </rPr>
          <t>Fadiel:</t>
        </r>
        <r>
          <rPr>
            <sz val="9"/>
            <color indexed="81"/>
            <rFont val="Tahoma"/>
            <family val="2"/>
          </rPr>
          <t xml:space="preserve">
</t>
        </r>
      </text>
    </comment>
    <comment ref="Q12" authorId="2" shapeId="0" xr:uid="{3B86BC4A-7429-48B1-A634-7223AE84AB7D}">
      <text>
        <r>
          <rPr>
            <b/>
            <sz val="9"/>
            <color indexed="81"/>
            <rFont val="Tahoma"/>
            <family val="2"/>
          </rPr>
          <t>ESAP PC:</t>
        </r>
        <r>
          <rPr>
            <sz val="9"/>
            <color indexed="81"/>
            <rFont val="Tahoma"/>
            <family val="2"/>
          </rPr>
          <t xml:space="preserve">
EFF scenario</t>
        </r>
      </text>
    </comment>
    <comment ref="V12" authorId="1" shapeId="0" xr:uid="{6083C985-A3A4-45F5-A4E2-FB80041A7D74}">
      <text>
        <r>
          <rPr>
            <b/>
            <sz val="9"/>
            <color indexed="81"/>
            <rFont val="Tahoma"/>
            <family val="2"/>
          </rPr>
          <t>Fadiel:</t>
        </r>
        <r>
          <rPr>
            <sz val="9"/>
            <color indexed="81"/>
            <rFont val="Tahoma"/>
            <family val="2"/>
          </rPr>
          <t xml:space="preserve">
</t>
        </r>
      </text>
    </comment>
    <comment ref="Q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P27" authorId="1" shapeId="0" xr:uid="{C6A97AB0-7AE8-47DE-B943-80873A435542}">
      <text>
        <r>
          <rPr>
            <b/>
            <sz val="9"/>
            <color indexed="81"/>
            <rFont val="Tahoma"/>
            <family val="2"/>
          </rPr>
          <t>Fadiel:</t>
        </r>
        <r>
          <rPr>
            <sz val="9"/>
            <color indexed="81"/>
            <rFont val="Tahoma"/>
            <family val="2"/>
          </rPr>
          <t xml:space="preserve">
~15.8kwh/km
</t>
        </r>
      </text>
    </comment>
    <comment ref="R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D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F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F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AI3" authorId="0"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<sst xmlns="http://schemas.openxmlformats.org/spreadsheetml/2006/main" count="7591" uniqueCount="1463">
  <si>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</si>
  <si>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</si>
  <si>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</si>
  <si>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</si>
  <si>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</si>
  <si>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</si>
  <si>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</si>
  <si>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</si>
  <si>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</si>
  <si>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</si>
  <si>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</si>
  <si>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</si>
  <si>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</si>
  <si>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</si>
  <si>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</si>
  <si>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</si>
  <si>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</si>
  <si>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</si>
  <si>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</si>
  <si>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</si>
  <si>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</si>
  <si>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</si>
  <si>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</si>
  <si>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</si>
  <si>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</si>
  <si>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</si>
  <si>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</si>
  <si>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</si>
  <si>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</si>
  <si>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</si>
  <si>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</si>
  <si>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</si>
  <si>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</si>
  <si>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</si>
  <si>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</si>
  <si>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</si>
  <si>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</si>
  <si>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</si>
  <si>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</si>
  <si>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</si>
  <si>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</si>
  <si>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</si>
  <si>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</si>
  <si>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</si>
  <si>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</si>
  <si>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</si>
  <si>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</si>
  <si>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</si>
  <si>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</si>
  <si>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</si>
  <si>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</si>
  <si>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</si>
  <si>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</si>
  <si>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</si>
  <si>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</si>
  <si>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</si>
  <si>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</si>
  <si>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</si>
  <si>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</si>
  <si>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</si>
  <si>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</si>
  <si>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</si>
  <si>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</si>
  <si>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</si>
  <si>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</si>
  <si>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</si>
  <si>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</si>
  <si>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</si>
  <si>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</si>
  <si>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</si>
  <si>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</si>
  <si>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</si>
  <si>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</si>
  <si>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</si>
  <si>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</si>
  <si>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</si>
  <si>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</si>
  <si>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</si>
  <si>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</si>
  <si>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</si>
  <si>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</si>
  <si>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</si>
  <si>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</si>
  <si>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</si>
  <si>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</si>
  <si>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</si>
  <si>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</si>
  <si>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</si>
  <si>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</si>
  <si>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</si>
  <si>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</si>
  <si>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</si>
  <si>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</si>
  <si>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</si>
  <si>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</si>
  <si>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</si>
  <si>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</si>
  <si>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</si>
  <si>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</si>
  <si>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</si>
  <si>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</si>
  <si>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</si>
  <si>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</si>
  <si>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</si>
  <si>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</si>
  <si>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</si>
  <si>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</si>
  <si>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</si>
  <si>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</si>
  <si>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</si>
  <si>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</si>
  <si>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</si>
  <si>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</si>
  <si>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</si>
  <si>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</si>
  <si>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</si>
  <si>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</si>
  <si>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</si>
  <si>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</si>
  <si>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</si>
  <si>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</si>
  <si>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</si>
  <si>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</si>
  <si>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</si>
  <si>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</si>
  <si>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</si>
  <si>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</si>
  <si>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</si>
  <si>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</si>
  <si>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</si>
  <si>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</si>
  <si>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</si>
  <si>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</si>
  <si>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</si>
  <si>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</si>
  <si>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</si>
  <si>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</si>
  <si>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</si>
  <si>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</si>
  <si>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</si>
  <si>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</si>
  <si>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</si>
  <si>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</si>
  <si>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</si>
  <si>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</si>
  <si>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</si>
  <si>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</si>
  <si>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</si>
  <si>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</si>
  <si>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</si>
  <si>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</si>
  <si>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</si>
  <si>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</si>
  <si>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</si>
  <si>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</si>
  <si>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</si>
  <si>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</si>
  <si>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</si>
  <si>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</si>
  <si>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</si>
  <si>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</si>
  <si>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</si>
  <si>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</si>
  <si>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</si>
  <si>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</si>
  <si>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</si>
  <si>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</si>
  <si>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</si>
  <si>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</si>
  <si>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</si>
  <si>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</si>
  <si>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</si>
  <si>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</si>
  <si>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</si>
  <si>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</si>
  <si>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</si>
  <si>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</si>
  <si>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</si>
  <si>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</si>
  <si>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</si>
  <si>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</si>
  <si>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</si>
  <si>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</si>
  <si>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</si>
  <si>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</si>
  <si>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</si>
  <si>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</si>
  <si>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</si>
  <si>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</si>
  <si>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</si>
  <si>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</si>
  <si>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</si>
  <si>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</si>
  <si>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</si>
  <si>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</si>
  <si>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</si>
  <si>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</si>
  <si>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</si>
  <si>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</si>
  <si>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</si>
  <si>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</si>
  <si>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</si>
  <si>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</si>
  <si>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</si>
  <si>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</si>
  <si>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</si>
  <si>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</si>
  <si>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</si>
  <si>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</si>
  <si>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</si>
  <si>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</si>
  <si>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</si>
  <si>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</si>
  <si>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</si>
  <si>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</si>
  <si>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</si>
  <si>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</si>
  <si>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</si>
  <si>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</si>
  <si>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</si>
  <si>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</si>
  <si>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</si>
  <si>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</si>
  <si>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</si>
  <si>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</si>
  <si>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</si>
  <si>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</si>
  <si>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</si>
  <si>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</si>
  <si>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</si>
  <si>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</si>
  <si>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</si>
  <si>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</si>
  <si>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</si>
  <si>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</si>
  <si>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</si>
  <si>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</si>
  <si>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</si>
  <si>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</si>
  <si>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</si>
  <si>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</si>
  <si>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</si>
  <si>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</si>
  <si>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</si>
  <si>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</si>
  <si>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</si>
  <si>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</si>
  <si>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</si>
  <si>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</si>
  <si>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</si>
  <si>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</si>
  <si>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</si>
  <si>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</si>
  <si>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</si>
  <si>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</si>
  <si>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</si>
  <si>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</si>
  <si>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</si>
  <si>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</si>
  <si>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</si>
  <si>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</si>
  <si>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</si>
  <si>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</si>
  <si>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</si>
  <si>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</si>
  <si>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</si>
  <si>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</si>
  <si>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</si>
  <si>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</si>
  <si>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</si>
  <si>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</si>
  <si>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</si>
  <si>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</si>
  <si>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</si>
  <si>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</si>
  <si>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</si>
  <si>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</si>
  <si>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</si>
  <si>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</si>
  <si>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</si>
  <si>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</si>
  <si>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</si>
  <si>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</si>
  <si>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</si>
  <si>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</si>
  <si>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</si>
  <si>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</si>
  <si>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</si>
  <si>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</si>
  <si>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</si>
  <si>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</si>
  <si>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</si>
  <si>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</si>
  <si>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</si>
  <si>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</si>
  <si>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</si>
  <si>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</si>
  <si>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</si>
  <si>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</si>
  <si>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</si>
  <si>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</si>
  <si>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</si>
  <si>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</si>
  <si>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</si>
  <si>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</si>
  <si>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</si>
  <si>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</si>
  <si>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</si>
  <si>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</si>
  <si>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</si>
  <si>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</si>
  <si>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</si>
  <si>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</si>
  <si>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</si>
  <si>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</si>
  <si>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</si>
  <si>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</si>
  <si>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</si>
  <si>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</si>
  <si>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</si>
  <si>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</si>
  <si>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</si>
  <si>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</si>
  <si>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</si>
  <si>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</si>
  <si>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</si>
  <si>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</si>
  <si>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</si>
  <si>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</si>
  <si>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</si>
  <si>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</si>
  <si>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</si>
  <si>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</si>
  <si>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</si>
  <si>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</si>
  <si>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</si>
  <si>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</si>
  <si>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</si>
  <si>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</si>
  <si>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</si>
  <si>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</si>
  <si>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</si>
  <si>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</si>
  <si>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</si>
  <si>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</si>
  <si>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</si>
  <si>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</si>
  <si>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</si>
  <si>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</si>
  <si>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</si>
  <si>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</si>
  <si>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</si>
  <si>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</si>
  <si>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</si>
  <si>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</si>
  <si>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</si>
  <si>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</si>
  <si>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</si>
  <si>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</si>
  <si>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</si>
  <si>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</si>
  <si>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</si>
  <si>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</si>
  <si>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</si>
  <si>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</si>
  <si>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</si>
  <si>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</si>
  <si>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</si>
  <si>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</si>
  <si>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</si>
  <si>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</si>
  <si>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</si>
  <si>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</si>
  <si>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</si>
  <si>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</si>
  <si>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</si>
  <si>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</si>
  <si>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</si>
  <si>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</si>
  <si>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</si>
  <si>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</si>
  <si>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</si>
  <si>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</si>
  <si>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</si>
  <si>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</si>
  <si>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</si>
  <si>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</si>
  <si>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</si>
  <si>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</si>
  <si>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</si>
  <si>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</si>
  <si>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</si>
  <si>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</si>
  <si>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</si>
  <si>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</si>
  <si>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</si>
  <si>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</si>
  <si>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</si>
  <si>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</si>
  <si>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</si>
  <si>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</si>
  <si>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</si>
  <si>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</si>
  <si>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</si>
  <si>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</si>
  <si>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</si>
  <si>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</si>
  <si>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</si>
  <si>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</si>
  <si>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</si>
  <si>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</si>
  <si>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</si>
  <si>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</si>
  <si>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</si>
  <si>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</si>
  <si>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</si>
  <si>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</si>
  <si>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</si>
  <si>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</si>
  <si>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</si>
  <si>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</si>
  <si>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</si>
  <si>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</si>
  <si>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</si>
  <si>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</si>
  <si>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</si>
  <si>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</si>
  <si>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</si>
  <si>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</si>
  <si>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</si>
  <si>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</si>
  <si>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</si>
  <si>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</si>
  <si>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</si>
  <si>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</si>
  <si>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</si>
  <si>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</si>
  <si>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</si>
  <si>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</si>
  <si>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</si>
  <si>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</si>
  <si>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</si>
  <si>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</si>
  <si>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</si>
  <si>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</si>
  <si>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</si>
  <si>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</si>
  <si>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</si>
  <si>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</si>
  <si>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</si>
  <si>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</si>
  <si>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</si>
  <si>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</si>
  <si>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</si>
  <si>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</si>
  <si>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</si>
  <si>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</si>
  <si>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</si>
  <si>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</si>
  <si>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</si>
  <si>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</si>
  <si>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</si>
  <si>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</si>
  <si>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</si>
  <si>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</si>
  <si>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</si>
  <si>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</si>
  <si>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</si>
  <si>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</si>
  <si>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</si>
  <si>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</si>
  <si>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</si>
  <si>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</si>
  <si>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</si>
  <si>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</si>
  <si>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</si>
  <si>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</si>
  <si>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</si>
  <si>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</si>
  <si>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</si>
  <si>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</si>
  <si>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</si>
  <si>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</si>
  <si>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</si>
  <si>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</si>
  <si>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</si>
  <si>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</si>
  <si>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</si>
  <si>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</si>
  <si>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</si>
  <si>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</si>
  <si>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</si>
  <si>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</si>
  <si>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</si>
  <si>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</si>
  <si>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</si>
  <si>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</si>
  <si>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</si>
  <si>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</si>
  <si>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</si>
  <si>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</si>
  <si>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</si>
  <si>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</si>
  <si>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</si>
  <si>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</si>
  <si>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</si>
  <si>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</si>
  <si>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</si>
  <si>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</si>
  <si>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</si>
  <si>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</si>
  <si>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</si>
  <si>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</si>
  <si>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</si>
  <si>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</si>
  <si>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</si>
  <si>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</si>
  <si>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</si>
  <si>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</si>
  <si>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</si>
  <si>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</si>
  <si>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</si>
  <si>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</si>
  <si>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</si>
  <si>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</si>
  <si>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</si>
  <si>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</si>
  <si>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</si>
  <si>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</si>
  <si>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</si>
  <si>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</si>
  <si>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</si>
  <si>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</si>
  <si>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</si>
  <si>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</si>
  <si>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</si>
  <si>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</si>
  <si>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</si>
  <si>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</si>
  <si>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</si>
  <si>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</si>
  <si>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</si>
  <si>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</si>
  <si>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</si>
  <si>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</si>
  <si>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</si>
  <si>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</si>
  <si>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</si>
  <si>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</si>
  <si>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</si>
  <si>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</si>
  <si>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</si>
  <si>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</si>
  <si>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</si>
  <si>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</si>
  <si>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</si>
  <si>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</si>
  <si>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</si>
  <si>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</si>
  <si>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</si>
  <si>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</si>
  <si>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</si>
  <si>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</si>
  <si>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</si>
  <si>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</si>
  <si>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</si>
  <si>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</si>
  <si>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</si>
  <si>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</si>
  <si>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</si>
  <si>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</si>
  <si>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</si>
  <si>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</si>
  <si>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</si>
  <si>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</si>
  <si>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</si>
  <si>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</si>
  <si>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</si>
  <si>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</si>
  <si>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</si>
  <si>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</si>
  <si>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</si>
  <si>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</si>
  <si>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</si>
  <si>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</si>
  <si>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</si>
  <si>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</si>
  <si>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</si>
  <si>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</si>
  <si>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</si>
  <si>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</si>
  <si>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</si>
  <si>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</si>
  <si>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</si>
  <si>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</si>
  <si>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</si>
  <si>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</si>
  <si>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</si>
  <si>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</si>
  <si>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</si>
  <si>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</si>
  <si>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</si>
  <si>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</si>
  <si>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</si>
  <si>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</si>
  <si>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</si>
  <si>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</si>
  <si>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</si>
  <si>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</si>
  <si>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</si>
  <si>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</si>
  <si>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</si>
  <si>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</si>
  <si>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</si>
  <si>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</si>
  <si>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</si>
  <si>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</si>
  <si>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</si>
  <si>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</si>
  <si>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</si>
  <si>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</si>
  <si>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</si>
  <si>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</si>
  <si>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</si>
  <si>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</si>
  <si>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</si>
  <si>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</si>
  <si>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</si>
  <si>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</si>
  <si>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</si>
  <si>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</si>
  <si>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</si>
  <si>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</si>
  <si>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</si>
  <si>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</si>
  <si>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</si>
  <si>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</si>
  <si>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</si>
  <si>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</si>
  <si>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</si>
  <si>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</si>
  <si>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</si>
  <si>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</si>
  <si>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</si>
  <si>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</si>
  <si>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</si>
  <si>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</si>
  <si>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</si>
  <si>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</si>
  <si>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</si>
  <si>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</si>
  <si>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</si>
  <si>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</si>
  <si>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</si>
  <si>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</si>
  <si>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</si>
  <si>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</si>
  <si>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</si>
  <si>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</si>
  <si>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</si>
  <si>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</si>
  <si>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</si>
  <si>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</si>
  <si>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</si>
  <si>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</si>
  <si>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</si>
  <si>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</si>
  <si>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</si>
  <si>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</si>
  <si>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</si>
  <si>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</si>
  <si>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</si>
  <si>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</si>
  <si>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</si>
  <si>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</si>
  <si>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</si>
  <si>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</si>
  <si>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</si>
  <si>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</si>
  <si>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</si>
  <si>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</si>
  <si>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</si>
  <si>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</si>
  <si>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</si>
  <si>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</si>
  <si>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</si>
  <si>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</si>
  <si>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</si>
  <si>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</si>
  <si>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</si>
  <si>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</si>
  <si>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</si>
  <si>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</si>
  <si>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</si>
  <si>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</si>
  <si>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</si>
  <si>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</si>
  <si>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</si>
  <si>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</si>
  <si>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</si>
  <si>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</si>
  <si>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</si>
  <si>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</si>
  <si>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</si>
  <si>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</si>
  <si>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</si>
  <si>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</si>
  <si>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</si>
  <si>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</si>
  <si>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</si>
  <si>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</si>
  <si>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</si>
  <si>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</si>
  <si>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</si>
  <si>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</si>
  <si>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</si>
  <si>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</si>
  <si>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</si>
  <si>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</si>
  <si>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</si>
  <si>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</si>
  <si>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</si>
  <si>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</si>
  <si>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</si>
  <si>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</si>
  <si>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</si>
  <si>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</si>
  <si>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</si>
  <si>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</si>
  <si>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</si>
  <si>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</si>
  <si>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</si>
  <si>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</si>
  <si>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</si>
  <si>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</si>
  <si>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</si>
  <si>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</si>
  <si>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</si>
  <si>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</si>
  <si>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</si>
  <si>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</si>
  <si>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</si>
  <si>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</si>
  <si>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</si>
  <si>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</si>
  <si>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</si>
  <si>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</si>
  <si>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</si>
  <si>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</si>
  <si>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</si>
  <si>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</si>
  <si>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</si>
  <si>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</si>
  <si>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</si>
  <si>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</si>
  <si>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</si>
  <si>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</si>
  <si>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</si>
  <si>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</si>
  <si>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</si>
  <si>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</si>
  <si>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</si>
  <si>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</si>
  <si>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</si>
  <si>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</si>
  <si>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</si>
  <si>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</si>
  <si>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</si>
  <si>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</si>
  <si>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</si>
  <si>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</si>
  <si>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</si>
  <si>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</si>
  <si>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</si>
  <si>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</si>
  <si>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</si>
  <si>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</si>
  <si>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</si>
  <si>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</si>
  <si>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</si>
  <si>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</si>
  <si>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</si>
  <si>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</si>
  <si>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</si>
  <si>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</si>
  <si>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</si>
  <si>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</si>
  <si>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</si>
  <si>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</si>
  <si>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</si>
  <si>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</si>
  <si>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</si>
  <si>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</si>
  <si>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</si>
  <si>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</si>
  <si>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</si>
  <si>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</si>
  <si>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</si>
  <si>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</si>
  <si>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</si>
  <si>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</si>
  <si>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</si>
  <si>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</si>
  <si>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</si>
  <si>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</si>
  <si>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</si>
  <si>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</si>
  <si>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</si>
  <si>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</si>
  <si>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</si>
  <si>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</si>
  <si>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</si>
  <si>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</si>
  <si>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</si>
  <si>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</si>
  <si>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</si>
  <si>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</si>
  <si>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</si>
  <si>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</si>
  <si>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</si>
  <si>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</si>
  <si>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</si>
  <si>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</si>
  <si>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</si>
  <si>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</si>
  <si>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</si>
  <si>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</si>
  <si>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</si>
  <si>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</si>
  <si>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</si>
  <si>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</si>
  <si>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</si>
  <si>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</si>
  <si>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</si>
  <si>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</si>
  <si>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</si>
  <si>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</si>
  <si>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</si>
  <si>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</si>
  <si>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</si>
  <si>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</si>
  <si>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</si>
  <si>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</si>
  <si>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</si>
  <si>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</si>
  <si>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</si>
  <si>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</si>
  <si>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</si>
  <si>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</si>
  <si>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</si>
  <si>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</si>
  <si>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</si>
  <si>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</si>
  <si>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</si>
  <si>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</si>
  <si>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</si>
  <si>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</si>
  <si>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</si>
  <si>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</si>
  <si>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</si>
  <si>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</si>
  <si>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</si>
  <si>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</si>
  <si>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</si>
  <si>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</si>
  <si>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</si>
  <si>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</si>
  <si>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</si>
  <si>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</si>
  <si>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</si>
  <si>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</si>
  <si>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</si>
  <si>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</si>
  <si>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</si>
  <si>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</si>
  <si>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</si>
  <si>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</si>
  <si>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</si>
  <si>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</si>
  <si>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</si>
  <si>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</si>
  <si>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</si>
  <si>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</si>
  <si>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</si>
  <si>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</si>
  <si>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</si>
  <si>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</si>
  <si>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</si>
  <si>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</si>
  <si>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</si>
  <si>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</si>
  <si>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</si>
  <si>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</si>
  <si>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</si>
  <si>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</si>
  <si>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</si>
  <si>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</si>
  <si>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</si>
  <si>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</si>
  <si>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</si>
  <si>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</si>
  <si>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</si>
  <si>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</si>
  <si>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</si>
  <si>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</si>
  <si>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</si>
  <si>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</si>
  <si>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</si>
  <si>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</si>
  <si>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</si>
  <si>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</si>
  <si>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</si>
  <si>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</si>
  <si>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</si>
  <si>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</si>
  <si>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</si>
  <si>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</si>
  <si>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</si>
  <si>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</si>
  <si>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</si>
  <si>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</si>
  <si>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</si>
  <si>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</si>
  <si>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</si>
  <si>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</si>
  <si>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</si>
  <si>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</si>
  <si>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</si>
  <si>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</si>
  <si>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</si>
  <si>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</si>
  <si>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</si>
  <si>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</si>
  <si>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</si>
  <si>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</si>
  <si>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</si>
  <si>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</si>
  <si>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</si>
  <si>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</si>
  <si>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</si>
  <si>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</si>
  <si>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</si>
  <si>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</si>
  <si>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</si>
  <si>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</si>
  <si>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</si>
  <si>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</si>
  <si>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</si>
  <si>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</si>
  <si>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</si>
  <si>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</si>
  <si>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</si>
  <si>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</si>
  <si>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</si>
  <si>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</si>
  <si>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</si>
  <si>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</si>
  <si>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</si>
  <si>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</si>
  <si>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</si>
  <si>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</si>
  <si>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</si>
  <si>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</si>
  <si>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</si>
  <si>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</si>
  <si>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</si>
  <si>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</si>
  <si>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</si>
  <si>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</si>
  <si>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</si>
  <si>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</si>
  <si>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</si>
  <si>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</si>
  <si>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</si>
  <si>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</si>
  <si>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</si>
  <si>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</si>
  <si>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</si>
  <si>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</si>
  <si>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</si>
  <si>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</si>
  <si>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</si>
  <si>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</si>
  <si>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</si>
  <si>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</si>
  <si>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</si>
  <si>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</si>
  <si>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</si>
  <si>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</si>
  <si>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</si>
  <si>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</si>
  <si>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</si>
  <si>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</si>
  <si>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</si>
  <si>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</si>
  <si>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</si>
  <si>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</si>
  <si>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</si>
  <si>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</si>
  <si>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</si>
  <si>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</si>
  <si>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</si>
  <si>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</si>
  <si>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</si>
  <si>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</si>
  <si>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</si>
  <si>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</si>
  <si>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</si>
  <si>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</si>
  <si>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</si>
  <si>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</si>
  <si>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</si>
  <si>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</si>
  <si>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</si>
  <si>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</si>
  <si>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</si>
  <si>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</si>
  <si>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</si>
  <si>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</si>
  <si>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</si>
  <si>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</si>
  <si>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</si>
  <si>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</si>
  <si>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</si>
  <si>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</si>
  <si>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</si>
  <si>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</si>
  <si>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</si>
  <si>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</si>
  <si>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</si>
  <si>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</si>
  <si>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</si>
  <si>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</si>
  <si>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</si>
  <si>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</si>
  <si>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</si>
  <si>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</si>
  <si>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</si>
  <si>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</si>
  <si>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</si>
  <si>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</si>
  <si>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</si>
  <si>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</si>
  <si>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</si>
  <si>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</si>
  <si>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</si>
  <si>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</si>
  <si>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</si>
  <si>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</si>
  <si>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</si>
  <si>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</si>
  <si>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</si>
  <si>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</si>
  <si>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</si>
  <si>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</si>
  <si>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</si>
  <si>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</si>
  <si>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</si>
  <si>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</si>
  <si>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</si>
  <si>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</si>
  <si>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</si>
  <si>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</si>
  <si>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</si>
  <si>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</si>
  <si>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</si>
  <si>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</si>
  <si>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</si>
  <si>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</si>
  <si>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</si>
  <si>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</si>
  <si>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</si>
  <si>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</si>
  <si>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</si>
  <si>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</si>
  <si>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</si>
  <si>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</si>
  <si>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</si>
  <si>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</si>
  <si>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</si>
  <si>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</si>
  <si>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</si>
  <si>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</si>
  <si>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</si>
  <si>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</si>
  <si>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</si>
  <si>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</si>
  <si>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</si>
  <si>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</si>
  <si>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</si>
  <si>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</si>
  <si>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</si>
  <si>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</si>
  <si>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</si>
  <si>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</si>
  <si>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</si>
  <si>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</si>
  <si>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</si>
  <si>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</si>
  <si>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</si>
  <si>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</si>
  <si>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</si>
  <si>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</si>
  <si>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</si>
  <si>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</si>
  <si>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</si>
  <si>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</si>
  <si>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</si>
  <si>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</si>
  <si>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</si>
  <si>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</si>
  <si>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</si>
  <si>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</si>
  <si>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</si>
  <si>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</si>
  <si>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</si>
  <si>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</si>
  <si>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</si>
  <si>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</si>
  <si>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</si>
  <si>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</si>
  <si>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</si>
  <si>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</si>
  <si>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</si>
  <si>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</si>
  <si>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</si>
  <si>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</si>
  <si>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</si>
  <si>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</si>
  <si>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</si>
  <si>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</si>
  <si>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</si>
  <si>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</si>
  <si>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</si>
  <si>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</si>
  <si>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</si>
  <si>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</si>
  <si>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</si>
  <si>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</si>
  <si>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</si>
  <si>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</si>
  <si>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</si>
  <si>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</si>
  <si>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</si>
  <si>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</si>
  <si>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</si>
  <si>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</si>
  <si>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</si>
  <si>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</si>
  <si>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</si>
  <si>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</si>
  <si>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</si>
  <si>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</si>
  <si>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</si>
  <si>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</si>
  <si>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</si>
  <si>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</si>
  <si>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</si>
  <si>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</si>
  <si>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</si>
  <si>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</si>
  <si>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</si>
  <si>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</si>
  <si>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</si>
  <si>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</si>
  <si>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</si>
  <si>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</si>
  <si>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</si>
  <si>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</si>
  <si>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</si>
  <si>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</si>
  <si>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</si>
  <si>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</si>
  <si>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</si>
  <si>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</si>
  <si>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</si>
  <si>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</si>
  <si>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</si>
  <si>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</si>
  <si>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</si>
  <si>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</si>
  <si>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</si>
  <si>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</si>
  <si>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</si>
  <si>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</si>
  <si>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</si>
  <si>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</si>
  <si>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</si>
  <si>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</si>
  <si>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</si>
  <si>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</si>
  <si>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</si>
  <si>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</si>
  <si>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</si>
  <si>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</si>
  <si>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</si>
  <si>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</si>
  <si>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</si>
  <si>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</si>
  <si>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</si>
  <si>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</si>
  <si>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</si>
  <si>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</si>
  <si>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</si>
  <si>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</si>
  <si>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</si>
  <si>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</si>
  <si>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</si>
  <si>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</si>
  <si>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</si>
  <si>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</si>
  <si>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</si>
  <si>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</si>
  <si>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</si>
  <si>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</si>
  <si>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</si>
  <si>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</si>
  <si>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</si>
  <si>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</si>
  <si>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</si>
  <si>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</si>
  <si>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</si>
  <si>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</si>
  <si>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</si>
  <si>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</si>
  <si>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</si>
  <si>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</si>
  <si>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</si>
  <si>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</si>
  <si>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</si>
  <si>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</si>
  <si>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</si>
  <si>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</si>
  <si>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</si>
  <si>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</si>
  <si>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</si>
  <si>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</si>
  <si>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</si>
  <si>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</si>
  <si>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</si>
  <si>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</si>
  <si>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</si>
  <si>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</si>
  <si>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</si>
  <si>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</si>
  <si>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</si>
  <si>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</si>
  <si>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</si>
  <si>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</si>
  <si>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</si>
  <si>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</si>
  <si>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</si>
  <si>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</si>
  <si>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</si>
  <si>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</si>
  <si>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</si>
  <si>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</si>
  <si>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</si>
  <si>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</si>
  <si>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</si>
  <si>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</si>
  <si>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</si>
  <si>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</si>
  <si>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</si>
  <si>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</si>
  <si>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</si>
  <si>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</si>
  <si>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</si>
  <si>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</si>
  <si>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</si>
  <si>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</si>
  <si>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</si>
  <si>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</si>
  <si>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</si>
  <si>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</si>
  <si>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</si>
  <si>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2022 ZAR</t>
  </si>
  <si>
    <t>2023 petrol HEV sedan/hatchback</t>
  </si>
  <si>
    <t>Median</t>
  </si>
  <si>
    <t>2023 Petrol PHEV</t>
  </si>
  <si>
    <t>BEVs</t>
  </si>
  <si>
    <t>range is R 750k to 3.3k</t>
  </si>
  <si>
    <t>Assume motorcycles / mopeds cost 42% of passenger cars (based on Fadiel 2012 data)</t>
  </si>
  <si>
    <t>SUVs / LCVs</t>
  </si>
  <si>
    <t>assume REEV = 1.33 * PHEV</t>
  </si>
  <si>
    <t>MCV costs</t>
  </si>
  <si>
    <t xml:space="preserve">Assume 2020 price ratio </t>
  </si>
  <si>
    <t>2015ZAR</t>
  </si>
  <si>
    <t>2020 (Fadiel 2012 data)</t>
  </si>
  <si>
    <t>HCV costs</t>
  </si>
  <si>
    <t xml:space="preserve">Price of a medium FAW </t>
  </si>
  <si>
    <t>For larger HCVs and buses, assumptions and proportions from 2012 maintained</t>
  </si>
  <si>
    <t>Average 2020 CPI</t>
  </si>
  <si>
    <t>2022ZAR</t>
  </si>
  <si>
    <t>All prices below converted to 2022ZAR (link to old GBP prices removed)</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</si>
  <si>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</si>
  <si>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</si>
  <si>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</si>
  <si>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</si>
  <si>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</si>
  <si>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</si>
  <si>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</si>
  <si>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</si>
  <si>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</si>
  <si>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</si>
  <si>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</si>
  <si>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</si>
  <si>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</si>
  <si>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</si>
  <si>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</si>
  <si>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</si>
  <si>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Notes:</t>
  </si>
  <si>
    <t>Diesel hybrids, gas and blended cars turned off</t>
  </si>
  <si>
    <t>(30 nov 2023)</t>
  </si>
  <si>
    <t>BEV and H2 HCVs and buses delayed to 2040</t>
  </si>
  <si>
    <t>H2 cars and SUVs delayed to 2035</t>
  </si>
  <si>
    <t>Cost assumptions for base vehicles also updated (see VehicleCostData2023)</t>
  </si>
  <si>
    <t>Type</t>
  </si>
  <si>
    <t>HEV</t>
  </si>
  <si>
    <t>STEPS</t>
  </si>
  <si>
    <t>HGNF</t>
  </si>
  <si>
    <t>FOM COST%</t>
  </si>
  <si>
    <t>Process1</t>
  </si>
  <si>
    <t>Process2</t>
  </si>
  <si>
    <t>Process3</t>
  </si>
  <si>
    <t>Process4</t>
  </si>
  <si>
    <t>New</t>
  </si>
  <si>
    <t>Existing</t>
  </si>
  <si>
    <t>Assumption</t>
  </si>
  <si>
    <t xml:space="preserve">1 2020 ZAR = </t>
  </si>
  <si>
    <t>Vehicle class</t>
  </si>
  <si>
    <t>Technology</t>
  </si>
  <si>
    <t>2022 Cost [2022 ZAR]</t>
  </si>
  <si>
    <t xml:space="preserve">1 2020 USD = </t>
  </si>
  <si>
    <t>2022 USD</t>
  </si>
  <si>
    <t xml:space="preserve">2020 ZAR = </t>
  </si>
  <si>
    <t>1 2022 ZAR =</t>
  </si>
  <si>
    <t>(average monthly CPI Nov 22 - Oct 23)</t>
  </si>
  <si>
    <t>1 2022 USD =</t>
  </si>
  <si>
    <t>2023 USD</t>
  </si>
  <si>
    <t xml:space="preserve">1 2022 USD = </t>
  </si>
  <si>
    <t xml:space="preserve">2022 ZAR = </t>
  </si>
  <si>
    <t>New ICE Petrol Sedan</t>
  </si>
  <si>
    <t>median price of new ICE sedan/hatchbacks on cars.co.za on 7 Dec 2023</t>
  </si>
  <si>
    <t>lowest price of new ICE petrol sedan/hatchback on cars.co.za on 7 Dec 2023</t>
  </si>
  <si>
    <t>median price of new petrol HEV sedan/hatchbacks on cars.co.za on 7 Dec 2023</t>
  </si>
  <si>
    <t>Assume same price ratio for diesel/petrol HEVs as for ICEs</t>
  </si>
  <si>
    <t xml:space="preserve">Volv XC60 PHEV </t>
  </si>
  <si>
    <t>https://mybroadband.co.za/news/motoring/504690-most-affordable-hybrid-cars-in-south-africa-2.html</t>
  </si>
  <si>
    <t>Audi S7 TSFI Sportback quattro</t>
  </si>
  <si>
    <t>https://mybroadband.co.za/news/motoring/495651-electric-cars-with-the-best-range-in-south-africa.html</t>
  </si>
  <si>
    <t>https://businesstech.co.za/news/motoring/661995/all-the-full-electric-cars-you-can-buy-in-south-africa-with-pricing/</t>
  </si>
  <si>
    <t>BMW iX5 estimated at AUD 145k</t>
  </si>
  <si>
    <t>Turn off in model</t>
  </si>
  <si>
    <t xml:space="preserve">median price of new bike </t>
  </si>
  <si>
    <t>https://www.autotrader.co.za/bikes-for-sale?pagenumber=27&amp;sortorder=PriceLow&amp;isused=False&amp;priceoption=RetailPrice</t>
  </si>
  <si>
    <t>assume parity</t>
  </si>
  <si>
    <t>Median price for new petrol SUV</t>
  </si>
  <si>
    <t>https://www.cars.co.za/usedcars/?body_type_exact=SUV&amp;fuel_type=p&amp;new_or_used=New&amp;sort=price&amp;vehicle_axle_config=4X4|4X2&amp;P=65</t>
  </si>
  <si>
    <t>Median price for new diesel SUV</t>
  </si>
  <si>
    <t>https://www.cars.co.za/usedcars/?body_type_exact=SUV&amp;fuel_type=d&amp;new_or_used=New&amp;sort=price&amp;vehicle_axle_config=4X4|4X2&amp;P=13</t>
  </si>
  <si>
    <t>Median price for petrol HEV SUV</t>
  </si>
  <si>
    <t>Assume same PHEV/ICE ratio as for sedans</t>
  </si>
  <si>
    <t>Assume same ratio to H2/BEV for sedans</t>
  </si>
  <si>
    <t>New LPT Tata small truck in Gauteng</t>
  </si>
  <si>
    <t>JAC N55 EV (2.5t)</t>
  </si>
  <si>
    <t>USD (2022)</t>
  </si>
  <si>
    <t>Curve fitting</t>
  </si>
  <si>
    <t>ZAR (2022)</t>
  </si>
  <si>
    <t>Linear learning rates</t>
  </si>
  <si>
    <t>IEA scen</t>
  </si>
  <si>
    <t>2010-2022</t>
  </si>
  <si>
    <t>2022-2030</t>
  </si>
  <si>
    <t>2030-2050</t>
  </si>
  <si>
    <t>STEPS-USD</t>
  </si>
  <si>
    <t>APS-USD</t>
  </si>
  <si>
    <t>NZE-USD</t>
  </si>
  <si>
    <t>APS</t>
  </si>
  <si>
    <t>NZE</t>
  </si>
  <si>
    <t>REPLACED BY COSTPROJECTIONS TAB</t>
  </si>
  <si>
    <t>EV TAX ADJUSTMENT</t>
  </si>
  <si>
    <t>Assume sales tax on vehicles</t>
  </si>
  <si>
    <t>Net reduction</t>
  </si>
  <si>
    <t>BEV costs in purple/yellow have been updated</t>
  </si>
  <si>
    <t>IEA 2022</t>
  </si>
  <si>
    <t>https://www.iea.org/data-and-statistics/data-tools/electric-vehicles-total-cost-of-ownership-tool</t>
  </si>
  <si>
    <t>Country/Region:</t>
  </si>
  <si>
    <t>Vehicle cost (MSRP)</t>
  </si>
  <si>
    <t>Small car</t>
  </si>
  <si>
    <t>Medium car</t>
  </si>
  <si>
    <t>Large car</t>
  </si>
  <si>
    <t>Pickup truck</t>
  </si>
  <si>
    <t>Petrol Hybrid</t>
  </si>
  <si>
    <t>Battery electric</t>
  </si>
  <si>
    <t>FOM cost</t>
  </si>
  <si>
    <t>As percentage of MSRP</t>
  </si>
  <si>
    <t xml:space="preserve">2022 USD = </t>
  </si>
  <si>
    <t xml:space="preserve">1 2021 USD = </t>
  </si>
  <si>
    <t xml:space="preserve">2021 ZAR = </t>
  </si>
  <si>
    <t>Aggressive</t>
  </si>
  <si>
    <t>Class 6 Box truck</t>
  </si>
  <si>
    <t>FCEV</t>
  </si>
  <si>
    <t>Conservative</t>
  </si>
  <si>
    <t>Class 8 Box truck</t>
  </si>
  <si>
    <t>Class 4 Box truck</t>
  </si>
  <si>
    <t>Row Labels</t>
  </si>
  <si>
    <t>Column Labels</t>
  </si>
  <si>
    <t>Sum of MSRP 2021$</t>
  </si>
  <si>
    <t>https://www.nrel.gov/transportation/t3co.html</t>
  </si>
  <si>
    <t>NREL (2022) T3CO Transportation TCO Medium and Heavy Duty Vehicles</t>
  </si>
  <si>
    <t>MSRP 2021$</t>
  </si>
  <si>
    <t>Model Year</t>
  </si>
  <si>
    <t>truck</t>
  </si>
  <si>
    <t>Standard</t>
  </si>
  <si>
    <t>PHEV</t>
  </si>
  <si>
    <t>Hybrid</t>
  </si>
  <si>
    <t>FuelCell</t>
  </si>
  <si>
    <t>Design_Cate</t>
  </si>
  <si>
    <t>https://www.nrel.gov/transportation/adopt.html</t>
  </si>
  <si>
    <t>NREL 2022 - ADOPT (Automotive Deployment Options Projection Tool) Light Duty Vehicles</t>
  </si>
  <si>
    <t>Years</t>
  </si>
  <si>
    <t>Powertrain Type</t>
  </si>
  <si>
    <t>Raw Data</t>
  </si>
  <si>
    <t>Interpolated data</t>
  </si>
  <si>
    <t>2030/2022</t>
  </si>
  <si>
    <t>Learning (IEA 2022 TCO)</t>
  </si>
  <si>
    <t>IEA Car learning by scenario (2023 WEO)</t>
  </si>
  <si>
    <t>2050/2022</t>
  </si>
  <si>
    <t>IEA TCO Class</t>
  </si>
  <si>
    <t>IEA TCO BY22</t>
  </si>
  <si>
    <t>NREL Class</t>
  </si>
  <si>
    <t>AEA2012</t>
  </si>
  <si>
    <t>NREL LCVs</t>
  </si>
  <si>
    <t>2021$</t>
  </si>
  <si>
    <t>Assumed</t>
  </si>
  <si>
    <t>suv</t>
  </si>
  <si>
    <t xml:space="preserve">1 2012 ZAR = </t>
  </si>
  <si>
    <t>calibrated to HCV3</t>
  </si>
  <si>
    <t>Data source / Assumption</t>
  </si>
  <si>
    <t>IEA TCO 2022</t>
  </si>
  <si>
    <t>NREL_HCVs</t>
  </si>
  <si>
    <t>Interpolated</t>
  </si>
  <si>
    <t>FCEV learning</t>
  </si>
  <si>
    <t>Cost ratios per tech relative to 2022 for BEVs and HEVs (IEA 2023 WEO projection)</t>
  </si>
  <si>
    <t>Same as OGS</t>
  </si>
  <si>
    <t>AEA2012 OGS ratio</t>
  </si>
  <si>
    <t>IEA Scen</t>
  </si>
  <si>
    <t xml:space="preserve">Assumed / derived </t>
  </si>
  <si>
    <t>IEA forecast</t>
  </si>
  <si>
    <t>From data tab</t>
  </si>
  <si>
    <t>Capex Comp1</t>
  </si>
  <si>
    <t>AEA2012 + BEV learning</t>
  </si>
  <si>
    <t>AEA2012 OGSH ratio</t>
  </si>
  <si>
    <t>NREL_HCVs + IEA learning</t>
  </si>
  <si>
    <t>Derived forecast</t>
  </si>
  <si>
    <t>Mini Cooper SE</t>
  </si>
  <si>
    <t>less 25% tax</t>
  </si>
  <si>
    <t>Mini Cooper S</t>
  </si>
  <si>
    <t>less 18% tax</t>
  </si>
  <si>
    <t>Ratio</t>
  </si>
  <si>
    <t>Ntech Prem</t>
  </si>
  <si>
    <t>Ntech premium</t>
  </si>
  <si>
    <t>H2/BEV parity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</si>
</sst>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_(* \(#,##0\);_(* &quot;-&quot;_);_(@_)"/>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_-[$R-1C09]* #,##0.00_-;\-[$R-1C09]* #,##0.00_-;_-[$R-1C09]* &quot;-&quot;??_-;_-@_-"/>
    <numFmt numFmtId="193" formatCode="_-[$$-409]* #,##0.00_ ;_-[$$-409]* \-#,##0.00\ ;_-[$$-409]* &quot;-&quot;??_ ;_-@_ "/>
    <numFmt numFmtId="194" formatCode="_-[$$-409]* #,##0_ ;_-[$$-409]* \-#,##0\ ;_-[$$-409]* &quot;-&quot;??_ ;_-@_ "/>
    <numFmt numFmtId="195" formatCode="_([$$-409]* #,##0_);_([$$-409]* \(#,##0\);_([$$-409]* &quot;-&quot;??_);_(@_)"/>
    <numFmt numFmtId="196" formatCode="&quot;$&quot;#,##0"/>
    <numFmt numFmtId="197" formatCode="_-[$R-1C09]* #,##0_-;\-[$R-1C09]* #,##0_-;_-[$R-1C09]* &quot;-&quot;??_-;_-@_-"/>
  </numFmts>
  <fonts count="149"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sz val="11"/>
      <color rgb="FFFF0000"/>
      <name val="Calibri"/>
      <family val="2"/>
    </font>
    <font>
      <b/>
      <sz val="11"/>
      <color theme="1"/>
      <name val="Calibri"/>
      <family val="2"/>
    </font>
    <font>
      <sz val="8"/>
      <name val="Calibri"/>
      <family val="2"/>
      <scheme val="minor"/>
    </font>
    <font>
      <b/>
      <sz val="11"/>
      <color rgb="FFFF0066"/>
      <name val="Calibri"/>
      <family val="2"/>
    </font>
    <font>
      <sz val="10"/>
      <color rgb="FFFF0066"/>
      <name val="Arial"/>
      <family val="2"/>
    </font>
    <font>
      <sz val="11"/>
      <color theme="0"/>
      <name val="Calibri"/>
      <family val="2"/>
      <scheme val="minor"/>
    </font>
    <font>
      <sz val="11"/>
      <color rgb="FFFF0066"/>
      <name val="Calibri"/>
      <family val="2"/>
      <scheme val="minor"/>
    </font>
    <font>
      <sz val="11"/>
      <name val="Calibri"/>
      <family val="2"/>
    </font>
    <font>
      <b/>
      <u/>
      <sz val="11"/>
      <color theme="1"/>
      <name val="Calibri"/>
      <family val="2"/>
    </font>
    <font>
      <b/>
      <sz val="11"/>
      <color rgb="FF7030A0"/>
      <name val="Calibri"/>
      <family val="2"/>
    </font>
    <font>
      <b/>
      <sz val="11"/>
      <color rgb="FFFFFF00"/>
      <name val="Calibri"/>
      <family val="2"/>
    </font>
    <font>
      <i/>
      <sz val="11"/>
      <color theme="1"/>
      <name val="Calibri"/>
      <family val="2"/>
    </font>
    <font>
      <b/>
      <sz val="11"/>
      <color rgb="FF3F3F3F"/>
      <name val="Calibri"/>
      <family val="2"/>
    </font>
    <font>
      <b/>
      <sz val="10"/>
      <color theme="1"/>
      <name val="Calibri"/>
      <family val="2"/>
    </font>
    <font>
      <b/>
      <sz val="11"/>
      <name val="Calibri"/>
      <family val="2"/>
      <scheme val="minor"/>
    </font>
    <font>
      <b/>
      <sz val="11"/>
      <color theme="0"/>
      <name val="Calibri"/>
      <family val="2"/>
      <scheme val="minor"/>
    </font>
    <font>
      <sz val="12"/>
      <color rgb="FF7030A0"/>
      <name val="Calibri"/>
      <family val="2"/>
    </font>
    <font>
      <sz val="11"/>
      <color rgb="FF3F3F3F"/>
      <name val="Calibri"/>
      <family val="2"/>
    </font>
    <font>
      <sz val="10"/>
      <color rgb="FFFF0066"/>
      <name val="Calibri"/>
      <family val="2"/>
    </font>
    <font>
      <sz val="10"/>
      <color rgb="FFFF0000"/>
      <name val="Calibri"/>
      <family val="2"/>
    </font>
    <font>
      <sz val="9"/>
      <color theme="1"/>
      <name val="Calibri"/>
      <family val="2"/>
    </font>
    <font>
      <sz val="10"/>
      <color theme="0"/>
      <name val="Calibri"/>
      <family val="2"/>
    </font>
  </fonts>
  <fills count="64">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rgb="FFFFC1DA"/>
        <bgColor indexed="64"/>
      </patternFill>
    </fill>
    <fill>
      <patternFill patternType="solid">
        <fgColor rgb="FFAFEAFF"/>
        <bgColor indexed="64"/>
      </patternFill>
    </fill>
    <fill>
      <patternFill patternType="solid">
        <fgColor rgb="FF92D050"/>
        <bgColor indexed="64"/>
      </patternFill>
    </fill>
    <fill>
      <patternFill patternType="solid">
        <fgColor rgb="FF7030A0"/>
        <bgColor indexed="64"/>
      </patternFill>
    </fill>
    <fill>
      <patternFill patternType="solid">
        <fgColor rgb="FFF2F2F2"/>
        <bgColor rgb="FFFFFFFF"/>
      </patternFill>
    </fill>
    <fill>
      <patternFill patternType="solid">
        <fgColor theme="9" tint="0.79998168889431442"/>
        <bgColor indexed="64"/>
      </patternFill>
    </fill>
    <fill>
      <patternFill patternType="solid">
        <fgColor rgb="FF00B0F0"/>
        <bgColor indexed="64"/>
      </patternFill>
    </fill>
    <fill>
      <patternFill patternType="solid">
        <fgColor theme="5" tint="0.79998168889431442"/>
        <bgColor indexed="64"/>
      </patternFill>
    </fill>
    <fill>
      <patternFill patternType="solid">
        <fgColor rgb="FFFF0066"/>
        <bgColor indexed="64"/>
      </patternFill>
    </fill>
    <fill>
      <patternFill patternType="solid">
        <fgColor rgb="FF9BFF9B"/>
        <bgColor indexed="64"/>
      </patternFill>
    </fill>
  </fills>
  <borders count="101">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thin">
        <color auto="1"/>
      </left>
      <right/>
      <top/>
      <bottom/>
      <diagonal/>
    </border>
  </borders>
  <cellStyleXfs count="96">
    <xf numFmtId="165" fontId="0" fillId="0" borderId="0"/>
    <xf numFmtId="43" fontId="9" fillId="0" borderId="0" applyFont="0" applyFill="0" applyBorder="0" applyAlignment="0" applyProtection="0"/>
    <xf numFmtId="9" fontId="9" fillId="0" borderId="0" applyFont="0" applyFill="0" applyBorder="0" applyAlignment="0" applyProtection="0"/>
    <xf numFmtId="165" fontId="10" fillId="0" borderId="1" applyNumberFormat="0" applyFill="0" applyAlignment="0" applyProtection="0"/>
    <xf numFmtId="165" fontId="11" fillId="0" borderId="2" applyNumberFormat="0" applyFill="0" applyAlignment="0" applyProtection="0"/>
    <xf numFmtId="165" fontId="12" fillId="2" borderId="0" applyNumberFormat="0" applyBorder="0" applyAlignment="0" applyProtection="0"/>
    <xf numFmtId="165" fontId="40" fillId="3" borderId="0" applyNumberFormat="0" applyBorder="0" applyAlignment="0" applyProtection="0"/>
    <xf numFmtId="165" fontId="13" fillId="4" borderId="3" applyNumberFormat="0" applyAlignment="0" applyProtection="0"/>
    <xf numFmtId="165" fontId="14" fillId="5" borderId="4" applyNumberFormat="0" applyAlignment="0" applyProtection="0"/>
    <xf numFmtId="165" fontId="15" fillId="5" borderId="3" applyNumberFormat="0" applyAlignment="0" applyProtection="0"/>
    <xf numFmtId="165" fontId="9" fillId="6" borderId="5" applyNumberFormat="0" applyFont="0" applyAlignment="0" applyProtection="0"/>
    <xf numFmtId="165" fontId="9" fillId="7" borderId="0" applyNumberFormat="0" applyBorder="0" applyAlignment="0" applyProtection="0"/>
    <xf numFmtId="0" fontId="18" fillId="0" borderId="0"/>
    <xf numFmtId="165" fontId="20" fillId="0" borderId="0" applyNumberFormat="0" applyFill="0" applyBorder="0" applyAlignment="0" applyProtection="0">
      <alignment vertical="top"/>
      <protection locked="0"/>
    </xf>
    <xf numFmtId="43" fontId="18" fillId="0" borderId="0" applyFont="0" applyFill="0" applyBorder="0" applyAlignment="0" applyProtection="0"/>
    <xf numFmtId="0" fontId="18" fillId="0" borderId="0"/>
    <xf numFmtId="165" fontId="13" fillId="22" borderId="3" applyNumberFormat="0" applyAlignment="0" applyProtection="0"/>
    <xf numFmtId="165" fontId="9" fillId="0" borderId="0"/>
    <xf numFmtId="179" fontId="9" fillId="0" borderId="0" applyFont="0" applyFill="0" applyBorder="0" applyAlignment="0" applyProtection="0"/>
    <xf numFmtId="0" fontId="9" fillId="0" borderId="0"/>
    <xf numFmtId="0" fontId="9" fillId="0" borderId="0"/>
    <xf numFmtId="0" fontId="51" fillId="0" borderId="0"/>
    <xf numFmtId="165" fontId="18" fillId="0" borderId="0"/>
    <xf numFmtId="0" fontId="9" fillId="0" borderId="0"/>
    <xf numFmtId="9" fontId="51" fillId="0" borderId="0" applyFont="0" applyFill="0" applyBorder="0" applyAlignment="0" applyProtection="0"/>
    <xf numFmtId="0" fontId="9" fillId="0" borderId="0"/>
    <xf numFmtId="0" fontId="70" fillId="0" borderId="0"/>
    <xf numFmtId="0" fontId="51" fillId="0" borderId="0"/>
    <xf numFmtId="0" fontId="51" fillId="0" borderId="0"/>
    <xf numFmtId="0" fontId="51" fillId="0" borderId="0"/>
    <xf numFmtId="0" fontId="51" fillId="0" borderId="0"/>
    <xf numFmtId="0" fontId="51" fillId="0" borderId="0"/>
    <xf numFmtId="0" fontId="51" fillId="0" borderId="0"/>
    <xf numFmtId="9" fontId="70" fillId="0" borderId="0" applyFont="0" applyFill="0" applyBorder="0" applyAlignment="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165" fontId="9" fillId="0" borderId="0"/>
    <xf numFmtId="183" fontId="79" fillId="0" borderId="0" applyFont="0" applyFill="0" applyBorder="0" applyAlignment="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11" fillId="0" borderId="0" applyNumberFormat="0" applyFill="0" applyBorder="0" applyAlignment="0" applyProtection="0"/>
    <xf numFmtId="165" fontId="106" fillId="0" borderId="0" applyNumberFormat="0" applyFill="0" applyBorder="0" applyAlignment="0" applyProtection="0"/>
    <xf numFmtId="9" fontId="18" fillId="0" borderId="0" applyFont="0" applyFill="0" applyBorder="0" applyAlignment="0" applyProtection="0"/>
    <xf numFmtId="165" fontId="108" fillId="0" borderId="0" applyNumberFormat="0" applyFill="0" applyBorder="0" applyAlignment="0" applyProtection="0"/>
    <xf numFmtId="0" fontId="118" fillId="0" borderId="0"/>
    <xf numFmtId="0" fontId="118" fillId="0" borderId="0"/>
    <xf numFmtId="164" fontId="18" fillId="0" borderId="0" applyFont="0" applyFill="0" applyBorder="0" applyAlignment="0" applyProtection="0"/>
    <xf numFmtId="4" fontId="119" fillId="0" borderId="0" applyNumberFormat="0" applyFill="0" applyBorder="0" applyAlignment="0" applyProtection="0">
      <alignment horizontal="center"/>
    </xf>
    <xf numFmtId="165" fontId="105" fillId="47" borderId="0" applyNumberFormat="0" applyBorder="0" applyAlignment="0" applyProtection="0"/>
    <xf numFmtId="191" fontId="18" fillId="48" borderId="0" applyNumberFormat="0" applyFont="0" applyBorder="0" applyAlignment="0" applyProtection="0"/>
    <xf numFmtId="0" fontId="125" fillId="0" borderId="70" applyNumberFormat="0" applyFill="0" applyAlignment="0" applyProtection="0"/>
    <xf numFmtId="0" fontId="9" fillId="0" borderId="0"/>
    <xf numFmtId="0" fontId="8" fillId="0" borderId="0"/>
    <xf numFmtId="0" fontId="126" fillId="0" borderId="0" applyNumberFormat="0" applyFill="0" applyBorder="0" applyAlignment="0" applyProtection="0"/>
    <xf numFmtId="0" fontId="7" fillId="0" borderId="0"/>
    <xf numFmtId="0" fontId="5" fillId="0" borderId="0"/>
    <xf numFmtId="9" fontId="5" fillId="0" borderId="0" applyFont="0" applyFill="0" applyBorder="0" applyAlignment="0" applyProtection="0"/>
  </cellStyleXfs>
  <cellXfs count="1024">
    <xf numFmtId="165" fontId="0" fillId="0" borderId="0" xfId="0"/>
    <xf numFmtId="0" fontId="18" fillId="0" borderId="0" xfId="12"/>
    <xf numFmtId="3" fontId="18" fillId="0" borderId="0" xfId="12" applyNumberFormat="1"/>
    <xf numFmtId="165" fontId="19" fillId="0" borderId="0" xfId="0" applyFont="1"/>
    <xf numFmtId="165" fontId="20" fillId="0" borderId="0" xfId="13" applyAlignment="1" applyProtection="1">
      <alignment horizontal="right"/>
    </xf>
    <xf numFmtId="1" fontId="18" fillId="0" borderId="0" xfId="12" applyNumberFormat="1"/>
    <xf numFmtId="9" fontId="18" fillId="0" borderId="0" xfId="2" applyFont="1"/>
    <xf numFmtId="1" fontId="0" fillId="0" borderId="0" xfId="0" applyNumberFormat="1"/>
    <xf numFmtId="0" fontId="21" fillId="0" borderId="0" xfId="12" applyFont="1"/>
    <xf numFmtId="2" fontId="18" fillId="0" borderId="0" xfId="12" applyNumberFormat="1"/>
    <xf numFmtId="49" fontId="18" fillId="0" borderId="0" xfId="12" applyNumberFormat="1"/>
    <xf numFmtId="43" fontId="0" fillId="0" borderId="0" xfId="14" applyFont="1"/>
    <xf numFmtId="166" fontId="22" fillId="8" borderId="0" xfId="12" applyNumberFormat="1" applyFont="1" applyFill="1"/>
    <xf numFmtId="0" fontId="18" fillId="9" borderId="0" xfId="12" applyFill="1"/>
    <xf numFmtId="166" fontId="22" fillId="10" borderId="0" xfId="12" applyNumberFormat="1" applyFont="1" applyFill="1"/>
    <xf numFmtId="0" fontId="22" fillId="9" borderId="0" xfId="12" applyFont="1" applyFill="1"/>
    <xf numFmtId="166" fontId="23" fillId="8" borderId="0" xfId="12" applyNumberFormat="1" applyFont="1" applyFill="1"/>
    <xf numFmtId="166" fontId="23" fillId="10" borderId="0" xfId="12" applyNumberFormat="1" applyFont="1" applyFill="1"/>
    <xf numFmtId="0" fontId="23" fillId="9" borderId="0" xfId="12" applyFont="1" applyFill="1"/>
    <xf numFmtId="166" fontId="18" fillId="8" borderId="0" xfId="12" applyNumberFormat="1" applyFill="1"/>
    <xf numFmtId="166" fontId="22" fillId="8" borderId="0" xfId="12" applyNumberFormat="1" applyFont="1" applyFill="1" applyAlignment="1">
      <alignment horizontal="right"/>
    </xf>
    <xf numFmtId="4" fontId="24" fillId="0" borderId="0" xfId="15" applyNumberFormat="1" applyFont="1"/>
    <xf numFmtId="43" fontId="18" fillId="0" borderId="0" xfId="12" applyNumberFormat="1"/>
    <xf numFmtId="166" fontId="25" fillId="11" borderId="0" xfId="12" applyNumberFormat="1" applyFont="1" applyFill="1"/>
    <xf numFmtId="0" fontId="26" fillId="9" borderId="0" xfId="12" applyFont="1" applyFill="1" applyAlignment="1">
      <alignment horizontal="left" indent="1"/>
    </xf>
    <xf numFmtId="166" fontId="22" fillId="11" borderId="0" xfId="12" applyNumberFormat="1" applyFont="1" applyFill="1"/>
    <xf numFmtId="0" fontId="26" fillId="9" borderId="0" xfId="12" applyFont="1" applyFill="1" applyAlignment="1">
      <alignment horizontal="left" indent="2"/>
    </xf>
    <xf numFmtId="3" fontId="24" fillId="0" borderId="0" xfId="15" applyNumberFormat="1" applyFont="1"/>
    <xf numFmtId="166" fontId="27" fillId="8" borderId="0" xfId="12" applyNumberFormat="1" applyFont="1" applyFill="1"/>
    <xf numFmtId="166" fontId="27" fillId="10" borderId="0" xfId="12" applyNumberFormat="1" applyFont="1" applyFill="1"/>
    <xf numFmtId="166" fontId="18" fillId="0" borderId="0" xfId="12" applyNumberFormat="1"/>
    <xf numFmtId="166" fontId="28" fillId="10" borderId="0" xfId="12" applyNumberFormat="1" applyFont="1" applyFill="1" applyAlignment="1">
      <alignment horizontal="left"/>
    </xf>
    <xf numFmtId="166" fontId="29" fillId="10" borderId="0" xfId="12" applyNumberFormat="1" applyFont="1" applyFill="1" applyAlignment="1">
      <alignment horizontal="left"/>
    </xf>
    <xf numFmtId="1" fontId="23" fillId="10" borderId="0" xfId="12" applyNumberFormat="1" applyFont="1" applyFill="1" applyAlignment="1">
      <alignment horizontal="center"/>
    </xf>
    <xf numFmtId="2" fontId="28" fillId="12" borderId="0" xfId="12" applyNumberFormat="1" applyFont="1" applyFill="1" applyAlignment="1">
      <alignment horizontal="left"/>
    </xf>
    <xf numFmtId="2" fontId="28" fillId="13" borderId="0" xfId="12" applyNumberFormat="1" applyFont="1" applyFill="1" applyAlignment="1">
      <alignment horizontal="left"/>
    </xf>
    <xf numFmtId="2" fontId="28" fillId="14" borderId="0" xfId="12" applyNumberFormat="1" applyFont="1" applyFill="1" applyAlignment="1">
      <alignment horizontal="left"/>
    </xf>
    <xf numFmtId="2" fontId="28" fillId="15" borderId="0" xfId="12" applyNumberFormat="1" applyFont="1" applyFill="1" applyAlignment="1">
      <alignment horizontal="left"/>
    </xf>
    <xf numFmtId="2" fontId="28" fillId="16" borderId="0" xfId="12" applyNumberFormat="1" applyFont="1" applyFill="1" applyAlignment="1">
      <alignment horizontal="left"/>
    </xf>
    <xf numFmtId="2" fontId="28" fillId="17" borderId="0" xfId="12" applyNumberFormat="1" applyFont="1" applyFill="1" applyAlignment="1">
      <alignment horizontal="left"/>
    </xf>
    <xf numFmtId="2" fontId="28" fillId="18" borderId="0" xfId="12" applyNumberFormat="1" applyFont="1" applyFill="1" applyAlignment="1">
      <alignment horizontal="left"/>
    </xf>
    <xf numFmtId="2" fontId="29" fillId="19" borderId="0" xfId="12" applyNumberFormat="1" applyFont="1" applyFill="1" applyAlignment="1">
      <alignment horizontal="left"/>
    </xf>
    <xf numFmtId="2" fontId="29" fillId="20" borderId="0" xfId="12" applyNumberFormat="1" applyFont="1" applyFill="1" applyAlignment="1">
      <alignment horizontal="left"/>
    </xf>
    <xf numFmtId="0" fontId="23" fillId="21" borderId="0" xfId="12" applyFont="1" applyFill="1" applyAlignment="1">
      <alignment horizontal="center"/>
    </xf>
    <xf numFmtId="2" fontId="23" fillId="12" borderId="0" xfId="12" applyNumberFormat="1" applyFont="1" applyFill="1" applyAlignment="1">
      <alignment horizontal="left"/>
    </xf>
    <xf numFmtId="2" fontId="23" fillId="13" borderId="0" xfId="12" applyNumberFormat="1" applyFont="1" applyFill="1" applyAlignment="1">
      <alignment horizontal="left"/>
    </xf>
    <xf numFmtId="2" fontId="23" fillId="14" borderId="0" xfId="12" applyNumberFormat="1" applyFont="1" applyFill="1" applyAlignment="1">
      <alignment horizontal="left"/>
    </xf>
    <xf numFmtId="2" fontId="23" fillId="15" borderId="0" xfId="12" applyNumberFormat="1" applyFont="1" applyFill="1" applyAlignment="1">
      <alignment horizontal="left"/>
    </xf>
    <xf numFmtId="2" fontId="23" fillId="16" borderId="0" xfId="12" applyNumberFormat="1" applyFont="1" applyFill="1" applyAlignment="1">
      <alignment horizontal="left"/>
    </xf>
    <xf numFmtId="2" fontId="23" fillId="17" borderId="0" xfId="12" applyNumberFormat="1" applyFont="1" applyFill="1" applyAlignment="1">
      <alignment horizontal="left"/>
    </xf>
    <xf numFmtId="2" fontId="23" fillId="18" borderId="0" xfId="12" applyNumberFormat="1" applyFont="1" applyFill="1" applyAlignment="1">
      <alignment horizontal="left"/>
    </xf>
    <xf numFmtId="2" fontId="30" fillId="19" borderId="0" xfId="12" applyNumberFormat="1" applyFont="1" applyFill="1" applyAlignment="1">
      <alignment horizontal="left"/>
    </xf>
    <xf numFmtId="2" fontId="30" fillId="20" borderId="0" xfId="12" applyNumberFormat="1" applyFont="1" applyFill="1" applyAlignment="1">
      <alignment horizontal="left"/>
    </xf>
    <xf numFmtId="0" fontId="22" fillId="21" borderId="0" xfId="12" applyFont="1" applyFill="1"/>
    <xf numFmtId="2" fontId="30" fillId="12" borderId="0" xfId="12" applyNumberFormat="1" applyFont="1" applyFill="1" applyAlignment="1">
      <alignment horizontal="left"/>
    </xf>
    <xf numFmtId="0" fontId="31" fillId="21" borderId="0" xfId="12" applyFont="1" applyFill="1"/>
    <xf numFmtId="0" fontId="32" fillId="0" borderId="0" xfId="12" applyFont="1" applyAlignment="1">
      <alignment wrapText="1"/>
    </xf>
    <xf numFmtId="0" fontId="32" fillId="0" borderId="0" xfId="12" applyFont="1" applyAlignment="1">
      <alignment vertical="center" wrapText="1"/>
    </xf>
    <xf numFmtId="0" fontId="22" fillId="17" borderId="0" xfId="12" applyFont="1" applyFill="1"/>
    <xf numFmtId="0" fontId="18" fillId="17" borderId="0" xfId="12" applyFill="1"/>
    <xf numFmtId="0" fontId="33"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7" fillId="0" borderId="0" xfId="0" applyNumberFormat="1" applyFont="1"/>
    <xf numFmtId="165" fontId="20" fillId="0" borderId="0" xfId="13" applyAlignment="1" applyProtection="1"/>
    <xf numFmtId="2" fontId="0" fillId="0" borderId="0" xfId="0" applyNumberFormat="1"/>
    <xf numFmtId="167" fontId="17" fillId="7" borderId="4" xfId="11" applyNumberFormat="1" applyFont="1" applyBorder="1"/>
    <xf numFmtId="165" fontId="17" fillId="0" borderId="0" xfId="0" applyFont="1"/>
    <xf numFmtId="167" fontId="14" fillId="5" borderId="4" xfId="8" applyNumberFormat="1"/>
    <xf numFmtId="2" fontId="13" fillId="4" borderId="3" xfId="7" applyNumberFormat="1"/>
    <xf numFmtId="2" fontId="14"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13" fillId="22" borderId="3" xfId="16" applyNumberFormat="1"/>
    <xf numFmtId="2" fontId="13" fillId="23" borderId="3" xfId="16" applyNumberFormat="1" applyFill="1"/>
    <xf numFmtId="2" fontId="12" fillId="0" borderId="0" xfId="5" applyNumberFormat="1" applyFill="1"/>
    <xf numFmtId="169" fontId="0" fillId="0" borderId="0" xfId="0" applyNumberFormat="1"/>
    <xf numFmtId="9" fontId="13" fillId="22" borderId="3" xfId="16" applyNumberFormat="1"/>
    <xf numFmtId="169" fontId="13" fillId="23" borderId="3" xfId="7" applyNumberFormat="1" applyFill="1"/>
    <xf numFmtId="169" fontId="13" fillId="4" borderId="3" xfId="7" applyNumberFormat="1"/>
    <xf numFmtId="9" fontId="13" fillId="23" borderId="3" xfId="7" applyNumberFormat="1" applyFill="1"/>
    <xf numFmtId="9" fontId="13" fillId="4" borderId="3" xfId="7" applyNumberFormat="1"/>
    <xf numFmtId="3" fontId="0" fillId="0" borderId="0" xfId="0" applyNumberFormat="1"/>
    <xf numFmtId="1" fontId="13" fillId="23" borderId="3" xfId="7" applyNumberFormat="1" applyFill="1"/>
    <xf numFmtId="1" fontId="13" fillId="4" borderId="3" xfId="7" applyNumberFormat="1"/>
    <xf numFmtId="2" fontId="13" fillId="23" borderId="3" xfId="7" applyNumberFormat="1" applyFill="1"/>
    <xf numFmtId="43" fontId="0" fillId="0" borderId="0" xfId="0" applyNumberFormat="1"/>
    <xf numFmtId="9" fontId="13" fillId="0" borderId="3" xfId="2" applyFont="1" applyFill="1" applyBorder="1"/>
    <xf numFmtId="167" fontId="13" fillId="23" borderId="3" xfId="7" applyNumberFormat="1" applyFill="1"/>
    <xf numFmtId="9" fontId="0" fillId="6" borderId="5" xfId="10" applyNumberFormat="1" applyFont="1"/>
    <xf numFmtId="1" fontId="0" fillId="0" borderId="0" xfId="2" applyNumberFormat="1" applyFont="1"/>
    <xf numFmtId="2" fontId="17" fillId="0" borderId="0" xfId="0" applyNumberFormat="1" applyFont="1"/>
    <xf numFmtId="168" fontId="13" fillId="4" borderId="3" xfId="7" applyNumberFormat="1"/>
    <xf numFmtId="9" fontId="12" fillId="2" borderId="3" xfId="5" applyNumberFormat="1" applyBorder="1"/>
    <xf numFmtId="0" fontId="13" fillId="4" borderId="3" xfId="7" applyNumberFormat="1"/>
    <xf numFmtId="165" fontId="38" fillId="0" borderId="0" xfId="0" applyFont="1" applyAlignment="1">
      <alignment horizontal="justify" wrapText="1"/>
    </xf>
    <xf numFmtId="10" fontId="0" fillId="0" borderId="0" xfId="2" applyNumberFormat="1" applyFont="1"/>
    <xf numFmtId="43" fontId="12"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16" fillId="24" borderId="0" xfId="0" applyFont="1" applyFill="1"/>
    <xf numFmtId="2" fontId="16" fillId="24" borderId="0" xfId="0" applyNumberFormat="1" applyFont="1" applyFill="1"/>
    <xf numFmtId="2" fontId="12" fillId="0" borderId="0" xfId="5" applyNumberFormat="1" applyFill="1" applyBorder="1"/>
    <xf numFmtId="9" fontId="16" fillId="24" borderId="0" xfId="2" applyFont="1" applyFill="1"/>
    <xf numFmtId="43" fontId="0" fillId="0" borderId="0" xfId="1" applyFont="1" applyBorder="1"/>
    <xf numFmtId="172" fontId="25" fillId="11" borderId="0" xfId="12" applyNumberFormat="1" applyFont="1" applyFill="1"/>
    <xf numFmtId="172" fontId="22" fillId="0" borderId="0" xfId="12" applyNumberFormat="1" applyFont="1"/>
    <xf numFmtId="2" fontId="12" fillId="0" borderId="6" xfId="5" applyNumberFormat="1" applyFill="1" applyBorder="1"/>
    <xf numFmtId="165" fontId="0" fillId="0" borderId="7" xfId="0" applyBorder="1"/>
    <xf numFmtId="165" fontId="12" fillId="0" borderId="8" xfId="5" applyFill="1" applyBorder="1"/>
    <xf numFmtId="165" fontId="12" fillId="0" borderId="9" xfId="5" applyFill="1" applyBorder="1"/>
    <xf numFmtId="172" fontId="25" fillId="11" borderId="10" xfId="12" applyNumberFormat="1" applyFont="1" applyFill="1" applyBorder="1"/>
    <xf numFmtId="172" fontId="22"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22" fillId="11" borderId="15" xfId="12" applyNumberFormat="1" applyFont="1" applyFill="1" applyBorder="1"/>
    <xf numFmtId="172" fontId="22"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9" fillId="26" borderId="16" xfId="0" applyNumberFormat="1" applyFont="1" applyFill="1" applyBorder="1" applyAlignment="1">
      <alignment horizontal="center"/>
    </xf>
    <xf numFmtId="173" fontId="25" fillId="11" borderId="15" xfId="12" applyNumberFormat="1" applyFont="1" applyFill="1" applyBorder="1"/>
    <xf numFmtId="1" fontId="0" fillId="25" borderId="16" xfId="0" applyNumberFormat="1" applyFill="1" applyBorder="1" applyAlignment="1">
      <alignment horizontal="center"/>
    </xf>
    <xf numFmtId="173" fontId="22" fillId="8" borderId="15" xfId="12" applyNumberFormat="1" applyFont="1" applyFill="1" applyBorder="1"/>
    <xf numFmtId="172" fontId="22" fillId="8" borderId="0" xfId="12" applyNumberFormat="1" applyFont="1" applyFill="1"/>
    <xf numFmtId="172" fontId="22" fillId="8" borderId="15" xfId="12" applyNumberFormat="1" applyFont="1" applyFill="1" applyBorder="1"/>
    <xf numFmtId="43" fontId="0" fillId="0" borderId="14" xfId="0" applyNumberFormat="1" applyBorder="1"/>
    <xf numFmtId="173" fontId="22" fillId="0" borderId="15" xfId="12" applyNumberFormat="1" applyFont="1" applyBorder="1"/>
    <xf numFmtId="167" fontId="17" fillId="0" borderId="16" xfId="2" applyNumberFormat="1" applyFont="1" applyBorder="1"/>
    <xf numFmtId="172" fontId="22" fillId="11" borderId="15" xfId="12" applyNumberFormat="1" applyFont="1" applyFill="1" applyBorder="1"/>
    <xf numFmtId="3" fontId="40" fillId="3" borderId="0" xfId="6" applyNumberFormat="1"/>
    <xf numFmtId="166" fontId="22" fillId="0" borderId="0" xfId="12" applyNumberFormat="1" applyFont="1"/>
    <xf numFmtId="4" fontId="40" fillId="3" borderId="0" xfId="6" applyNumberFormat="1"/>
    <xf numFmtId="167" fontId="17" fillId="27" borderId="16" xfId="2" applyNumberFormat="1" applyFont="1" applyFill="1" applyBorder="1"/>
    <xf numFmtId="165" fontId="0" fillId="0" borderId="0" xfId="0" applyAlignment="1">
      <alignment horizontal="right"/>
    </xf>
    <xf numFmtId="172" fontId="22" fillId="11" borderId="0" xfId="12" applyNumberFormat="1" applyFont="1" applyFill="1"/>
    <xf numFmtId="174" fontId="12" fillId="2" borderId="0" xfId="5" applyNumberFormat="1"/>
    <xf numFmtId="167" fontId="22" fillId="11" borderId="0" xfId="2" applyNumberFormat="1" applyFont="1" applyFill="1"/>
    <xf numFmtId="170" fontId="0" fillId="0" borderId="0" xfId="1" applyNumberFormat="1" applyFont="1" applyFill="1" applyBorder="1"/>
    <xf numFmtId="169" fontId="40" fillId="0" borderId="0" xfId="6" applyNumberFormat="1" applyFill="1"/>
    <xf numFmtId="9" fontId="22" fillId="11" borderId="0" xfId="2" applyFont="1" applyFill="1"/>
    <xf numFmtId="9" fontId="22" fillId="0" borderId="0" xfId="2" applyFont="1" applyFill="1"/>
    <xf numFmtId="174" fontId="22" fillId="0" borderId="0" xfId="12" applyNumberFormat="1" applyFont="1"/>
    <xf numFmtId="167" fontId="22" fillId="0" borderId="15" xfId="2" applyNumberFormat="1" applyFont="1" applyFill="1" applyBorder="1"/>
    <xf numFmtId="167" fontId="22" fillId="8" borderId="15" xfId="2" applyNumberFormat="1" applyFont="1" applyFill="1" applyBorder="1"/>
    <xf numFmtId="167" fontId="22" fillId="0" borderId="0" xfId="2" applyNumberFormat="1" applyFont="1" applyFill="1"/>
    <xf numFmtId="172" fontId="15" fillId="5" borderId="3" xfId="9" applyNumberFormat="1"/>
    <xf numFmtId="165" fontId="15"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22" fillId="8" borderId="22" xfId="12" applyNumberFormat="1" applyFont="1" applyFill="1" applyBorder="1"/>
    <xf numFmtId="165" fontId="40" fillId="3" borderId="0" xfId="6" applyNumberFormat="1"/>
    <xf numFmtId="165" fontId="40" fillId="3" borderId="0" xfId="6"/>
    <xf numFmtId="165" fontId="41" fillId="24" borderId="0" xfId="0" applyFont="1" applyFill="1"/>
    <xf numFmtId="0" fontId="46" fillId="0" borderId="0" xfId="0" applyNumberFormat="1" applyFont="1"/>
    <xf numFmtId="168" fontId="0" fillId="0" borderId="0" xfId="2" applyNumberFormat="1" applyFont="1" applyFill="1"/>
    <xf numFmtId="1" fontId="0" fillId="0" borderId="0" xfId="1" applyNumberFormat="1" applyFont="1" applyFill="1"/>
    <xf numFmtId="170" fontId="0" fillId="0" borderId="0" xfId="1" applyNumberFormat="1" applyFont="1" applyFill="1"/>
    <xf numFmtId="0" fontId="16"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6" fillId="0" borderId="0" xfId="1" applyNumberFormat="1" applyFont="1" applyFill="1"/>
    <xf numFmtId="168" fontId="16" fillId="0" borderId="0" xfId="2" applyNumberFormat="1" applyFont="1" applyFill="1"/>
    <xf numFmtId="165" fontId="16" fillId="0" borderId="0" xfId="0" applyFont="1"/>
    <xf numFmtId="0" fontId="0" fillId="0" borderId="0" xfId="2" applyNumberFormat="1" applyFont="1" applyFill="1"/>
    <xf numFmtId="0" fontId="13"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13" fillId="0" borderId="36" xfId="7" applyNumberFormat="1" applyFill="1" applyBorder="1"/>
    <xf numFmtId="0" fontId="13" fillId="0" borderId="37" xfId="7" applyNumberFormat="1" applyFill="1" applyBorder="1"/>
    <xf numFmtId="0" fontId="13"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13"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11" fillId="0" borderId="0" xfId="4" applyNumberFormat="1" applyFill="1" applyBorder="1"/>
    <xf numFmtId="0" fontId="11" fillId="0" borderId="2" xfId="4" applyNumberFormat="1" applyFill="1"/>
    <xf numFmtId="0" fontId="47"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8"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9" fillId="0" borderId="0" xfId="19" applyNumberFormat="1"/>
    <xf numFmtId="2" fontId="9" fillId="0" borderId="0" xfId="20" applyNumberFormat="1"/>
    <xf numFmtId="2" fontId="16" fillId="0" borderId="0" xfId="19" applyNumberFormat="1" applyFont="1"/>
    <xf numFmtId="1" fontId="16" fillId="0" borderId="0" xfId="1" applyNumberFormat="1" applyFont="1" applyFill="1"/>
    <xf numFmtId="10" fontId="0" fillId="0" borderId="0" xfId="2" applyNumberFormat="1" applyFont="1" applyFill="1"/>
    <xf numFmtId="171" fontId="0" fillId="0" borderId="0" xfId="18" applyNumberFormat="1" applyFont="1" applyFill="1"/>
    <xf numFmtId="0" fontId="9"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7" fillId="0" borderId="0" xfId="0" applyNumberFormat="1" applyFont="1" applyAlignment="1">
      <alignment wrapText="1"/>
    </xf>
    <xf numFmtId="0" fontId="16" fillId="23" borderId="0" xfId="0" applyNumberFormat="1" applyFont="1" applyFill="1"/>
    <xf numFmtId="0" fontId="11" fillId="0" borderId="2" xfId="4" applyNumberFormat="1"/>
    <xf numFmtId="180" fontId="0" fillId="0" borderId="0" xfId="0" applyNumberFormat="1"/>
    <xf numFmtId="0" fontId="10" fillId="0" borderId="1" xfId="3" applyNumberFormat="1"/>
    <xf numFmtId="0" fontId="13" fillId="6" borderId="16" xfId="10" applyNumberFormat="1" applyFont="1" applyBorder="1" applyAlignment="1">
      <alignment horizontal="right"/>
    </xf>
    <xf numFmtId="0" fontId="17" fillId="23" borderId="16" xfId="0" applyNumberFormat="1" applyFont="1" applyFill="1" applyBorder="1"/>
    <xf numFmtId="0" fontId="0" fillId="23" borderId="43" xfId="0" applyNumberFormat="1" applyFill="1" applyBorder="1" applyAlignment="1">
      <alignment horizontal="center"/>
    </xf>
    <xf numFmtId="0" fontId="13"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13"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50" fillId="0" borderId="0" xfId="0" applyFont="1" applyAlignment="1">
      <alignment horizontal="left" vertical="center"/>
    </xf>
    <xf numFmtId="0" fontId="0" fillId="0" borderId="0" xfId="2" applyNumberFormat="1" applyFont="1" applyAlignment="1">
      <alignment horizontal="center" vertical="center"/>
    </xf>
    <xf numFmtId="0" fontId="13" fillId="6" borderId="46" xfId="10" applyNumberFormat="1" applyFont="1" applyBorder="1" applyAlignment="1">
      <alignment horizontal="center"/>
    </xf>
    <xf numFmtId="0" fontId="13" fillId="31" borderId="47" xfId="7" applyNumberFormat="1" applyFill="1" applyBorder="1" applyAlignment="1">
      <alignment horizontal="center"/>
    </xf>
    <xf numFmtId="0" fontId="13" fillId="6" borderId="48" xfId="10" applyNumberFormat="1" applyFont="1" applyBorder="1" applyAlignment="1">
      <alignment horizontal="center"/>
    </xf>
    <xf numFmtId="0" fontId="13" fillId="6" borderId="49" xfId="10" applyNumberFormat="1" applyFont="1" applyBorder="1" applyAlignment="1">
      <alignment horizontal="center"/>
    </xf>
    <xf numFmtId="0" fontId="13"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52"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52" fillId="0" borderId="0" xfId="21" applyFont="1" applyAlignment="1">
      <alignment horizontal="left" vertical="top"/>
    </xf>
    <xf numFmtId="0" fontId="39" fillId="0" borderId="0" xfId="22" applyNumberFormat="1" applyFont="1"/>
    <xf numFmtId="0" fontId="53" fillId="0" borderId="0" xfId="0" applyNumberFormat="1" applyFont="1"/>
    <xf numFmtId="165" fontId="54" fillId="0" borderId="0" xfId="0" applyFont="1" applyAlignment="1">
      <alignment horizontal="left" vertical="center" indent="12"/>
    </xf>
    <xf numFmtId="0" fontId="56" fillId="0" borderId="54" xfId="23" applyFont="1" applyBorder="1" applyAlignment="1">
      <alignment vertical="center" wrapText="1"/>
    </xf>
    <xf numFmtId="1" fontId="56" fillId="0" borderId="55" xfId="23" applyNumberFormat="1" applyFont="1" applyBorder="1" applyAlignment="1">
      <alignment horizontal="center" vertical="center" wrapText="1"/>
    </xf>
    <xf numFmtId="10" fontId="57" fillId="0" borderId="55" xfId="23" applyNumberFormat="1" applyFont="1" applyBorder="1" applyAlignment="1">
      <alignment horizontal="center" vertical="center" wrapText="1"/>
    </xf>
    <xf numFmtId="169" fontId="53" fillId="0" borderId="0" xfId="0" applyNumberFormat="1" applyFont="1"/>
    <xf numFmtId="0" fontId="56" fillId="0" borderId="56" xfId="23" applyFont="1" applyBorder="1" applyAlignment="1">
      <alignment vertical="center" wrapText="1"/>
    </xf>
    <xf numFmtId="1" fontId="56" fillId="0" borderId="57" xfId="23" applyNumberFormat="1" applyFont="1" applyBorder="1" applyAlignment="1">
      <alignment horizontal="center" vertical="center" wrapText="1"/>
    </xf>
    <xf numFmtId="0" fontId="57" fillId="0" borderId="56" xfId="23" applyFont="1" applyBorder="1" applyAlignment="1">
      <alignment vertical="center" wrapText="1"/>
    </xf>
    <xf numFmtId="1" fontId="57" fillId="0" borderId="57" xfId="23" applyNumberFormat="1" applyFont="1" applyBorder="1" applyAlignment="1">
      <alignment horizontal="left" vertical="center" wrapText="1" indent="1"/>
    </xf>
    <xf numFmtId="10" fontId="57" fillId="0" borderId="57" xfId="23" applyNumberFormat="1" applyFont="1" applyBorder="1" applyAlignment="1">
      <alignment horizontal="left" vertical="center" wrapText="1" indent="1"/>
    </xf>
    <xf numFmtId="0" fontId="58" fillId="0" borderId="58" xfId="23" applyFont="1" applyBorder="1" applyAlignment="1">
      <alignment vertical="center" wrapText="1"/>
    </xf>
    <xf numFmtId="0" fontId="58" fillId="0" borderId="59" xfId="23" applyFont="1" applyBorder="1" applyAlignment="1">
      <alignment vertical="center" wrapText="1"/>
    </xf>
    <xf numFmtId="0" fontId="58" fillId="0" borderId="55" xfId="23" applyFont="1" applyBorder="1" applyAlignment="1">
      <alignment vertical="center" wrapText="1"/>
    </xf>
    <xf numFmtId="10" fontId="0" fillId="0" borderId="0" xfId="0" applyNumberFormat="1"/>
    <xf numFmtId="1" fontId="16" fillId="0" borderId="0" xfId="0" applyNumberFormat="1" applyFont="1"/>
    <xf numFmtId="2" fontId="0" fillId="0" borderId="42" xfId="0" applyNumberFormat="1" applyBorder="1"/>
    <xf numFmtId="9" fontId="0" fillId="0" borderId="42" xfId="2" applyFont="1" applyBorder="1"/>
    <xf numFmtId="165" fontId="59" fillId="0" borderId="60" xfId="0" applyFont="1" applyBorder="1" applyAlignment="1">
      <alignment vertical="center" wrapText="1"/>
    </xf>
    <xf numFmtId="165" fontId="60" fillId="0" borderId="61" xfId="0" applyFont="1" applyBorder="1" applyAlignment="1">
      <alignment horizontal="center" vertical="center" wrapText="1"/>
    </xf>
    <xf numFmtId="165" fontId="60" fillId="0" borderId="61" xfId="0" applyFont="1" applyBorder="1" applyAlignment="1">
      <alignment horizontal="left" vertical="center" wrapText="1" indent="3"/>
    </xf>
    <xf numFmtId="165" fontId="60" fillId="0" borderId="56" xfId="0" applyFont="1" applyBorder="1" applyAlignment="1">
      <alignment horizontal="center" vertical="center" wrapText="1"/>
    </xf>
    <xf numFmtId="165" fontId="60" fillId="0" borderId="57" xfId="0" applyFont="1" applyBorder="1" applyAlignment="1">
      <alignment horizontal="center" vertical="center" wrapText="1"/>
    </xf>
    <xf numFmtId="165" fontId="60" fillId="0" borderId="57" xfId="0" applyFont="1" applyBorder="1" applyAlignment="1">
      <alignment horizontal="left" vertical="center" wrapText="1" indent="2"/>
    </xf>
    <xf numFmtId="165" fontId="60"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9" fillId="0" borderId="56" xfId="0" applyFont="1" applyBorder="1" applyAlignment="1">
      <alignment vertical="center" wrapText="1"/>
    </xf>
    <xf numFmtId="1" fontId="59" fillId="0" borderId="57" xfId="0" applyNumberFormat="1" applyFont="1" applyBorder="1" applyAlignment="1">
      <alignment horizontal="center" vertical="center" wrapText="1"/>
    </xf>
    <xf numFmtId="165" fontId="59" fillId="0" borderId="57" xfId="0" applyFont="1" applyBorder="1" applyAlignment="1">
      <alignment horizontal="left" vertical="center" wrapText="1" indent="2"/>
    </xf>
    <xf numFmtId="165" fontId="59" fillId="0" borderId="57" xfId="0" applyFont="1" applyBorder="1" applyAlignment="1">
      <alignment vertical="center" wrapText="1"/>
    </xf>
    <xf numFmtId="1" fontId="59" fillId="0" borderId="60" xfId="0" applyNumberFormat="1" applyFont="1" applyBorder="1" applyAlignment="1">
      <alignment vertical="center" wrapText="1"/>
    </xf>
    <xf numFmtId="1" fontId="61" fillId="34" borderId="16" xfId="0" applyNumberFormat="1" applyFont="1" applyFill="1" applyBorder="1"/>
    <xf numFmtId="165" fontId="60"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62" fillId="35" borderId="51" xfId="0" applyFont="1" applyFill="1" applyBorder="1"/>
    <xf numFmtId="165" fontId="63" fillId="35" borderId="52" xfId="0" applyFont="1" applyFill="1" applyBorder="1"/>
    <xf numFmtId="165" fontId="64" fillId="35" borderId="52" xfId="0" applyFont="1" applyFill="1" applyBorder="1"/>
    <xf numFmtId="165" fontId="63" fillId="35" borderId="53" xfId="0" applyFont="1" applyFill="1" applyBorder="1"/>
    <xf numFmtId="165" fontId="61" fillId="34" borderId="16" xfId="0" applyFont="1" applyFill="1" applyBorder="1"/>
    <xf numFmtId="165" fontId="52" fillId="0" borderId="16" xfId="0" applyFont="1" applyBorder="1" applyAlignment="1">
      <alignment horizontal="left" vertical="top"/>
    </xf>
    <xf numFmtId="181" fontId="0" fillId="33" borderId="16" xfId="0" applyNumberFormat="1" applyFill="1" applyBorder="1"/>
    <xf numFmtId="165" fontId="60" fillId="0" borderId="56" xfId="0" applyFont="1" applyBorder="1" applyAlignment="1">
      <alignment horizontal="left" vertical="center" wrapText="1" indent="4"/>
    </xf>
    <xf numFmtId="165" fontId="59" fillId="0" borderId="0" xfId="0" applyFont="1" applyAlignment="1">
      <alignment vertical="center" wrapText="1"/>
    </xf>
    <xf numFmtId="1" fontId="59" fillId="0" borderId="0" xfId="0" applyNumberFormat="1" applyFont="1" applyAlignment="1">
      <alignment horizontal="center" vertical="center" wrapText="1"/>
    </xf>
    <xf numFmtId="165" fontId="59" fillId="0" borderId="0" xfId="0" applyFont="1" applyAlignment="1">
      <alignment horizontal="left" vertical="center" wrapText="1" indent="2"/>
    </xf>
    <xf numFmtId="165" fontId="65" fillId="0" borderId="16" xfId="0" applyFont="1" applyBorder="1" applyAlignment="1">
      <alignment horizontal="left" vertical="top"/>
    </xf>
    <xf numFmtId="181" fontId="66" fillId="33" borderId="16" xfId="0" applyNumberFormat="1" applyFont="1" applyFill="1" applyBorder="1"/>
    <xf numFmtId="165" fontId="67" fillId="31" borderId="16" xfId="0" applyFont="1" applyFill="1" applyBorder="1" applyProtection="1">
      <protection locked="0"/>
    </xf>
    <xf numFmtId="165" fontId="68" fillId="33" borderId="0" xfId="0" applyFont="1" applyFill="1"/>
    <xf numFmtId="165" fontId="0" fillId="33" borderId="0" xfId="0" applyFill="1"/>
    <xf numFmtId="4" fontId="0" fillId="33" borderId="16" xfId="0" applyNumberFormat="1" applyFill="1" applyBorder="1"/>
    <xf numFmtId="4" fontId="66" fillId="0" borderId="16" xfId="0" applyNumberFormat="1" applyFont="1" applyBorder="1"/>
    <xf numFmtId="165" fontId="69" fillId="33" borderId="0" xfId="0" applyFont="1" applyFill="1"/>
    <xf numFmtId="10" fontId="69" fillId="33" borderId="0" xfId="24" applyNumberFormat="1" applyFont="1" applyFill="1"/>
    <xf numFmtId="9" fontId="0" fillId="36" borderId="0" xfId="2" applyFont="1" applyFill="1"/>
    <xf numFmtId="0" fontId="0" fillId="0" borderId="0" xfId="25" applyFont="1"/>
    <xf numFmtId="0" fontId="9" fillId="0" borderId="0" xfId="25"/>
    <xf numFmtId="11" fontId="0" fillId="0" borderId="0" xfId="0" applyNumberFormat="1"/>
    <xf numFmtId="9" fontId="0" fillId="36" borderId="0" xfId="0" applyNumberFormat="1" applyFill="1"/>
    <xf numFmtId="0" fontId="0" fillId="36" borderId="0" xfId="0" applyNumberFormat="1" applyFill="1"/>
    <xf numFmtId="0" fontId="70" fillId="0" borderId="0" xfId="26" applyAlignment="1">
      <alignment horizontal="left" vertical="top"/>
    </xf>
    <xf numFmtId="0" fontId="71" fillId="0" borderId="0" xfId="26" applyFont="1" applyAlignment="1">
      <alignment horizontal="left" vertical="top"/>
    </xf>
    <xf numFmtId="4" fontId="51" fillId="0" borderId="51" xfId="27" applyNumberFormat="1" applyBorder="1"/>
    <xf numFmtId="4" fontId="51" fillId="0" borderId="51" xfId="28" applyNumberFormat="1" applyBorder="1"/>
    <xf numFmtId="4" fontId="51" fillId="0" borderId="51" xfId="29" applyNumberFormat="1" applyBorder="1"/>
    <xf numFmtId="4" fontId="51" fillId="0" borderId="51" xfId="30" applyNumberFormat="1" applyBorder="1"/>
    <xf numFmtId="4" fontId="51" fillId="0" borderId="51" xfId="31" applyNumberFormat="1" applyBorder="1"/>
    <xf numFmtId="0" fontId="67" fillId="0" borderId="16" xfId="32" applyFont="1" applyBorder="1"/>
    <xf numFmtId="2" fontId="0" fillId="0" borderId="0" xfId="33" applyNumberFormat="1" applyFont="1" applyFill="1" applyBorder="1" applyAlignment="1">
      <alignment horizontal="left" vertical="top"/>
    </xf>
    <xf numFmtId="181" fontId="66" fillId="0" borderId="51" xfId="34" applyNumberFormat="1" applyFont="1" applyBorder="1"/>
    <xf numFmtId="181" fontId="72" fillId="0" borderId="51" xfId="21" applyNumberFormat="1" applyFont="1" applyBorder="1"/>
    <xf numFmtId="181" fontId="66" fillId="0" borderId="51" xfId="35" applyNumberFormat="1" applyFont="1" applyBorder="1"/>
    <xf numFmtId="181" fontId="66" fillId="0" borderId="51" xfId="36" applyNumberFormat="1" applyFont="1" applyBorder="1"/>
    <xf numFmtId="181" fontId="66" fillId="0" borderId="51" xfId="37" applyNumberFormat="1" applyFont="1" applyBorder="1"/>
    <xf numFmtId="181" fontId="66" fillId="0" borderId="51" xfId="38" applyNumberFormat="1" applyFont="1" applyBorder="1"/>
    <xf numFmtId="0" fontId="52" fillId="0" borderId="16" xfId="39" applyFont="1" applyBorder="1" applyAlignment="1">
      <alignment horizontal="left" vertical="top"/>
    </xf>
    <xf numFmtId="0" fontId="61" fillId="34" borderId="45" xfId="27" applyFont="1" applyFill="1" applyBorder="1"/>
    <xf numFmtId="0" fontId="61" fillId="34" borderId="45" xfId="28" applyFont="1" applyFill="1" applyBorder="1"/>
    <xf numFmtId="0" fontId="61" fillId="34" borderId="45" xfId="29" applyFont="1" applyFill="1" applyBorder="1"/>
    <xf numFmtId="0" fontId="61" fillId="34" borderId="45" xfId="30" applyFont="1" applyFill="1" applyBorder="1"/>
    <xf numFmtId="0" fontId="61" fillId="34" borderId="45" xfId="31" applyFont="1" applyFill="1" applyBorder="1"/>
    <xf numFmtId="0" fontId="61" fillId="34" borderId="38" xfId="32" applyFont="1" applyFill="1" applyBorder="1"/>
    <xf numFmtId="0" fontId="61" fillId="34" borderId="40" xfId="34" applyFont="1" applyFill="1" applyBorder="1" applyAlignment="1">
      <alignment wrapText="1"/>
    </xf>
    <xf numFmtId="0" fontId="61" fillId="34" borderId="40" xfId="35" applyFont="1" applyFill="1" applyBorder="1" applyAlignment="1">
      <alignment wrapText="1"/>
    </xf>
    <xf numFmtId="0" fontId="61" fillId="34" borderId="40" xfId="36" applyFont="1" applyFill="1" applyBorder="1" applyAlignment="1">
      <alignment wrapText="1"/>
    </xf>
    <xf numFmtId="0" fontId="72" fillId="34" borderId="40" xfId="37" applyFont="1" applyFill="1" applyBorder="1" applyAlignment="1">
      <alignment wrapText="1"/>
    </xf>
    <xf numFmtId="0" fontId="61" fillId="34" borderId="40" xfId="37" applyFont="1" applyFill="1" applyBorder="1" applyAlignment="1">
      <alignment wrapText="1"/>
    </xf>
    <xf numFmtId="0" fontId="61" fillId="34" borderId="40" xfId="38" applyFont="1" applyFill="1" applyBorder="1" applyAlignment="1">
      <alignment wrapText="1"/>
    </xf>
    <xf numFmtId="0" fontId="61" fillId="34" borderId="38" xfId="39" applyFont="1" applyFill="1" applyBorder="1"/>
    <xf numFmtId="0" fontId="62" fillId="35" borderId="51" xfId="21" applyFont="1" applyFill="1" applyBorder="1"/>
    <xf numFmtId="0" fontId="62" fillId="35" borderId="51" xfId="40" applyFont="1" applyFill="1" applyBorder="1"/>
    <xf numFmtId="0" fontId="62" fillId="35" borderId="0" xfId="21" applyFont="1" applyFill="1"/>
    <xf numFmtId="0" fontId="73" fillId="35" borderId="51" xfId="21" applyFont="1" applyFill="1" applyBorder="1"/>
    <xf numFmtId="0" fontId="62" fillId="35" borderId="51" xfId="39" applyFont="1" applyFill="1" applyBorder="1"/>
    <xf numFmtId="0" fontId="67" fillId="31" borderId="16" xfId="40" applyFont="1" applyFill="1" applyBorder="1" applyProtection="1">
      <protection locked="0"/>
    </xf>
    <xf numFmtId="10" fontId="74" fillId="37" borderId="0" xfId="41" applyNumberFormat="1" applyFont="1" applyFill="1" applyProtection="1">
      <protection locked="0"/>
    </xf>
    <xf numFmtId="10" fontId="51" fillId="37" borderId="16" xfId="41" applyNumberFormat="1" applyFill="1" applyBorder="1" applyProtection="1">
      <protection locked="0"/>
    </xf>
    <xf numFmtId="0" fontId="51" fillId="0" borderId="16" xfId="41" applyBorder="1"/>
    <xf numFmtId="0" fontId="67" fillId="31" borderId="16" xfId="39" applyFont="1" applyFill="1" applyBorder="1" applyProtection="1">
      <protection locked="0"/>
    </xf>
    <xf numFmtId="4" fontId="51" fillId="0" borderId="51" xfId="42" applyNumberFormat="1" applyBorder="1"/>
    <xf numFmtId="4" fontId="51" fillId="0" borderId="51" xfId="43" applyNumberFormat="1" applyBorder="1"/>
    <xf numFmtId="4" fontId="51" fillId="0" borderId="51" xfId="44" applyNumberFormat="1" applyBorder="1"/>
    <xf numFmtId="4" fontId="51" fillId="0" borderId="51" xfId="45" applyNumberFormat="1" applyBorder="1"/>
    <xf numFmtId="4" fontId="51" fillId="0" borderId="51" xfId="46" applyNumberFormat="1" applyBorder="1"/>
    <xf numFmtId="0" fontId="67" fillId="0" borderId="16" xfId="40" applyFont="1" applyBorder="1"/>
    <xf numFmtId="181" fontId="66" fillId="0" borderId="51" xfId="47" applyNumberFormat="1" applyFont="1" applyBorder="1"/>
    <xf numFmtId="181" fontId="66" fillId="0" borderId="51" xfId="48" applyNumberFormat="1" applyFont="1" applyBorder="1"/>
    <xf numFmtId="181" fontId="66" fillId="0" borderId="51" xfId="49" applyNumberFormat="1" applyFont="1" applyBorder="1"/>
    <xf numFmtId="181" fontId="66" fillId="0" borderId="51" xfId="50" applyNumberFormat="1" applyFont="1" applyBorder="1"/>
    <xf numFmtId="181" fontId="66" fillId="0" borderId="51" xfId="51" applyNumberFormat="1" applyFont="1" applyBorder="1"/>
    <xf numFmtId="0" fontId="52" fillId="0" borderId="16" xfId="52" applyFont="1" applyBorder="1" applyAlignment="1">
      <alignment horizontal="left" vertical="top"/>
    </xf>
    <xf numFmtId="4" fontId="51" fillId="38" borderId="51" xfId="42" applyNumberFormat="1" applyFill="1" applyBorder="1"/>
    <xf numFmtId="4" fontId="51" fillId="38" borderId="51" xfId="43" applyNumberFormat="1" applyFill="1" applyBorder="1"/>
    <xf numFmtId="4" fontId="51" fillId="38" borderId="51" xfId="44" applyNumberFormat="1" applyFill="1" applyBorder="1"/>
    <xf numFmtId="4" fontId="51" fillId="38" borderId="51" xfId="45" applyNumberFormat="1" applyFill="1" applyBorder="1"/>
    <xf numFmtId="4" fontId="51" fillId="38" borderId="51" xfId="46" applyNumberFormat="1" applyFill="1" applyBorder="1"/>
    <xf numFmtId="181" fontId="66" fillId="38" borderId="51" xfId="47" applyNumberFormat="1" applyFont="1" applyFill="1" applyBorder="1"/>
    <xf numFmtId="181" fontId="66" fillId="38" borderId="51" xfId="48" applyNumberFormat="1" applyFont="1" applyFill="1" applyBorder="1"/>
    <xf numFmtId="181" fontId="66" fillId="38" borderId="51" xfId="49" applyNumberFormat="1" applyFont="1" applyFill="1" applyBorder="1"/>
    <xf numFmtId="181" fontId="72" fillId="38" borderId="51" xfId="50" applyNumberFormat="1" applyFont="1" applyFill="1" applyBorder="1"/>
    <xf numFmtId="181" fontId="66" fillId="38" borderId="51" xfId="50" applyNumberFormat="1" applyFont="1" applyFill="1" applyBorder="1"/>
    <xf numFmtId="181" fontId="66" fillId="38" borderId="51" xfId="51" applyNumberFormat="1" applyFont="1" applyFill="1" applyBorder="1"/>
    <xf numFmtId="0" fontId="61" fillId="34" borderId="45" xfId="42" applyFont="1" applyFill="1" applyBorder="1"/>
    <xf numFmtId="0" fontId="61" fillId="34" borderId="45" xfId="43" applyFont="1" applyFill="1" applyBorder="1"/>
    <xf numFmtId="0" fontId="61" fillId="34" borderId="45" xfId="44" applyFont="1" applyFill="1" applyBorder="1"/>
    <xf numFmtId="0" fontId="61" fillId="34" borderId="45" xfId="45" applyFont="1" applyFill="1" applyBorder="1"/>
    <xf numFmtId="0" fontId="61" fillId="34" borderId="45" xfId="46" applyFont="1" applyFill="1" applyBorder="1"/>
    <xf numFmtId="0" fontId="61" fillId="34" borderId="38" xfId="40" applyFont="1" applyFill="1" applyBorder="1"/>
    <xf numFmtId="0" fontId="61" fillId="34" borderId="40" xfId="47" applyFont="1" applyFill="1" applyBorder="1" applyAlignment="1">
      <alignment wrapText="1"/>
    </xf>
    <xf numFmtId="0" fontId="61" fillId="34" borderId="40" xfId="48" applyFont="1" applyFill="1" applyBorder="1" applyAlignment="1">
      <alignment wrapText="1"/>
    </xf>
    <xf numFmtId="0" fontId="61" fillId="34" borderId="40" xfId="49" applyFont="1" applyFill="1" applyBorder="1" applyAlignment="1">
      <alignment wrapText="1"/>
    </xf>
    <xf numFmtId="0" fontId="72" fillId="34" borderId="40" xfId="50" applyFont="1" applyFill="1" applyBorder="1" applyAlignment="1">
      <alignment wrapText="1"/>
    </xf>
    <xf numFmtId="0" fontId="61" fillId="34" borderId="40" xfId="50" applyFont="1" applyFill="1" applyBorder="1" applyAlignment="1">
      <alignment wrapText="1"/>
    </xf>
    <xf numFmtId="0" fontId="61" fillId="34" borderId="40" xfId="51" applyFont="1" applyFill="1" applyBorder="1" applyAlignment="1">
      <alignment wrapText="1"/>
    </xf>
    <xf numFmtId="0" fontId="61" fillId="34" borderId="38" xfId="52" applyFont="1" applyFill="1" applyBorder="1"/>
    <xf numFmtId="0" fontId="62" fillId="35" borderId="51" xfId="52" applyFont="1" applyFill="1" applyBorder="1"/>
    <xf numFmtId="0" fontId="67" fillId="31" borderId="16" xfId="41" applyFont="1" applyFill="1" applyBorder="1" applyProtection="1">
      <protection locked="0"/>
    </xf>
    <xf numFmtId="4" fontId="51" fillId="0" borderId="51" xfId="53" applyNumberFormat="1" applyBorder="1"/>
    <xf numFmtId="4" fontId="51" fillId="0" borderId="51" xfId="54" applyNumberFormat="1" applyBorder="1"/>
    <xf numFmtId="4" fontId="51" fillId="0" borderId="51" xfId="55" applyNumberFormat="1" applyBorder="1"/>
    <xf numFmtId="4" fontId="51" fillId="0" borderId="51" xfId="56" applyNumberFormat="1" applyBorder="1"/>
    <xf numFmtId="4" fontId="51" fillId="0" borderId="51" xfId="57" applyNumberFormat="1" applyBorder="1"/>
    <xf numFmtId="0" fontId="67" fillId="0" borderId="16" xfId="58" applyFont="1" applyBorder="1"/>
    <xf numFmtId="181" fontId="66" fillId="0" borderId="51" xfId="59" applyNumberFormat="1" applyFont="1" applyBorder="1"/>
    <xf numFmtId="181" fontId="66" fillId="0" borderId="51" xfId="60" applyNumberFormat="1" applyFont="1" applyBorder="1"/>
    <xf numFmtId="181" fontId="66" fillId="0" borderId="51" xfId="61" applyNumberFormat="1" applyFont="1" applyBorder="1"/>
    <xf numFmtId="181" fontId="66" fillId="0" borderId="51" xfId="62" applyNumberFormat="1" applyFont="1" applyBorder="1"/>
    <xf numFmtId="181" fontId="66" fillId="0" borderId="51" xfId="63" applyNumberFormat="1" applyFont="1" applyBorder="1"/>
    <xf numFmtId="0" fontId="52" fillId="0" borderId="16" xfId="64" applyFont="1" applyBorder="1" applyAlignment="1">
      <alignment horizontal="left" vertical="top"/>
    </xf>
    <xf numFmtId="4" fontId="51" fillId="38" borderId="51" xfId="53" applyNumberFormat="1" applyFill="1" applyBorder="1"/>
    <xf numFmtId="4" fontId="51" fillId="38" borderId="51" xfId="54" applyNumberFormat="1" applyFill="1" applyBorder="1"/>
    <xf numFmtId="4" fontId="51" fillId="38" borderId="51" xfId="55" applyNumberFormat="1" applyFill="1" applyBorder="1"/>
    <xf numFmtId="4" fontId="51" fillId="38" borderId="51" xfId="56" applyNumberFormat="1" applyFill="1" applyBorder="1"/>
    <xf numFmtId="4" fontId="51" fillId="38" borderId="51" xfId="57" applyNumberFormat="1" applyFill="1" applyBorder="1"/>
    <xf numFmtId="181" fontId="66" fillId="38" borderId="51" xfId="59" applyNumberFormat="1" applyFont="1" applyFill="1" applyBorder="1"/>
    <xf numFmtId="181" fontId="66" fillId="38" borderId="51" xfId="60" applyNumberFormat="1" applyFont="1" applyFill="1" applyBorder="1"/>
    <xf numFmtId="181" fontId="66" fillId="38" borderId="51" xfId="61" applyNumberFormat="1" applyFont="1" applyFill="1" applyBorder="1"/>
    <xf numFmtId="181" fontId="72" fillId="38" borderId="51" xfId="62" applyNumberFormat="1" applyFont="1" applyFill="1" applyBorder="1"/>
    <xf numFmtId="181" fontId="66" fillId="38" borderId="51" xfId="62" applyNumberFormat="1" applyFont="1" applyFill="1" applyBorder="1"/>
    <xf numFmtId="181" fontId="66" fillId="38" borderId="51" xfId="63" applyNumberFormat="1" applyFont="1" applyFill="1" applyBorder="1"/>
    <xf numFmtId="9" fontId="0" fillId="0" borderId="0" xfId="33" applyFont="1" applyFill="1" applyBorder="1" applyAlignment="1">
      <alignment horizontal="left" vertical="top"/>
    </xf>
    <xf numFmtId="0" fontId="61" fillId="34" borderId="45" xfId="53" applyFont="1" applyFill="1" applyBorder="1"/>
    <xf numFmtId="0" fontId="61" fillId="34" borderId="45" xfId="54" applyFont="1" applyFill="1" applyBorder="1"/>
    <xf numFmtId="0" fontId="61" fillId="34" borderId="45" xfId="56" applyFont="1" applyFill="1" applyBorder="1"/>
    <xf numFmtId="0" fontId="61" fillId="34" borderId="45" xfId="57" applyFont="1" applyFill="1" applyBorder="1"/>
    <xf numFmtId="0" fontId="61" fillId="34" borderId="38" xfId="58" applyFont="1" applyFill="1" applyBorder="1"/>
    <xf numFmtId="0" fontId="61" fillId="34" borderId="40" xfId="59" applyFont="1" applyFill="1" applyBorder="1" applyAlignment="1">
      <alignment wrapText="1"/>
    </xf>
    <xf numFmtId="0" fontId="61" fillId="34" borderId="40" xfId="60" applyFont="1" applyFill="1" applyBorder="1" applyAlignment="1">
      <alignment wrapText="1"/>
    </xf>
    <xf numFmtId="0" fontId="61" fillId="34" borderId="40" xfId="61" applyFont="1" applyFill="1" applyBorder="1" applyAlignment="1">
      <alignment wrapText="1"/>
    </xf>
    <xf numFmtId="0" fontId="72" fillId="34" borderId="40" xfId="62" applyFont="1" applyFill="1" applyBorder="1" applyAlignment="1">
      <alignment wrapText="1"/>
    </xf>
    <xf numFmtId="0" fontId="61" fillId="34" borderId="40" xfId="62" applyFont="1" applyFill="1" applyBorder="1" applyAlignment="1">
      <alignment wrapText="1"/>
    </xf>
    <xf numFmtId="0" fontId="61" fillId="34" borderId="40" xfId="63" applyFont="1" applyFill="1" applyBorder="1" applyAlignment="1">
      <alignment wrapText="1"/>
    </xf>
    <xf numFmtId="0" fontId="61" fillId="34" borderId="38" xfId="64" applyFont="1" applyFill="1" applyBorder="1"/>
    <xf numFmtId="0" fontId="62" fillId="35" borderId="51" xfId="58" applyFont="1" applyFill="1" applyBorder="1"/>
    <xf numFmtId="0" fontId="62" fillId="35" borderId="51" xfId="64" applyFont="1" applyFill="1" applyBorder="1"/>
    <xf numFmtId="0" fontId="67" fillId="31" borderId="16" xfId="58" applyFont="1" applyFill="1" applyBorder="1" applyProtection="1">
      <protection locked="0"/>
    </xf>
    <xf numFmtId="0" fontId="67" fillId="31" borderId="16" xfId="64" applyFont="1" applyFill="1" applyBorder="1" applyProtection="1">
      <protection locked="0"/>
    </xf>
    <xf numFmtId="4" fontId="51" fillId="0" borderId="51" xfId="21" applyNumberFormat="1" applyBorder="1"/>
    <xf numFmtId="4" fontId="18" fillId="0" borderId="16" xfId="21" applyNumberFormat="1" applyFont="1" applyBorder="1" applyAlignment="1">
      <alignment horizontal="right" vertical="top" wrapText="1"/>
    </xf>
    <xf numFmtId="0" fontId="75" fillId="0" borderId="53" xfId="21" applyFont="1" applyBorder="1"/>
    <xf numFmtId="181" fontId="66" fillId="0" borderId="51" xfId="21" applyNumberFormat="1" applyFont="1" applyBorder="1"/>
    <xf numFmtId="4" fontId="51" fillId="38" borderId="51" xfId="21" applyNumberFormat="1" applyFill="1" applyBorder="1"/>
    <xf numFmtId="181" fontId="66" fillId="38" borderId="51" xfId="21" applyNumberFormat="1" applyFont="1" applyFill="1" applyBorder="1"/>
    <xf numFmtId="181" fontId="72" fillId="38" borderId="51" xfId="21" applyNumberFormat="1" applyFont="1" applyFill="1" applyBorder="1"/>
    <xf numFmtId="0" fontId="61" fillId="34" borderId="45" xfId="21" applyFont="1" applyFill="1" applyBorder="1"/>
    <xf numFmtId="0" fontId="61" fillId="34" borderId="38" xfId="21" applyFont="1" applyFill="1" applyBorder="1"/>
    <xf numFmtId="0" fontId="61" fillId="34" borderId="40" xfId="21" applyFont="1" applyFill="1" applyBorder="1" applyAlignment="1">
      <alignment wrapText="1"/>
    </xf>
    <xf numFmtId="0" fontId="61" fillId="34" borderId="45" xfId="21" applyFont="1" applyFill="1" applyBorder="1" applyAlignment="1">
      <alignment wrapText="1"/>
    </xf>
    <xf numFmtId="0" fontId="72" fillId="34" borderId="45" xfId="21" applyFont="1" applyFill="1" applyBorder="1" applyAlignment="1">
      <alignment wrapText="1"/>
    </xf>
    <xf numFmtId="0" fontId="76" fillId="35" borderId="44" xfId="21" applyFont="1" applyFill="1" applyBorder="1"/>
    <xf numFmtId="0" fontId="67" fillId="31" borderId="16" xfId="21" applyFont="1" applyFill="1" applyBorder="1" applyProtection="1">
      <protection locked="0"/>
    </xf>
    <xf numFmtId="0" fontId="51" fillId="33" borderId="0" xfId="21" applyFill="1"/>
    <xf numFmtId="10" fontId="74" fillId="37" borderId="0" xfId="21" applyNumberFormat="1" applyFont="1" applyFill="1" applyProtection="1">
      <protection locked="0"/>
    </xf>
    <xf numFmtId="10" fontId="51" fillId="37" borderId="16" xfId="21" applyNumberFormat="1" applyFill="1" applyBorder="1" applyProtection="1">
      <protection locked="0"/>
    </xf>
    <xf numFmtId="0" fontId="51" fillId="0" borderId="16" xfId="21" applyBorder="1"/>
    <xf numFmtId="181" fontId="66" fillId="0" borderId="0" xfId="21" applyNumberFormat="1" applyFont="1"/>
    <xf numFmtId="181" fontId="72" fillId="0" borderId="0" xfId="21" applyNumberFormat="1" applyFont="1"/>
    <xf numFmtId="0" fontId="67" fillId="0" borderId="16" xfId="21" applyFont="1" applyBorder="1"/>
    <xf numFmtId="4" fontId="77" fillId="0" borderId="51" xfId="21" applyNumberFormat="1" applyFont="1" applyBorder="1"/>
    <xf numFmtId="0" fontId="77" fillId="0" borderId="16" xfId="21" applyFont="1" applyBorder="1" applyAlignment="1">
      <alignment horizontal="left" vertical="top"/>
    </xf>
    <xf numFmtId="0" fontId="72" fillId="34" borderId="40" xfId="21" applyFont="1" applyFill="1" applyBorder="1" applyAlignment="1">
      <alignment wrapText="1"/>
    </xf>
    <xf numFmtId="4" fontId="51" fillId="0" borderId="0" xfId="21" applyNumberFormat="1"/>
    <xf numFmtId="0" fontId="67" fillId="0" borderId="0" xfId="21" applyFont="1"/>
    <xf numFmtId="0" fontId="9" fillId="0" borderId="0" xfId="65" applyNumberFormat="1"/>
    <xf numFmtId="0" fontId="9" fillId="0" borderId="0" xfId="65" applyNumberFormat="1" applyAlignment="1">
      <alignment horizontal="right"/>
    </xf>
    <xf numFmtId="4" fontId="51" fillId="0" borderId="43" xfId="21" applyNumberFormat="1" applyBorder="1"/>
    <xf numFmtId="181" fontId="66" fillId="0" borderId="43" xfId="21" applyNumberFormat="1" applyFont="1" applyBorder="1"/>
    <xf numFmtId="2" fontId="78" fillId="0" borderId="0" xfId="26" applyNumberFormat="1" applyFont="1" applyAlignment="1">
      <alignment horizontal="left" vertical="top"/>
    </xf>
    <xf numFmtId="183" fontId="0" fillId="0" borderId="0" xfId="66" applyFont="1" applyFill="1" applyBorder="1" applyAlignment="1">
      <alignment horizontal="left" vertical="top"/>
    </xf>
    <xf numFmtId="165" fontId="9" fillId="0" borderId="0" xfId="65"/>
    <xf numFmtId="4" fontId="66" fillId="0" borderId="51" xfId="67" applyNumberFormat="1" applyFont="1" applyBorder="1"/>
    <xf numFmtId="4" fontId="66" fillId="0" borderId="51" xfId="68" applyNumberFormat="1" applyFont="1" applyBorder="1"/>
    <xf numFmtId="4" fontId="66" fillId="0" borderId="51" xfId="69" applyNumberFormat="1" applyFont="1" applyBorder="1"/>
    <xf numFmtId="4" fontId="66" fillId="0" borderId="51" xfId="70" applyNumberFormat="1" applyFont="1" applyBorder="1"/>
    <xf numFmtId="4" fontId="66" fillId="0" borderId="51" xfId="71" applyNumberFormat="1" applyFont="1" applyBorder="1"/>
    <xf numFmtId="0" fontId="67" fillId="0" borderId="16" xfId="72" applyFont="1" applyBorder="1"/>
    <xf numFmtId="181" fontId="66" fillId="0" borderId="51" xfId="73" applyNumberFormat="1" applyFont="1" applyBorder="1"/>
    <xf numFmtId="181" fontId="66" fillId="0" borderId="51" xfId="74" applyNumberFormat="1" applyFont="1" applyBorder="1"/>
    <xf numFmtId="181" fontId="66" fillId="0" borderId="51" xfId="75" applyNumberFormat="1" applyFont="1" applyBorder="1"/>
    <xf numFmtId="181" fontId="66" fillId="0" borderId="51" xfId="76" applyNumberFormat="1" applyFont="1" applyBorder="1"/>
    <xf numFmtId="181" fontId="66" fillId="0" borderId="51" xfId="77" applyNumberFormat="1" applyFont="1" applyBorder="1"/>
    <xf numFmtId="0" fontId="52" fillId="0" borderId="16" xfId="78" applyFont="1" applyBorder="1" applyAlignment="1">
      <alignment horizontal="left" vertical="top"/>
    </xf>
    <xf numFmtId="0" fontId="61" fillId="34" borderId="40" xfId="67" applyFont="1" applyFill="1" applyBorder="1"/>
    <xf numFmtId="0" fontId="61" fillId="34" borderId="40" xfId="68" applyFont="1" applyFill="1" applyBorder="1"/>
    <xf numFmtId="0" fontId="61" fillId="34" borderId="40" xfId="69" applyFont="1" applyFill="1" applyBorder="1"/>
    <xf numFmtId="0" fontId="61" fillId="34" borderId="40" xfId="70" applyFont="1" applyFill="1" applyBorder="1"/>
    <xf numFmtId="0" fontId="61" fillId="34" borderId="40" xfId="71" applyFont="1" applyFill="1" applyBorder="1"/>
    <xf numFmtId="0" fontId="61" fillId="34" borderId="38" xfId="72" applyFont="1" applyFill="1" applyBorder="1"/>
    <xf numFmtId="0" fontId="61" fillId="34" borderId="40" xfId="73" applyFont="1" applyFill="1" applyBorder="1" applyAlignment="1">
      <alignment wrapText="1"/>
    </xf>
    <xf numFmtId="0" fontId="61" fillId="34" borderId="40" xfId="74" applyFont="1" applyFill="1" applyBorder="1" applyAlignment="1">
      <alignment wrapText="1"/>
    </xf>
    <xf numFmtId="0" fontId="61" fillId="34" borderId="40" xfId="75" applyFont="1" applyFill="1" applyBorder="1" applyAlignment="1">
      <alignment wrapText="1"/>
    </xf>
    <xf numFmtId="0" fontId="72" fillId="34" borderId="40" xfId="76" applyFont="1" applyFill="1" applyBorder="1" applyAlignment="1">
      <alignment wrapText="1"/>
    </xf>
    <xf numFmtId="0" fontId="61" fillId="34" borderId="40" xfId="76" applyFont="1" applyFill="1" applyBorder="1" applyAlignment="1">
      <alignment wrapText="1"/>
    </xf>
    <xf numFmtId="0" fontId="61" fillId="34" borderId="40" xfId="77" applyFont="1" applyFill="1" applyBorder="1" applyAlignment="1">
      <alignment wrapText="1"/>
    </xf>
    <xf numFmtId="0" fontId="61" fillId="34" borderId="38" xfId="78" applyFont="1" applyFill="1" applyBorder="1"/>
    <xf numFmtId="0" fontId="80" fillId="35" borderId="53" xfId="67" applyFont="1" applyFill="1" applyBorder="1" applyAlignment="1">
      <alignment horizontal="left" vertical="top" wrapText="1"/>
    </xf>
    <xf numFmtId="0" fontId="80" fillId="35" borderId="53" xfId="68" applyFont="1" applyFill="1" applyBorder="1" applyAlignment="1">
      <alignment horizontal="left" vertical="top" wrapText="1"/>
    </xf>
    <xf numFmtId="0" fontId="80" fillId="35" borderId="53" xfId="69" applyFont="1" applyFill="1" applyBorder="1" applyAlignment="1">
      <alignment horizontal="left" vertical="top" wrapText="1"/>
    </xf>
    <xf numFmtId="0" fontId="80" fillId="35" borderId="53" xfId="70" applyFont="1" applyFill="1" applyBorder="1" applyAlignment="1">
      <alignment horizontal="left" vertical="top" wrapText="1"/>
    </xf>
    <xf numFmtId="0" fontId="80" fillId="35" borderId="53" xfId="71" applyFont="1" applyFill="1" applyBorder="1" applyAlignment="1">
      <alignment horizontal="left" vertical="top" wrapText="1"/>
    </xf>
    <xf numFmtId="0" fontId="62" fillId="35" borderId="51" xfId="72" applyFont="1" applyFill="1" applyBorder="1"/>
    <xf numFmtId="0" fontId="62" fillId="35" borderId="51" xfId="78" applyFont="1" applyFill="1" applyBorder="1"/>
    <xf numFmtId="2" fontId="70" fillId="0" borderId="0" xfId="26" applyNumberFormat="1" applyAlignment="1">
      <alignment horizontal="left" vertical="top"/>
    </xf>
    <xf numFmtId="0" fontId="67" fillId="31" borderId="16" xfId="72" applyFont="1" applyFill="1" applyBorder="1" applyProtection="1">
      <protection locked="0"/>
    </xf>
    <xf numFmtId="9" fontId="70" fillId="0" borderId="0" xfId="26" applyNumberFormat="1" applyAlignment="1">
      <alignment horizontal="left" vertical="top"/>
    </xf>
    <xf numFmtId="0" fontId="61" fillId="24" borderId="40" xfId="21" applyFont="1" applyFill="1" applyBorder="1" applyAlignment="1">
      <alignment horizontal="center" wrapText="1"/>
    </xf>
    <xf numFmtId="0" fontId="61" fillId="24" borderId="40" xfId="21" applyFont="1" applyFill="1" applyBorder="1" applyAlignment="1">
      <alignment wrapText="1"/>
    </xf>
    <xf numFmtId="0" fontId="27" fillId="24" borderId="51" xfId="21" applyFont="1" applyFill="1" applyBorder="1" applyAlignment="1">
      <alignment horizontal="center"/>
    </xf>
    <xf numFmtId="0" fontId="27" fillId="24" borderId="51" xfId="21" applyFont="1" applyFill="1" applyBorder="1"/>
    <xf numFmtId="0" fontId="81" fillId="0" borderId="0" xfId="26" applyFont="1" applyAlignment="1">
      <alignment horizontal="left" vertical="top"/>
    </xf>
    <xf numFmtId="168" fontId="82" fillId="0" borderId="0" xfId="0" applyNumberFormat="1" applyFont="1" applyAlignment="1">
      <alignment horizontal="center"/>
    </xf>
    <xf numFmtId="10" fontId="51" fillId="37" borderId="0" xfId="21" applyNumberFormat="1" applyFill="1" applyProtection="1">
      <protection locked="0"/>
    </xf>
    <xf numFmtId="184" fontId="82" fillId="0" borderId="0" xfId="0" applyNumberFormat="1" applyFont="1" applyAlignment="1">
      <alignment horizontal="center"/>
    </xf>
    <xf numFmtId="0" fontId="0" fillId="30" borderId="0" xfId="0" applyNumberFormat="1" applyFill="1" applyAlignment="1">
      <alignment horizontal="center"/>
    </xf>
    <xf numFmtId="0" fontId="13" fillId="31" borderId="0" xfId="7" applyNumberFormat="1" applyFill="1" applyBorder="1" applyAlignment="1">
      <alignment horizontal="center"/>
    </xf>
    <xf numFmtId="0" fontId="13" fillId="31" borderId="62" xfId="7" applyNumberFormat="1" applyFill="1" applyBorder="1" applyAlignment="1">
      <alignment horizontal="center"/>
    </xf>
    <xf numFmtId="0" fontId="13" fillId="31" borderId="63" xfId="7" applyNumberFormat="1" applyFill="1" applyBorder="1" applyAlignment="1">
      <alignment horizontal="center"/>
    </xf>
    <xf numFmtId="0" fontId="13" fillId="31" borderId="64" xfId="7" applyNumberFormat="1" applyFill="1" applyBorder="1" applyAlignment="1">
      <alignment horizontal="center"/>
    </xf>
    <xf numFmtId="0" fontId="13" fillId="31" borderId="65" xfId="7" applyNumberFormat="1" applyFill="1" applyBorder="1" applyAlignment="1">
      <alignment horizontal="center"/>
    </xf>
    <xf numFmtId="178" fontId="13" fillId="0" borderId="3" xfId="7" applyNumberFormat="1" applyFill="1"/>
    <xf numFmtId="0" fontId="83" fillId="0" borderId="0" xfId="0" applyNumberFormat="1" applyFont="1"/>
    <xf numFmtId="0" fontId="83" fillId="39" borderId="0" xfId="0" applyNumberFormat="1" applyFont="1" applyFill="1"/>
    <xf numFmtId="0" fontId="84" fillId="0" borderId="0" xfId="0" applyNumberFormat="1" applyFont="1"/>
    <xf numFmtId="2" fontId="83" fillId="40" borderId="16" xfId="0" applyNumberFormat="1" applyFont="1" applyFill="1" applyBorder="1" applyAlignment="1">
      <alignment horizontal="center"/>
    </xf>
    <xf numFmtId="0" fontId="83" fillId="40" borderId="16" xfId="0" applyNumberFormat="1" applyFont="1" applyFill="1" applyBorder="1"/>
    <xf numFmtId="0" fontId="85" fillId="0" borderId="16" xfId="0" applyNumberFormat="1" applyFont="1" applyBorder="1"/>
    <xf numFmtId="0" fontId="85" fillId="0" borderId="16" xfId="0" applyNumberFormat="1" applyFont="1" applyBorder="1" applyAlignment="1">
      <alignment horizontal="center"/>
    </xf>
    <xf numFmtId="0" fontId="85" fillId="0" borderId="16" xfId="0" quotePrefix="1" applyNumberFormat="1" applyFont="1" applyBorder="1"/>
    <xf numFmtId="0" fontId="83" fillId="0" borderId="16" xfId="0" applyNumberFormat="1" applyFont="1" applyBorder="1"/>
    <xf numFmtId="0" fontId="85" fillId="0" borderId="0" xfId="0" applyNumberFormat="1" applyFont="1"/>
    <xf numFmtId="0" fontId="83" fillId="41" borderId="0" xfId="0" applyNumberFormat="1" applyFont="1" applyFill="1"/>
    <xf numFmtId="0" fontId="86" fillId="41" borderId="0" xfId="0" applyNumberFormat="1" applyFont="1" applyFill="1" applyAlignment="1">
      <alignment vertical="center"/>
    </xf>
    <xf numFmtId="0" fontId="83" fillId="40" borderId="0" xfId="0" applyNumberFormat="1" applyFont="1" applyFill="1"/>
    <xf numFmtId="2" fontId="87" fillId="40" borderId="16" xfId="0" applyNumberFormat="1" applyFont="1" applyFill="1" applyBorder="1" applyAlignment="1">
      <alignment horizontal="center"/>
    </xf>
    <xf numFmtId="185" fontId="88" fillId="42" borderId="16" xfId="0" applyNumberFormat="1" applyFont="1" applyFill="1" applyBorder="1" applyAlignment="1">
      <alignment horizontal="center" vertical="center" wrapText="1"/>
    </xf>
    <xf numFmtId="165" fontId="89" fillId="42" borderId="16" xfId="0" applyFont="1" applyFill="1" applyBorder="1" applyAlignment="1">
      <alignment horizontal="left" vertical="top" wrapText="1"/>
    </xf>
    <xf numFmtId="165" fontId="89" fillId="42" borderId="16" xfId="0" applyFont="1" applyFill="1" applyBorder="1" applyAlignment="1">
      <alignment horizontal="left" vertical="center" wrapText="1"/>
    </xf>
    <xf numFmtId="185" fontId="88" fillId="42" borderId="16" xfId="0" applyNumberFormat="1" applyFont="1" applyFill="1" applyBorder="1" applyAlignment="1">
      <alignment horizontal="center" vertical="top" wrapText="1"/>
    </xf>
    <xf numFmtId="186" fontId="88" fillId="42" borderId="16" xfId="0" applyNumberFormat="1" applyFont="1" applyFill="1" applyBorder="1" applyAlignment="1">
      <alignment horizontal="center" vertical="center" wrapText="1"/>
    </xf>
    <xf numFmtId="165" fontId="89" fillId="42" borderId="16" xfId="0" applyFont="1" applyFill="1" applyBorder="1" applyAlignment="1">
      <alignment horizontal="center" vertical="top" wrapText="1"/>
    </xf>
    <xf numFmtId="165" fontId="89" fillId="42" borderId="16" xfId="0" applyFont="1" applyFill="1" applyBorder="1" applyAlignment="1">
      <alignment horizontal="center" vertical="center" wrapText="1"/>
    </xf>
    <xf numFmtId="165" fontId="89" fillId="42" borderId="51" xfId="0" applyFont="1" applyFill="1" applyBorder="1" applyAlignment="1">
      <alignment horizontal="center" vertical="center" wrapText="1"/>
    </xf>
    <xf numFmtId="165" fontId="89" fillId="43" borderId="0" xfId="0" applyFont="1" applyFill="1" applyAlignment="1">
      <alignment horizontal="center" vertical="top"/>
    </xf>
    <xf numFmtId="165" fontId="89" fillId="43" borderId="0" xfId="0" applyFont="1" applyFill="1" applyAlignment="1">
      <alignment horizontal="left" vertical="top"/>
    </xf>
    <xf numFmtId="185" fontId="93" fillId="43" borderId="16" xfId="0" applyNumberFormat="1" applyFont="1" applyFill="1" applyBorder="1" applyAlignment="1">
      <alignment horizontal="center" vertical="top" wrapText="1"/>
    </xf>
    <xf numFmtId="185" fontId="94" fillId="43" borderId="16" xfId="0" applyNumberFormat="1" applyFont="1" applyFill="1" applyBorder="1" applyAlignment="1">
      <alignment horizontal="left" vertical="top" wrapText="1"/>
    </xf>
    <xf numFmtId="10" fontId="95" fillId="0" borderId="16" xfId="2" applyNumberFormat="1" applyFont="1" applyBorder="1" applyAlignment="1">
      <alignment horizontal="center"/>
    </xf>
    <xf numFmtId="0" fontId="95" fillId="0" borderId="16" xfId="0" applyNumberFormat="1" applyFont="1" applyBorder="1"/>
    <xf numFmtId="2" fontId="83" fillId="24" borderId="16" xfId="0" applyNumberFormat="1" applyFont="1" applyFill="1" applyBorder="1" applyAlignment="1">
      <alignment horizontal="center"/>
    </xf>
    <xf numFmtId="0" fontId="83" fillId="24" borderId="16" xfId="0" applyNumberFormat="1" applyFont="1" applyFill="1" applyBorder="1"/>
    <xf numFmtId="165" fontId="84" fillId="43" borderId="16" xfId="0" applyFont="1" applyFill="1" applyBorder="1" applyAlignment="1">
      <alignment horizontal="center" vertical="top" wrapText="1"/>
    </xf>
    <xf numFmtId="0" fontId="83" fillId="24" borderId="16" xfId="0" applyNumberFormat="1" applyFont="1" applyFill="1" applyBorder="1" applyAlignment="1">
      <alignment horizontal="center"/>
    </xf>
    <xf numFmtId="0" fontId="83" fillId="0" borderId="16" xfId="0" applyNumberFormat="1" applyFont="1" applyBorder="1" applyAlignment="1">
      <alignment horizontal="center"/>
    </xf>
    <xf numFmtId="165" fontId="84" fillId="43" borderId="16" xfId="0" applyFont="1" applyFill="1" applyBorder="1" applyAlignment="1">
      <alignment horizontal="center" vertical="center" wrapText="1"/>
    </xf>
    <xf numFmtId="165" fontId="84"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83" fillId="41" borderId="16" xfId="0" applyNumberFormat="1" applyFont="1" applyFill="1" applyBorder="1" applyAlignment="1">
      <alignment horizontal="center"/>
    </xf>
    <xf numFmtId="167" fontId="84" fillId="0" borderId="16" xfId="2" applyNumberFormat="1" applyFont="1" applyBorder="1" applyAlignment="1">
      <alignment horizontal="center"/>
    </xf>
    <xf numFmtId="0" fontId="97" fillId="0" borderId="16" xfId="0" applyNumberFormat="1" applyFont="1" applyBorder="1"/>
    <xf numFmtId="9" fontId="84" fillId="0" borderId="16" xfId="2" applyFont="1" applyBorder="1" applyAlignment="1">
      <alignment horizontal="center"/>
    </xf>
    <xf numFmtId="187" fontId="93" fillId="43" borderId="16" xfId="0" applyNumberFormat="1" applyFont="1" applyFill="1" applyBorder="1" applyAlignment="1">
      <alignment horizontal="center" vertical="top" wrapText="1"/>
    </xf>
    <xf numFmtId="187" fontId="93" fillId="43" borderId="16" xfId="0" applyNumberFormat="1" applyFont="1" applyFill="1" applyBorder="1" applyAlignment="1">
      <alignment horizontal="center" vertical="top"/>
    </xf>
    <xf numFmtId="185" fontId="94" fillId="43" borderId="16" xfId="0" applyNumberFormat="1" applyFont="1" applyFill="1" applyBorder="1" applyAlignment="1">
      <alignment horizontal="center" vertical="top" wrapText="1"/>
    </xf>
    <xf numFmtId="165" fontId="98" fillId="0" borderId="0" xfId="0" applyFont="1" applyAlignment="1">
      <alignment horizontal="left" vertical="center"/>
    </xf>
    <xf numFmtId="9" fontId="98" fillId="0" borderId="8" xfId="0" applyNumberFormat="1" applyFont="1" applyBorder="1" applyAlignment="1">
      <alignment horizontal="center" vertical="center"/>
    </xf>
    <xf numFmtId="165" fontId="98" fillId="0" borderId="10" xfId="0" applyFont="1" applyBorder="1" applyAlignment="1">
      <alignment horizontal="left" vertical="center"/>
    </xf>
    <xf numFmtId="165" fontId="84" fillId="43" borderId="16" xfId="0" applyFont="1" applyFill="1" applyBorder="1" applyAlignment="1">
      <alignment horizontal="center" vertical="top"/>
    </xf>
    <xf numFmtId="9" fontId="83" fillId="0" borderId="0" xfId="2" applyFont="1"/>
    <xf numFmtId="165" fontId="84" fillId="43" borderId="53" xfId="0" applyFont="1" applyFill="1" applyBorder="1" applyAlignment="1">
      <alignment horizontal="center" vertical="top" wrapText="1"/>
    </xf>
    <xf numFmtId="165" fontId="100" fillId="0" borderId="67" xfId="0" applyFont="1" applyBorder="1" applyAlignment="1">
      <alignment horizontal="center" vertical="center"/>
    </xf>
    <xf numFmtId="165" fontId="100" fillId="0" borderId="67" xfId="0" applyFont="1" applyBorder="1" applyAlignment="1">
      <alignment horizontal="center" vertical="center" wrapText="1"/>
    </xf>
    <xf numFmtId="165" fontId="100" fillId="0" borderId="68" xfId="0" applyFont="1" applyBorder="1" applyAlignment="1">
      <alignment horizontal="left" vertical="center"/>
    </xf>
    <xf numFmtId="165" fontId="84" fillId="43" borderId="53" xfId="0" applyFont="1" applyFill="1" applyBorder="1" applyAlignment="1">
      <alignment vertical="top"/>
    </xf>
    <xf numFmtId="165" fontId="84" fillId="43" borderId="52" xfId="0" applyFont="1" applyFill="1" applyBorder="1" applyAlignment="1">
      <alignment vertical="top"/>
    </xf>
    <xf numFmtId="165" fontId="84" fillId="43" borderId="51" xfId="0" applyFont="1" applyFill="1" applyBorder="1" applyAlignment="1">
      <alignment vertical="top"/>
    </xf>
    <xf numFmtId="165" fontId="101" fillId="0" borderId="0" xfId="0" applyFont="1" applyAlignment="1">
      <alignment horizontal="justify" vertical="center"/>
    </xf>
    <xf numFmtId="2" fontId="93" fillId="0" borderId="8" xfId="0" applyNumberFormat="1" applyFont="1" applyBorder="1" applyAlignment="1">
      <alignment horizontal="center" vertical="center"/>
    </xf>
    <xf numFmtId="165" fontId="93" fillId="0" borderId="8" xfId="0" applyFont="1" applyBorder="1" applyAlignment="1">
      <alignment horizontal="center" vertical="center" wrapText="1"/>
    </xf>
    <xf numFmtId="165" fontId="93" fillId="0" borderId="10" xfId="0" applyFont="1" applyBorder="1" applyAlignment="1">
      <alignment horizontal="left" vertical="center"/>
    </xf>
    <xf numFmtId="167" fontId="97" fillId="0" borderId="16" xfId="2" applyNumberFormat="1" applyFont="1" applyBorder="1" applyAlignment="1">
      <alignment horizontal="center"/>
    </xf>
    <xf numFmtId="9" fontId="97" fillId="0" borderId="16" xfId="2" applyFont="1" applyBorder="1" applyAlignment="1">
      <alignment horizontal="center"/>
    </xf>
    <xf numFmtId="2" fontId="84" fillId="0" borderId="8" xfId="0" applyNumberFormat="1" applyFont="1" applyBorder="1" applyAlignment="1">
      <alignment horizontal="center" vertical="center"/>
    </xf>
    <xf numFmtId="165" fontId="84" fillId="0" borderId="8" xfId="0" applyFont="1" applyBorder="1" applyAlignment="1">
      <alignment horizontal="center" vertical="center" wrapText="1"/>
    </xf>
    <xf numFmtId="165" fontId="84" fillId="0" borderId="10" xfId="0" applyFont="1" applyBorder="1" applyAlignment="1">
      <alignment horizontal="left" vertical="center"/>
    </xf>
    <xf numFmtId="185" fontId="93" fillId="43" borderId="16" xfId="0" applyNumberFormat="1" applyFont="1" applyFill="1" applyBorder="1" applyAlignment="1">
      <alignment horizontal="center" vertical="center" wrapText="1"/>
    </xf>
    <xf numFmtId="185" fontId="94" fillId="43" borderId="16" xfId="0" applyNumberFormat="1" applyFont="1" applyFill="1" applyBorder="1" applyAlignment="1">
      <alignment horizontal="center" vertical="center" wrapText="1"/>
    </xf>
    <xf numFmtId="2" fontId="84" fillId="0" borderId="8" xfId="0" applyNumberFormat="1" applyFont="1" applyBorder="1" applyAlignment="1">
      <alignment horizontal="center" vertical="center" wrapText="1"/>
    </xf>
    <xf numFmtId="165" fontId="83" fillId="0" borderId="16" xfId="0" applyFont="1" applyBorder="1"/>
    <xf numFmtId="165" fontId="84" fillId="43" borderId="0" xfId="0" applyFont="1" applyFill="1" applyAlignment="1">
      <alignment horizontal="left" vertical="top"/>
    </xf>
    <xf numFmtId="165" fontId="97" fillId="43" borderId="16" xfId="0" applyFont="1" applyFill="1" applyBorder="1" applyAlignment="1">
      <alignment vertical="center" wrapText="1"/>
    </xf>
    <xf numFmtId="165" fontId="97" fillId="43" borderId="16" xfId="0" applyFont="1" applyFill="1" applyBorder="1" applyAlignment="1">
      <alignment horizontal="center" vertical="center" wrapText="1"/>
    </xf>
    <xf numFmtId="165" fontId="93" fillId="0" borderId="8" xfId="0" applyFont="1" applyBorder="1" applyAlignment="1">
      <alignment horizontal="center" vertical="center"/>
    </xf>
    <xf numFmtId="165" fontId="93" fillId="0" borderId="10" xfId="0" applyFont="1" applyBorder="1" applyAlignment="1">
      <alignment horizontal="center" vertical="center" wrapText="1"/>
    </xf>
    <xf numFmtId="165" fontId="93" fillId="0" borderId="22" xfId="0" applyFont="1" applyBorder="1" applyAlignment="1">
      <alignment horizontal="center" vertical="center" wrapText="1"/>
    </xf>
    <xf numFmtId="165" fontId="93" fillId="0" borderId="20" xfId="0" applyFont="1" applyBorder="1" applyAlignment="1">
      <alignment horizontal="center" vertical="center"/>
    </xf>
    <xf numFmtId="0" fontId="104" fillId="0" borderId="0" xfId="0" applyNumberFormat="1" applyFont="1"/>
    <xf numFmtId="0" fontId="84" fillId="41" borderId="0" xfId="0" applyNumberFormat="1" applyFont="1" applyFill="1"/>
    <xf numFmtId="0" fontId="86" fillId="41" borderId="0" xfId="0" applyNumberFormat="1" applyFont="1" applyFill="1"/>
    <xf numFmtId="165" fontId="10" fillId="0" borderId="1" xfId="3"/>
    <xf numFmtId="0" fontId="18" fillId="44" borderId="0" xfId="12" applyFill="1"/>
    <xf numFmtId="2" fontId="107" fillId="0" borderId="0" xfId="80" applyNumberFormat="1" applyFont="1" applyAlignment="1">
      <alignment horizontal="center"/>
    </xf>
    <xf numFmtId="0" fontId="47" fillId="0" borderId="0" xfId="12" applyFont="1" applyAlignment="1">
      <alignment horizontal="center"/>
    </xf>
    <xf numFmtId="0" fontId="47" fillId="0" borderId="0" xfId="12" applyFont="1" applyAlignment="1">
      <alignment horizontal="right"/>
    </xf>
    <xf numFmtId="9" fontId="47" fillId="0" borderId="0" xfId="81" applyFont="1" applyFill="1" applyBorder="1" applyAlignment="1" applyProtection="1">
      <alignment horizontal="center"/>
      <protection locked="0"/>
    </xf>
    <xf numFmtId="0" fontId="47" fillId="0" borderId="0" xfId="12" applyFont="1"/>
    <xf numFmtId="169" fontId="108" fillId="0" borderId="0" xfId="82" applyNumberFormat="1" applyAlignment="1">
      <alignment horizontal="center"/>
    </xf>
    <xf numFmtId="0" fontId="47" fillId="0" borderId="0" xfId="12" applyFont="1" applyAlignment="1">
      <alignment horizontal="left" indent="1"/>
    </xf>
    <xf numFmtId="0" fontId="47" fillId="0" borderId="0" xfId="12" applyFont="1" applyAlignment="1" applyProtection="1">
      <alignment horizontal="center"/>
      <protection locked="0"/>
    </xf>
    <xf numFmtId="2" fontId="106" fillId="0" borderId="0" xfId="80" applyNumberFormat="1" applyAlignment="1">
      <alignment horizontal="center"/>
    </xf>
    <xf numFmtId="9" fontId="108" fillId="0" borderId="0" xfId="82" applyNumberFormat="1" applyFill="1" applyBorder="1" applyAlignment="1" applyProtection="1">
      <alignment horizontal="center"/>
      <protection locked="0"/>
    </xf>
    <xf numFmtId="3" fontId="108" fillId="0" borderId="0" xfId="82" applyNumberFormat="1" applyAlignment="1">
      <alignment horizontal="center"/>
    </xf>
    <xf numFmtId="2" fontId="108" fillId="0" borderId="0" xfId="82" applyNumberFormat="1" applyAlignment="1">
      <alignment horizontal="center"/>
    </xf>
    <xf numFmtId="168" fontId="108" fillId="0" borderId="0" xfId="82" applyNumberFormat="1" applyAlignment="1">
      <alignment horizontal="center"/>
    </xf>
    <xf numFmtId="0" fontId="18" fillId="0" borderId="0" xfId="12" applyAlignment="1" applyProtection="1">
      <alignment horizontal="left"/>
      <protection locked="0"/>
    </xf>
    <xf numFmtId="175" fontId="106" fillId="0" borderId="0" xfId="80" applyNumberFormat="1" applyAlignment="1">
      <alignment horizontal="center"/>
    </xf>
    <xf numFmtId="169" fontId="108" fillId="0" borderId="0" xfId="82" applyNumberFormat="1" applyFill="1" applyAlignment="1">
      <alignment horizontal="center"/>
    </xf>
    <xf numFmtId="0" fontId="27" fillId="0" borderId="0" xfId="12" applyFont="1" applyAlignment="1">
      <alignment horizontal="center" wrapText="1"/>
    </xf>
    <xf numFmtId="0" fontId="109" fillId="0" borderId="0" xfId="12" applyFont="1" applyAlignment="1">
      <alignment horizontal="center" wrapText="1"/>
    </xf>
    <xf numFmtId="0" fontId="109" fillId="0" borderId="0" xfId="12" applyFont="1" applyAlignment="1" applyProtection="1">
      <alignment horizontal="left"/>
      <protection locked="0"/>
    </xf>
    <xf numFmtId="175" fontId="107" fillId="0" borderId="0" xfId="80" applyNumberFormat="1" applyFont="1" applyAlignment="1">
      <alignment horizontal="center"/>
    </xf>
    <xf numFmtId="168" fontId="18" fillId="0" borderId="0" xfId="12" applyNumberFormat="1"/>
    <xf numFmtId="0" fontId="18" fillId="27" borderId="0" xfId="12" applyFill="1"/>
    <xf numFmtId="2" fontId="108" fillId="0" borderId="0" xfId="2" applyNumberFormat="1" applyFont="1" applyAlignment="1">
      <alignment horizontal="center"/>
    </xf>
    <xf numFmtId="168" fontId="108" fillId="0" borderId="0" xfId="2" applyNumberFormat="1" applyFont="1" applyAlignment="1">
      <alignment horizontal="center"/>
    </xf>
    <xf numFmtId="176" fontId="108" fillId="0" borderId="0" xfId="2" applyNumberFormat="1" applyFont="1" applyAlignment="1">
      <alignment horizontal="center"/>
    </xf>
    <xf numFmtId="175" fontId="108" fillId="0" borderId="0" xfId="2" applyNumberFormat="1" applyFont="1" applyAlignment="1">
      <alignment horizontal="center"/>
    </xf>
    <xf numFmtId="175" fontId="18" fillId="0" borderId="0" xfId="12" applyNumberFormat="1"/>
    <xf numFmtId="2" fontId="110" fillId="0" borderId="0" xfId="2" applyNumberFormat="1" applyFont="1" applyAlignment="1">
      <alignment horizontal="center"/>
    </xf>
    <xf numFmtId="3" fontId="106" fillId="0" borderId="0" xfId="80" applyNumberFormat="1" applyAlignment="1">
      <alignment horizontal="center"/>
    </xf>
    <xf numFmtId="1" fontId="108" fillId="0" borderId="0" xfId="82" applyNumberFormat="1" applyAlignment="1">
      <alignment horizontal="center"/>
    </xf>
    <xf numFmtId="165" fontId="18" fillId="0" borderId="0" xfId="12" applyNumberFormat="1"/>
    <xf numFmtId="165" fontId="111" fillId="0" borderId="0" xfId="12" applyNumberFormat="1" applyFont="1" applyAlignment="1">
      <alignment horizontal="center"/>
    </xf>
    <xf numFmtId="165" fontId="111" fillId="0" borderId="0" xfId="81" applyNumberFormat="1" applyFont="1" applyFill="1" applyAlignment="1">
      <alignment horizontal="center"/>
    </xf>
    <xf numFmtId="165" fontId="47" fillId="0" borderId="0" xfId="12" applyNumberFormat="1" applyFont="1" applyAlignment="1" applyProtection="1">
      <alignment horizontal="left"/>
      <protection locked="0"/>
    </xf>
    <xf numFmtId="165" fontId="18" fillId="0" borderId="39" xfId="12" applyNumberFormat="1" applyBorder="1" applyAlignment="1" applyProtection="1">
      <alignment horizontal="left"/>
      <protection locked="0"/>
    </xf>
    <xf numFmtId="0" fontId="18" fillId="0" borderId="0" xfId="12" quotePrefix="1" applyAlignment="1" applyProtection="1">
      <alignment horizontal="center"/>
      <protection locked="0"/>
    </xf>
    <xf numFmtId="0" fontId="18" fillId="0" borderId="0" xfId="12" quotePrefix="1" applyAlignment="1">
      <alignment horizontal="center"/>
    </xf>
    <xf numFmtId="0" fontId="18" fillId="0" borderId="0" xfId="12" applyAlignment="1">
      <alignment horizontal="center" wrapText="1"/>
    </xf>
    <xf numFmtId="0" fontId="18" fillId="0" borderId="39" xfId="12" applyBorder="1"/>
    <xf numFmtId="165" fontId="27" fillId="45" borderId="69" xfId="12" applyNumberFormat="1" applyFont="1" applyFill="1" applyBorder="1" applyAlignment="1">
      <alignment horizontal="center" wrapText="1"/>
    </xf>
    <xf numFmtId="0" fontId="27" fillId="45" borderId="69" xfId="12" applyFont="1" applyFill="1" applyBorder="1" applyAlignment="1">
      <alignment horizontal="center" wrapText="1"/>
    </xf>
    <xf numFmtId="9" fontId="27" fillId="45" borderId="69" xfId="12" applyNumberFormat="1" applyFont="1" applyFill="1" applyBorder="1" applyAlignment="1">
      <alignment horizontal="center" wrapText="1"/>
    </xf>
    <xf numFmtId="165" fontId="112" fillId="45" borderId="69" xfId="12" applyNumberFormat="1" applyFont="1" applyFill="1" applyBorder="1"/>
    <xf numFmtId="0" fontId="27" fillId="46" borderId="0" xfId="12" applyFont="1" applyFill="1" applyAlignment="1">
      <alignment horizontal="center" wrapText="1"/>
    </xf>
    <xf numFmtId="2" fontId="113" fillId="0" borderId="0" xfId="12" applyNumberFormat="1" applyFont="1" applyAlignment="1">
      <alignment horizontal="center"/>
    </xf>
    <xf numFmtId="9" fontId="18" fillId="0" borderId="0" xfId="12" applyNumberFormat="1"/>
    <xf numFmtId="0" fontId="18" fillId="24" borderId="0" xfId="12" applyFill="1"/>
    <xf numFmtId="2" fontId="111" fillId="0" borderId="39" xfId="12" applyNumberFormat="1" applyFont="1" applyBorder="1" applyAlignment="1">
      <alignment horizontal="center"/>
    </xf>
    <xf numFmtId="43" fontId="107" fillId="0" borderId="39" xfId="1" applyFont="1" applyBorder="1" applyAlignment="1">
      <alignment horizontal="center"/>
    </xf>
    <xf numFmtId="0" fontId="47" fillId="0" borderId="39" xfId="12" applyFont="1" applyBorder="1" applyAlignment="1" applyProtection="1">
      <alignment horizontal="center"/>
      <protection locked="0"/>
    </xf>
    <xf numFmtId="179" fontId="111" fillId="0" borderId="39" xfId="12" applyNumberFormat="1" applyFont="1" applyBorder="1" applyAlignment="1">
      <alignment horizontal="center"/>
    </xf>
    <xf numFmtId="0" fontId="114" fillId="0" borderId="0" xfId="12" applyFont="1"/>
    <xf numFmtId="165" fontId="115" fillId="0" borderId="0" xfId="0" applyFont="1" applyAlignment="1">
      <alignment horizontal="left" vertical="center" readingOrder="1"/>
    </xf>
    <xf numFmtId="0" fontId="18" fillId="0" borderId="0" xfId="12" applyAlignment="1" applyProtection="1">
      <alignment horizontal="center"/>
      <protection locked="0"/>
    </xf>
    <xf numFmtId="43" fontId="107" fillId="0" borderId="0" xfId="1" applyFont="1" applyAlignment="1">
      <alignment horizontal="center"/>
    </xf>
    <xf numFmtId="9" fontId="116" fillId="0" borderId="0" xfId="2" applyFont="1" applyAlignment="1">
      <alignment horizontal="right"/>
    </xf>
    <xf numFmtId="165" fontId="117" fillId="0" borderId="0" xfId="0" applyFont="1" applyAlignment="1" applyProtection="1">
      <alignment horizontal="center"/>
      <protection locked="0"/>
    </xf>
    <xf numFmtId="165" fontId="109" fillId="0" borderId="0" xfId="0" applyFont="1" applyAlignment="1" applyProtection="1">
      <alignment horizontal="left"/>
      <protection locked="0"/>
    </xf>
    <xf numFmtId="3" fontId="116" fillId="0" borderId="0" xfId="83" applyNumberFormat="1" applyFont="1" applyAlignment="1">
      <alignment horizontal="right"/>
    </xf>
    <xf numFmtId="3" fontId="116" fillId="0" borderId="0" xfId="84" applyNumberFormat="1" applyFont="1" applyAlignment="1">
      <alignment horizontal="right"/>
    </xf>
    <xf numFmtId="179" fontId="18" fillId="0" borderId="0" xfId="12" applyNumberFormat="1"/>
    <xf numFmtId="9" fontId="108" fillId="0" borderId="0" xfId="82" applyNumberFormat="1" applyAlignment="1">
      <alignment horizontal="center"/>
    </xf>
    <xf numFmtId="43" fontId="108" fillId="0" borderId="0" xfId="1" applyFont="1" applyAlignment="1">
      <alignment horizontal="center"/>
    </xf>
    <xf numFmtId="0" fontId="27" fillId="0" borderId="0" xfId="12" applyFont="1"/>
    <xf numFmtId="165" fontId="27" fillId="0" borderId="0" xfId="0" applyFont="1"/>
    <xf numFmtId="0" fontId="27" fillId="0" borderId="39" xfId="12" applyFont="1" applyBorder="1"/>
    <xf numFmtId="0" fontId="27" fillId="0" borderId="0" xfId="12" applyFont="1" applyAlignment="1">
      <alignment horizontal="left"/>
    </xf>
    <xf numFmtId="188" fontId="18" fillId="0" borderId="0" xfId="12" applyNumberFormat="1" applyAlignment="1" applyProtection="1">
      <alignment horizontal="left"/>
      <protection locked="0"/>
    </xf>
    <xf numFmtId="0" fontId="27" fillId="0" borderId="0" xfId="12" applyFont="1" applyAlignment="1">
      <alignment horizontal="center"/>
    </xf>
    <xf numFmtId="164" fontId="106" fillId="0" borderId="0" xfId="85" applyFont="1"/>
    <xf numFmtId="9" fontId="119" fillId="0" borderId="0" xfId="81" applyFont="1" applyAlignment="1">
      <alignment horizontal="center"/>
    </xf>
    <xf numFmtId="2" fontId="18" fillId="0" borderId="0" xfId="12" applyNumberFormat="1" applyAlignment="1">
      <alignment horizontal="center"/>
    </xf>
    <xf numFmtId="2" fontId="18" fillId="0" borderId="0" xfId="12" applyNumberFormat="1" applyAlignment="1" applyProtection="1">
      <alignment horizontal="center"/>
      <protection locked="0"/>
    </xf>
    <xf numFmtId="4" fontId="119" fillId="0" borderId="0" xfId="86">
      <alignment horizontal="center"/>
    </xf>
    <xf numFmtId="4" fontId="119" fillId="0" borderId="0" xfId="86" applyAlignment="1">
      <alignment horizontal="center"/>
    </xf>
    <xf numFmtId="0" fontId="112" fillId="0" borderId="0" xfId="12" applyFont="1" applyAlignment="1">
      <alignment horizontal="center"/>
    </xf>
    <xf numFmtId="0" fontId="112" fillId="0" borderId="0" xfId="12" applyFont="1"/>
    <xf numFmtId="165" fontId="32" fillId="0" borderId="0" xfId="12" applyNumberFormat="1" applyFont="1"/>
    <xf numFmtId="0" fontId="32" fillId="0" borderId="0" xfId="12" applyFont="1"/>
    <xf numFmtId="165" fontId="120" fillId="0" borderId="0" xfId="12" applyNumberFormat="1" applyFont="1"/>
    <xf numFmtId="165" fontId="121" fillId="0" borderId="0" xfId="12" applyNumberFormat="1" applyFont="1"/>
    <xf numFmtId="189" fontId="11" fillId="0" borderId="42" xfId="79" applyNumberFormat="1" applyFill="1" applyBorder="1" applyAlignment="1">
      <alignment horizontal="left"/>
    </xf>
    <xf numFmtId="189" fontId="11" fillId="0" borderId="0" xfId="79" applyNumberFormat="1" applyFill="1"/>
    <xf numFmtId="0" fontId="18" fillId="0" borderId="0" xfId="12" applyAlignment="1">
      <alignment horizontal="right"/>
    </xf>
    <xf numFmtId="165" fontId="18" fillId="0" borderId="39" xfId="12" applyNumberFormat="1" applyBorder="1"/>
    <xf numFmtId="1" fontId="108" fillId="0" borderId="0" xfId="82" applyNumberFormat="1" applyFill="1" applyAlignment="1">
      <alignment horizontal="center"/>
    </xf>
    <xf numFmtId="2" fontId="106" fillId="0" borderId="0" xfId="80" applyNumberFormat="1" applyFill="1" applyAlignment="1">
      <alignment horizontal="center"/>
    </xf>
    <xf numFmtId="190" fontId="108" fillId="0" borderId="0" xfId="82" applyNumberFormat="1" applyFill="1" applyAlignment="1">
      <alignment horizontal="center"/>
    </xf>
    <xf numFmtId="168" fontId="108" fillId="0" borderId="0" xfId="82" applyNumberFormat="1" applyFill="1" applyAlignment="1">
      <alignment horizontal="center"/>
    </xf>
    <xf numFmtId="3" fontId="108" fillId="0" borderId="0" xfId="82" applyNumberFormat="1" applyFill="1" applyAlignment="1">
      <alignment horizontal="center"/>
    </xf>
    <xf numFmtId="0" fontId="18" fillId="0" borderId="0" xfId="12" applyAlignment="1" applyProtection="1">
      <alignment horizontal="right"/>
      <protection locked="0"/>
    </xf>
    <xf numFmtId="168" fontId="110" fillId="0" borderId="0" xfId="82" applyNumberFormat="1" applyFont="1" applyFill="1" applyAlignment="1">
      <alignment horizontal="center"/>
    </xf>
    <xf numFmtId="3" fontId="106" fillId="0" borderId="0" xfId="80" applyNumberFormat="1" applyFill="1" applyAlignment="1">
      <alignment horizontal="center"/>
    </xf>
    <xf numFmtId="0" fontId="122" fillId="0" borderId="0" xfId="12" applyFont="1"/>
    <xf numFmtId="165" fontId="109" fillId="0" borderId="0" xfId="12" applyNumberFormat="1" applyFont="1" applyAlignment="1">
      <alignment horizontal="center" wrapText="1"/>
    </xf>
    <xf numFmtId="1" fontId="18" fillId="0" borderId="0" xfId="12" applyNumberFormat="1" applyAlignment="1">
      <alignment horizontal="center"/>
    </xf>
    <xf numFmtId="0" fontId="18" fillId="23" borderId="16" xfId="12" applyFill="1" applyBorder="1"/>
    <xf numFmtId="0" fontId="111" fillId="0" borderId="39" xfId="12" applyFont="1" applyBorder="1" applyAlignment="1">
      <alignment horizontal="center"/>
    </xf>
    <xf numFmtId="0" fontId="18" fillId="0" borderId="0" xfId="12" applyAlignment="1">
      <alignment vertical="center"/>
    </xf>
    <xf numFmtId="43" fontId="107" fillId="0" borderId="0" xfId="1" applyFont="1" applyAlignment="1">
      <alignment horizontal="center" vertical="center"/>
    </xf>
    <xf numFmtId="165" fontId="117" fillId="0" borderId="0" xfId="0" applyFont="1" applyAlignment="1" applyProtection="1">
      <alignment horizontal="center" vertical="center"/>
      <protection locked="0"/>
    </xf>
    <xf numFmtId="165" fontId="109" fillId="0" borderId="0" xfId="0" applyFont="1" applyAlignment="1" applyProtection="1">
      <alignment horizontal="left" vertical="center"/>
      <protection locked="0"/>
    </xf>
    <xf numFmtId="165" fontId="18" fillId="0" borderId="0" xfId="12" applyNumberFormat="1" applyAlignment="1">
      <alignment horizontal="right"/>
    </xf>
    <xf numFmtId="165" fontId="27" fillId="0" borderId="0" xfId="12" applyNumberFormat="1" applyFont="1"/>
    <xf numFmtId="0" fontId="112" fillId="24" borderId="0" xfId="12" applyFont="1" applyFill="1" applyAlignment="1">
      <alignment horizontal="center"/>
    </xf>
    <xf numFmtId="0" fontId="112" fillId="26" borderId="0" xfId="12" applyFont="1" applyFill="1" applyAlignment="1">
      <alignment horizontal="center"/>
    </xf>
    <xf numFmtId="0" fontId="120" fillId="0" borderId="0" xfId="12" applyFont="1"/>
    <xf numFmtId="0" fontId="121" fillId="0" borderId="0" xfId="12" applyFont="1"/>
    <xf numFmtId="0" fontId="11" fillId="0" borderId="0" xfId="79"/>
    <xf numFmtId="165" fontId="125" fillId="0" borderId="70" xfId="89" applyNumberFormat="1"/>
    <xf numFmtId="175" fontId="16" fillId="0" borderId="0" xfId="19" applyNumberFormat="1" applyFont="1"/>
    <xf numFmtId="176" fontId="0" fillId="0" borderId="0" xfId="0" applyNumberFormat="1"/>
    <xf numFmtId="169" fontId="110" fillId="0" borderId="0" xfId="12" applyNumberFormat="1" applyFont="1" applyAlignment="1">
      <alignment horizontal="right"/>
    </xf>
    <xf numFmtId="169" fontId="110" fillId="0" borderId="0" xfId="12" applyNumberFormat="1" applyFont="1"/>
    <xf numFmtId="0" fontId="13" fillId="0" borderId="71" xfId="10" applyNumberFormat="1" applyFont="1" applyFill="1" applyBorder="1"/>
    <xf numFmtId="0" fontId="13" fillId="0" borderId="72" xfId="7" applyNumberFormat="1" applyFill="1" applyBorder="1"/>
    <xf numFmtId="0" fontId="13" fillId="0" borderId="37" xfId="2" applyNumberFormat="1" applyFont="1" applyFill="1" applyBorder="1"/>
    <xf numFmtId="0" fontId="13" fillId="0" borderId="73" xfId="7" applyNumberFormat="1" applyFill="1" applyBorder="1"/>
    <xf numFmtId="0" fontId="0" fillId="0" borderId="21" xfId="0" applyNumberFormat="1" applyBorder="1"/>
    <xf numFmtId="0" fontId="0" fillId="0" borderId="74" xfId="0" applyNumberFormat="1" applyBorder="1"/>
    <xf numFmtId="0" fontId="39" fillId="0" borderId="74" xfId="7" applyNumberFormat="1" applyFont="1" applyFill="1" applyBorder="1"/>
    <xf numFmtId="0" fontId="0" fillId="0" borderId="20" xfId="0" applyNumberFormat="1" applyBorder="1"/>
    <xf numFmtId="182" fontId="66" fillId="0" borderId="21" xfId="21" applyNumberFormat="1" applyFont="1" applyBorder="1"/>
    <xf numFmtId="182" fontId="66" fillId="0" borderId="74" xfId="21" applyNumberFormat="1" applyFont="1" applyBorder="1"/>
    <xf numFmtId="182" fontId="66" fillId="0" borderId="20" xfId="21" applyNumberFormat="1" applyFont="1" applyBorder="1"/>
    <xf numFmtId="182" fontId="66" fillId="0" borderId="14" xfId="21" applyNumberFormat="1" applyFont="1" applyBorder="1"/>
    <xf numFmtId="182" fontId="66" fillId="0" borderId="0" xfId="21" applyNumberFormat="1" applyFont="1"/>
    <xf numFmtId="182" fontId="66" fillId="0" borderId="13" xfId="21" applyNumberFormat="1" applyFont="1" applyBorder="1"/>
    <xf numFmtId="181" fontId="66" fillId="0" borderId="14" xfId="21" applyNumberFormat="1" applyFont="1" applyBorder="1"/>
    <xf numFmtId="181" fontId="66" fillId="0" borderId="13" xfId="21" applyNumberFormat="1" applyFont="1" applyBorder="1"/>
    <xf numFmtId="0" fontId="62" fillId="35" borderId="14" xfId="21" applyFont="1" applyFill="1" applyBorder="1"/>
    <xf numFmtId="0" fontId="62" fillId="35" borderId="13" xfId="21" applyFont="1" applyFill="1" applyBorder="1"/>
    <xf numFmtId="0" fontId="70" fillId="0" borderId="14" xfId="26" applyBorder="1" applyAlignment="1">
      <alignment horizontal="left" vertical="top"/>
    </xf>
    <xf numFmtId="0" fontId="70" fillId="0" borderId="13" xfId="26" applyBorder="1" applyAlignment="1">
      <alignment horizontal="left" vertical="top"/>
    </xf>
    <xf numFmtId="0" fontId="51" fillId="33" borderId="14" xfId="21" applyFill="1" applyBorder="1"/>
    <xf numFmtId="0" fontId="51" fillId="33" borderId="13" xfId="21" applyFill="1" applyBorder="1"/>
    <xf numFmtId="0" fontId="70" fillId="0" borderId="9" xfId="26" applyBorder="1" applyAlignment="1">
      <alignment horizontal="left" vertical="top"/>
    </xf>
    <xf numFmtId="0" fontId="70" fillId="0" borderId="76" xfId="26" applyBorder="1" applyAlignment="1">
      <alignment horizontal="left" vertical="top"/>
    </xf>
    <xf numFmtId="0" fontId="70" fillId="0" borderId="8" xfId="26" applyBorder="1" applyAlignment="1">
      <alignment horizontal="left" vertical="top"/>
    </xf>
    <xf numFmtId="0" fontId="126" fillId="0" borderId="0" xfId="92"/>
    <xf numFmtId="0" fontId="17" fillId="0" borderId="77" xfId="0" applyNumberFormat="1" applyFont="1" applyBorder="1"/>
    <xf numFmtId="0" fontId="70" fillId="0" borderId="78" xfId="26" applyBorder="1" applyAlignment="1">
      <alignment horizontal="left" vertical="top"/>
    </xf>
    <xf numFmtId="0" fontId="70" fillId="0" borderId="79" xfId="26" applyBorder="1" applyAlignment="1">
      <alignment horizontal="left" vertical="top"/>
    </xf>
    <xf numFmtId="184" fontId="82" fillId="0" borderId="80" xfId="0" applyNumberFormat="1" applyFont="1" applyBorder="1" applyAlignment="1">
      <alignment horizontal="center"/>
    </xf>
    <xf numFmtId="0" fontId="70" fillId="0" borderId="81" xfId="26" applyBorder="1" applyAlignment="1">
      <alignment horizontal="left" vertical="top"/>
    </xf>
    <xf numFmtId="0" fontId="67" fillId="31" borderId="82" xfId="21" applyFont="1" applyFill="1" applyBorder="1" applyProtection="1">
      <protection locked="0"/>
    </xf>
    <xf numFmtId="0" fontId="51" fillId="33" borderId="81" xfId="21" applyFill="1" applyBorder="1"/>
    <xf numFmtId="0" fontId="62" fillId="35" borderId="83" xfId="21" applyFont="1" applyFill="1" applyBorder="1"/>
    <xf numFmtId="0" fontId="62" fillId="35" borderId="84" xfId="21" applyFont="1" applyFill="1" applyBorder="1"/>
    <xf numFmtId="0" fontId="61" fillId="34" borderId="85" xfId="21" applyFont="1" applyFill="1" applyBorder="1"/>
    <xf numFmtId="0" fontId="61" fillId="34" borderId="86" xfId="21" applyFont="1" applyFill="1" applyBorder="1" applyAlignment="1">
      <alignment wrapText="1"/>
    </xf>
    <xf numFmtId="0" fontId="52" fillId="0" borderId="82" xfId="21" applyFont="1" applyBorder="1" applyAlignment="1">
      <alignment horizontal="left" vertical="top"/>
    </xf>
    <xf numFmtId="181" fontId="66" fillId="0" borderId="84" xfId="21" applyNumberFormat="1" applyFont="1" applyBorder="1"/>
    <xf numFmtId="181" fontId="66" fillId="0" borderId="87" xfId="21" applyNumberFormat="1" applyFont="1" applyBorder="1"/>
    <xf numFmtId="0" fontId="52" fillId="0" borderId="80" xfId="21" applyFont="1" applyBorder="1" applyAlignment="1">
      <alignment horizontal="left" vertical="top"/>
    </xf>
    <xf numFmtId="181" fontId="66" fillId="0" borderId="81" xfId="21" applyNumberFormat="1" applyFont="1" applyBorder="1"/>
    <xf numFmtId="0" fontId="62" fillId="35" borderId="83" xfId="78" applyFont="1" applyFill="1" applyBorder="1"/>
    <xf numFmtId="0" fontId="61" fillId="34" borderId="85" xfId="78" applyFont="1" applyFill="1" applyBorder="1"/>
    <xf numFmtId="0" fontId="61" fillId="34" borderId="86" xfId="73" applyFont="1" applyFill="1" applyBorder="1" applyAlignment="1">
      <alignment wrapText="1"/>
    </xf>
    <xf numFmtId="0" fontId="52" fillId="0" borderId="82" xfId="78" applyFont="1" applyBorder="1" applyAlignment="1">
      <alignment horizontal="left" vertical="top"/>
    </xf>
    <xf numFmtId="181" fontId="66" fillId="0" borderId="84" xfId="73" applyNumberFormat="1" applyFont="1" applyBorder="1"/>
    <xf numFmtId="0" fontId="70" fillId="0" borderId="80" xfId="26" applyBorder="1" applyAlignment="1">
      <alignment horizontal="left" vertical="top"/>
    </xf>
    <xf numFmtId="0" fontId="77" fillId="0" borderId="82" xfId="21" applyFont="1" applyBorder="1" applyAlignment="1">
      <alignment horizontal="left" vertical="top"/>
    </xf>
    <xf numFmtId="181" fontId="66" fillId="38" borderId="84" xfId="21" applyNumberFormat="1" applyFont="1" applyFill="1" applyBorder="1"/>
    <xf numFmtId="0" fontId="67" fillId="31" borderId="82" xfId="64" applyFont="1" applyFill="1" applyBorder="1" applyProtection="1">
      <protection locked="0"/>
    </xf>
    <xf numFmtId="0" fontId="62" fillId="35" borderId="83" xfId="64" applyFont="1" applyFill="1" applyBorder="1"/>
    <xf numFmtId="0" fontId="61" fillId="34" borderId="85" xfId="64" applyFont="1" applyFill="1" applyBorder="1"/>
    <xf numFmtId="0" fontId="61" fillId="34" borderId="86" xfId="59" applyFont="1" applyFill="1" applyBorder="1" applyAlignment="1">
      <alignment wrapText="1"/>
    </xf>
    <xf numFmtId="0" fontId="52" fillId="0" borderId="82" xfId="64" applyFont="1" applyBorder="1" applyAlignment="1">
      <alignment horizontal="left" vertical="top"/>
    </xf>
    <xf numFmtId="181" fontId="66" fillId="0" borderId="84" xfId="59" applyNumberFormat="1" applyFont="1" applyBorder="1"/>
    <xf numFmtId="181" fontId="66" fillId="38" borderId="84" xfId="59" applyNumberFormat="1" applyFont="1" applyFill="1" applyBorder="1"/>
    <xf numFmtId="0" fontId="67" fillId="31" borderId="82" xfId="41" applyFont="1" applyFill="1" applyBorder="1" applyProtection="1">
      <protection locked="0"/>
    </xf>
    <xf numFmtId="0" fontId="62" fillId="35" borderId="83" xfId="52" applyFont="1" applyFill="1" applyBorder="1"/>
    <xf numFmtId="0" fontId="61" fillId="34" borderId="85" xfId="52" applyFont="1" applyFill="1" applyBorder="1"/>
    <xf numFmtId="0" fontId="61" fillId="34" borderId="86" xfId="47" applyFont="1" applyFill="1" applyBorder="1" applyAlignment="1">
      <alignment wrapText="1"/>
    </xf>
    <xf numFmtId="0" fontId="52" fillId="0" borderId="82" xfId="52" applyFont="1" applyBorder="1" applyAlignment="1">
      <alignment horizontal="left" vertical="top"/>
    </xf>
    <xf numFmtId="181" fontId="66" fillId="0" borderId="84" xfId="47" applyNumberFormat="1" applyFont="1" applyBorder="1"/>
    <xf numFmtId="181" fontId="66" fillId="38" borderId="84" xfId="47" applyNumberFormat="1" applyFont="1" applyFill="1" applyBorder="1"/>
    <xf numFmtId="0" fontId="67" fillId="31" borderId="82" xfId="39" applyFont="1" applyFill="1" applyBorder="1" applyProtection="1">
      <protection locked="0"/>
    </xf>
    <xf numFmtId="0" fontId="62" fillId="35" borderId="83" xfId="39" applyFont="1" applyFill="1" applyBorder="1"/>
    <xf numFmtId="0" fontId="61" fillId="34" borderId="85" xfId="39" applyFont="1" applyFill="1" applyBorder="1"/>
    <xf numFmtId="0" fontId="61" fillId="34" borderId="86" xfId="34" applyFont="1" applyFill="1" applyBorder="1" applyAlignment="1">
      <alignment wrapText="1"/>
    </xf>
    <xf numFmtId="0" fontId="52" fillId="0" borderId="82" xfId="39" applyFont="1" applyBorder="1" applyAlignment="1">
      <alignment horizontal="left" vertical="top"/>
    </xf>
    <xf numFmtId="181" fontId="66" fillId="0" borderId="84" xfId="34" applyNumberFormat="1" applyFont="1" applyBorder="1"/>
    <xf numFmtId="0" fontId="70" fillId="0" borderId="88" xfId="26" applyBorder="1" applyAlignment="1">
      <alignment horizontal="left" vertical="top"/>
    </xf>
    <xf numFmtId="0" fontId="70" fillId="0" borderId="89" xfId="26" applyBorder="1" applyAlignment="1">
      <alignment horizontal="left" vertical="top"/>
    </xf>
    <xf numFmtId="0" fontId="71" fillId="0" borderId="89" xfId="26" applyFont="1" applyBorder="1" applyAlignment="1">
      <alignment horizontal="left" vertical="top"/>
    </xf>
    <xf numFmtId="0" fontId="70" fillId="0" borderId="90" xfId="26" applyBorder="1" applyAlignment="1">
      <alignment horizontal="left" vertical="top"/>
    </xf>
    <xf numFmtId="0" fontId="52" fillId="0" borderId="51" xfId="21" applyFont="1" applyBorder="1" applyAlignment="1">
      <alignment horizontal="left" vertical="top"/>
    </xf>
    <xf numFmtId="175" fontId="13" fillId="28" borderId="75"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6" fillId="28" borderId="0" xfId="0" applyNumberFormat="1" applyFont="1" applyFill="1"/>
    <xf numFmtId="169" fontId="9" fillId="28" borderId="0" xfId="17" applyNumberFormat="1" applyFill="1"/>
    <xf numFmtId="170" fontId="16" fillId="28" borderId="0" xfId="1" applyNumberFormat="1" applyFont="1" applyFill="1" applyBorder="1"/>
    <xf numFmtId="0" fontId="16" fillId="28" borderId="0" xfId="1" applyNumberFormat="1" applyFont="1" applyFill="1" applyBorder="1"/>
    <xf numFmtId="169" fontId="16" fillId="28" borderId="0" xfId="0" applyNumberFormat="1" applyFont="1" applyFill="1"/>
    <xf numFmtId="2" fontId="16" fillId="28" borderId="0" xfId="0" applyNumberFormat="1" applyFont="1" applyFill="1"/>
    <xf numFmtId="0" fontId="12" fillId="28" borderId="0" xfId="5" applyNumberFormat="1" applyFill="1" applyBorder="1"/>
    <xf numFmtId="0" fontId="12"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12" fillId="28" borderId="0" xfId="5" applyNumberFormat="1" applyFill="1" applyBorder="1"/>
    <xf numFmtId="168" fontId="0" fillId="28" borderId="0" xfId="1" applyNumberFormat="1" applyFont="1" applyFill="1" applyBorder="1"/>
    <xf numFmtId="0" fontId="46" fillId="28" borderId="14" xfId="0" applyNumberFormat="1" applyFont="1" applyFill="1" applyBorder="1"/>
    <xf numFmtId="0" fontId="46" fillId="28" borderId="0" xfId="0" applyNumberFormat="1" applyFont="1" applyFill="1"/>
    <xf numFmtId="0" fontId="46" fillId="28" borderId="0" xfId="1" applyNumberFormat="1" applyFont="1" applyFill="1" applyBorder="1"/>
    <xf numFmtId="175" fontId="46" fillId="28" borderId="0" xfId="0" applyNumberFormat="1" applyFont="1" applyFill="1"/>
    <xf numFmtId="167" fontId="46" fillId="28" borderId="0" xfId="2" applyNumberFormat="1" applyFont="1" applyFill="1" applyBorder="1"/>
    <xf numFmtId="0" fontId="46" fillId="28" borderId="13" xfId="0" applyNumberFormat="1" applyFont="1" applyFill="1" applyBorder="1"/>
    <xf numFmtId="0" fontId="0" fillId="28" borderId="9" xfId="0" applyNumberFormat="1" applyFill="1" applyBorder="1"/>
    <xf numFmtId="0" fontId="0" fillId="28" borderId="76" xfId="0" applyNumberFormat="1" applyFill="1" applyBorder="1"/>
    <xf numFmtId="165" fontId="0" fillId="28" borderId="76" xfId="0" applyFill="1" applyBorder="1"/>
    <xf numFmtId="165" fontId="0" fillId="28" borderId="8" xfId="0" applyFill="1" applyBorder="1"/>
    <xf numFmtId="2" fontId="0" fillId="49" borderId="0" xfId="0" applyNumberFormat="1" applyFill="1"/>
    <xf numFmtId="175" fontId="0" fillId="49" borderId="0" xfId="1" applyNumberFormat="1" applyFont="1" applyFill="1" applyBorder="1"/>
    <xf numFmtId="0" fontId="0" fillId="49" borderId="0" xfId="0" applyNumberFormat="1" applyFill="1"/>
    <xf numFmtId="165" fontId="0" fillId="49" borderId="0" xfId="0" applyFill="1"/>
    <xf numFmtId="175" fontId="13" fillId="49" borderId="75" xfId="7" applyNumberFormat="1" applyFill="1" applyBorder="1"/>
    <xf numFmtId="0" fontId="0" fillId="49" borderId="0" xfId="0" applyNumberFormat="1" applyFill="1" applyAlignment="1">
      <alignment horizontal="right"/>
    </xf>
    <xf numFmtId="178" fontId="0" fillId="49" borderId="0" xfId="1" applyNumberFormat="1" applyFont="1" applyFill="1"/>
    <xf numFmtId="170" fontId="0" fillId="49" borderId="0" xfId="18" applyNumberFormat="1" applyFont="1" applyFill="1"/>
    <xf numFmtId="1" fontId="0" fillId="49" borderId="0" xfId="0" applyNumberFormat="1" applyFill="1"/>
    <xf numFmtId="0" fontId="0" fillId="49" borderId="0" xfId="2" applyNumberFormat="1" applyFont="1" applyFill="1"/>
    <xf numFmtId="178" fontId="0" fillId="49" borderId="16" xfId="1" applyNumberFormat="1" applyFont="1" applyFill="1" applyBorder="1"/>
    <xf numFmtId="2" fontId="9" fillId="49" borderId="0" xfId="20" applyNumberFormat="1" applyFill="1"/>
    <xf numFmtId="175" fontId="0" fillId="49" borderId="0" xfId="0" applyNumberFormat="1" applyFill="1"/>
    <xf numFmtId="0" fontId="0" fillId="49" borderId="0" xfId="1" applyNumberFormat="1" applyFont="1" applyFill="1" applyBorder="1"/>
    <xf numFmtId="0" fontId="16" fillId="49" borderId="0" xfId="0" applyNumberFormat="1" applyFont="1" applyFill="1"/>
    <xf numFmtId="168" fontId="0" fillId="49" borderId="0" xfId="1" applyNumberFormat="1" applyFont="1" applyFill="1" applyBorder="1"/>
    <xf numFmtId="0" fontId="18" fillId="0" borderId="0" xfId="12" applyAlignment="1">
      <alignment horizontal="left"/>
    </xf>
    <xf numFmtId="1" fontId="131" fillId="0" borderId="0" xfId="82" applyNumberFormat="1" applyFont="1" applyFill="1" applyAlignment="1">
      <alignment horizontal="center"/>
    </xf>
    <xf numFmtId="165" fontId="0" fillId="0" borderId="16" xfId="0" applyBorder="1"/>
    <xf numFmtId="0" fontId="0" fillId="24" borderId="16" xfId="0" applyNumberFormat="1" applyFill="1" applyBorder="1"/>
    <xf numFmtId="0" fontId="17" fillId="0" borderId="16" xfId="0" applyNumberFormat="1" applyFont="1" applyBorder="1"/>
    <xf numFmtId="165" fontId="17" fillId="0" borderId="16" xfId="0" applyFont="1" applyBorder="1"/>
    <xf numFmtId="165" fontId="17" fillId="0" borderId="51" xfId="0" applyFont="1" applyBorder="1"/>
    <xf numFmtId="0" fontId="7" fillId="0" borderId="0" xfId="93"/>
    <xf numFmtId="17" fontId="7" fillId="0" borderId="0" xfId="93" applyNumberFormat="1"/>
    <xf numFmtId="192" fontId="7" fillId="0" borderId="0" xfId="93" applyNumberFormat="1"/>
    <xf numFmtId="0" fontId="7" fillId="34" borderId="0" xfId="93" applyFill="1"/>
    <xf numFmtId="192" fontId="7" fillId="34" borderId="0" xfId="93" applyNumberFormat="1" applyFill="1"/>
    <xf numFmtId="192" fontId="7" fillId="24" borderId="39" xfId="93" applyNumberFormat="1" applyFill="1" applyBorder="1"/>
    <xf numFmtId="0" fontId="7" fillId="0" borderId="39" xfId="93" applyBorder="1"/>
    <xf numFmtId="0" fontId="20" fillId="0" borderId="0" xfId="13" applyNumberFormat="1" applyAlignment="1" applyProtection="1"/>
    <xf numFmtId="192" fontId="7" fillId="24" borderId="0" xfId="93" applyNumberFormat="1" applyFill="1"/>
    <xf numFmtId="0" fontId="7" fillId="24" borderId="0" xfId="93" applyFill="1"/>
    <xf numFmtId="192" fontId="7" fillId="49" borderId="0" xfId="93" applyNumberFormat="1" applyFill="1"/>
    <xf numFmtId="0" fontId="128" fillId="49" borderId="0" xfId="93" applyFont="1" applyFill="1"/>
    <xf numFmtId="192" fontId="7" fillId="51" borderId="0" xfId="93" applyNumberFormat="1" applyFill="1"/>
    <xf numFmtId="0" fontId="7" fillId="51" borderId="0" xfId="93" applyFill="1"/>
    <xf numFmtId="0" fontId="128" fillId="51" borderId="0" xfId="93" applyFont="1" applyFill="1"/>
    <xf numFmtId="0" fontId="127" fillId="0" borderId="0" xfId="93" applyFont="1"/>
    <xf numFmtId="192" fontId="7" fillId="52" borderId="0" xfId="93" applyNumberFormat="1" applyFill="1"/>
    <xf numFmtId="0" fontId="7" fillId="52" borderId="0" xfId="93" applyFill="1"/>
    <xf numFmtId="0" fontId="7" fillId="49" borderId="0" xfId="93" applyFill="1"/>
    <xf numFmtId="192" fontId="134" fillId="24" borderId="0" xfId="93" applyNumberFormat="1" applyFont="1" applyFill="1"/>
    <xf numFmtId="0" fontId="7" fillId="53" borderId="0" xfId="93" applyFill="1"/>
    <xf numFmtId="192" fontId="7" fillId="53" borderId="0" xfId="93" applyNumberFormat="1" applyFill="1"/>
    <xf numFmtId="0" fontId="130" fillId="0" borderId="0" xfId="93" applyFont="1"/>
    <xf numFmtId="192" fontId="130" fillId="0" borderId="0" xfId="93" applyNumberFormat="1" applyFont="1"/>
    <xf numFmtId="193" fontId="0" fillId="0" borderId="0" xfId="0" applyNumberFormat="1"/>
    <xf numFmtId="192" fontId="0" fillId="0" borderId="0" xfId="0" applyNumberFormat="1"/>
    <xf numFmtId="165" fontId="132" fillId="35" borderId="0" xfId="0" applyFont="1" applyFill="1"/>
    <xf numFmtId="0" fontId="17" fillId="0" borderId="0" xfId="0" quotePrefix="1" applyNumberFormat="1" applyFont="1"/>
    <xf numFmtId="168" fontId="0" fillId="32" borderId="0" xfId="0" applyNumberFormat="1" applyFill="1"/>
    <xf numFmtId="1" fontId="133" fillId="33" borderId="0" xfId="1" applyNumberFormat="1" applyFont="1" applyFill="1" applyBorder="1"/>
    <xf numFmtId="0" fontId="133" fillId="33" borderId="0" xfId="0" applyNumberFormat="1" applyFont="1" applyFill="1"/>
    <xf numFmtId="167" fontId="133" fillId="33" borderId="0" xfId="2" applyNumberFormat="1" applyFont="1" applyFill="1" applyBorder="1"/>
    <xf numFmtId="169" fontId="133" fillId="33" borderId="0" xfId="0" applyNumberFormat="1" applyFont="1" applyFill="1"/>
    <xf numFmtId="169" fontId="133" fillId="33" borderId="13" xfId="0" applyNumberFormat="1" applyFont="1" applyFill="1" applyBorder="1"/>
    <xf numFmtId="0" fontId="0" fillId="0" borderId="0" xfId="0" applyNumberFormat="1" applyAlignment="1">
      <alignment wrapText="1"/>
    </xf>
    <xf numFmtId="10" fontId="0" fillId="0" borderId="0" xfId="2" applyNumberFormat="1" applyFont="1" applyFill="1" applyAlignment="1">
      <alignment horizontal="center" vertical="center"/>
    </xf>
    <xf numFmtId="165" fontId="0" fillId="54" borderId="0" xfId="0" applyFill="1"/>
    <xf numFmtId="165" fontId="133" fillId="54" borderId="0" xfId="0" applyFont="1" applyFill="1"/>
    <xf numFmtId="0" fontId="6" fillId="56" borderId="0" xfId="93" applyFont="1" applyFill="1"/>
    <xf numFmtId="9" fontId="7" fillId="56" borderId="0" xfId="93" applyNumberFormat="1" applyFill="1"/>
    <xf numFmtId="9" fontId="136" fillId="24" borderId="0" xfId="93" applyNumberFormat="1" applyFont="1" applyFill="1"/>
    <xf numFmtId="192" fontId="137" fillId="57" borderId="0" xfId="93" applyNumberFormat="1" applyFont="1" applyFill="1"/>
    <xf numFmtId="0" fontId="137" fillId="57" borderId="0" xfId="93" applyFont="1" applyFill="1"/>
    <xf numFmtId="192" fontId="7" fillId="41" borderId="0" xfId="93" applyNumberFormat="1" applyFill="1"/>
    <xf numFmtId="0" fontId="5" fillId="0" borderId="0" xfId="94"/>
    <xf numFmtId="0" fontId="135" fillId="0" borderId="0" xfId="94" applyFont="1"/>
    <xf numFmtId="0" fontId="138" fillId="0" borderId="0" xfId="94" applyFont="1"/>
    <xf numFmtId="168" fontId="5" fillId="0" borderId="0" xfId="94" applyNumberFormat="1"/>
    <xf numFmtId="0" fontId="5" fillId="0" borderId="0" xfId="0" applyNumberFormat="1" applyFont="1" applyAlignment="1">
      <alignment horizontal="right"/>
    </xf>
    <xf numFmtId="0" fontId="5" fillId="0" borderId="0" xfId="0" applyNumberFormat="1" applyFont="1"/>
    <xf numFmtId="168" fontId="139" fillId="58" borderId="4" xfId="8" applyNumberFormat="1" applyFont="1" applyFill="1"/>
    <xf numFmtId="168" fontId="14" fillId="5" borderId="4" xfId="8" applyNumberFormat="1"/>
    <xf numFmtId="196" fontId="5" fillId="0" borderId="16" xfId="94" applyNumberFormat="1" applyBorder="1"/>
    <xf numFmtId="0" fontId="5" fillId="0" borderId="16" xfId="94" applyBorder="1"/>
    <xf numFmtId="3" fontId="5" fillId="0" borderId="0" xfId="94" applyNumberFormat="1"/>
    <xf numFmtId="0" fontId="5" fillId="0" borderId="0" xfId="94" applyAlignment="1">
      <alignment horizontal="left" indent="1"/>
    </xf>
    <xf numFmtId="0" fontId="5" fillId="0" borderId="0" xfId="94" applyAlignment="1">
      <alignment horizontal="left"/>
    </xf>
    <xf numFmtId="0" fontId="5" fillId="0" borderId="0" xfId="94" pivotButton="1"/>
    <xf numFmtId="0" fontId="140" fillId="0" borderId="100" xfId="94" applyFont="1" applyBorder="1" applyAlignment="1">
      <alignment horizontal="left"/>
    </xf>
    <xf numFmtId="0" fontId="140" fillId="0" borderId="100" xfId="94" applyFont="1" applyBorder="1" applyAlignment="1">
      <alignment horizontal="center" wrapText="1"/>
    </xf>
    <xf numFmtId="0" fontId="140" fillId="0" borderId="16" xfId="94" applyFont="1" applyBorder="1" applyAlignment="1">
      <alignment horizontal="center" wrapText="1"/>
    </xf>
    <xf numFmtId="0" fontId="5" fillId="32" borderId="0" xfId="94" applyFill="1"/>
    <xf numFmtId="195" fontId="5" fillId="32" borderId="0" xfId="94" applyNumberFormat="1" applyFill="1"/>
    <xf numFmtId="10" fontId="0" fillId="32" borderId="0" xfId="95" applyNumberFormat="1" applyFont="1" applyFill="1"/>
    <xf numFmtId="0" fontId="5" fillId="31" borderId="0" xfId="94" applyFill="1"/>
    <xf numFmtId="195" fontId="5" fillId="31" borderId="0" xfId="94" applyNumberFormat="1" applyFill="1"/>
    <xf numFmtId="10" fontId="0" fillId="31" borderId="0" xfId="95" applyNumberFormat="1" applyFont="1" applyFill="1"/>
    <xf numFmtId="197" fontId="5" fillId="32" borderId="0" xfId="94" applyNumberFormat="1" applyFill="1"/>
    <xf numFmtId="197" fontId="5" fillId="31" borderId="0" xfId="94" applyNumberFormat="1" applyFill="1"/>
    <xf numFmtId="165" fontId="17" fillId="0" borderId="42" xfId="0" applyFont="1" applyBorder="1"/>
    <xf numFmtId="165" fontId="0" fillId="59" borderId="16" xfId="0" applyFill="1" applyBorder="1"/>
    <xf numFmtId="0" fontId="4" fillId="0" borderId="0" xfId="94" applyFont="1"/>
    <xf numFmtId="0" fontId="5" fillId="24" borderId="0" xfId="94" applyFill="1"/>
    <xf numFmtId="168" fontId="5" fillId="24" borderId="0" xfId="94" applyNumberFormat="1" applyFill="1"/>
    <xf numFmtId="0" fontId="5" fillId="60" borderId="0" xfId="94" applyFill="1"/>
    <xf numFmtId="168" fontId="5" fillId="60" borderId="0" xfId="94" applyNumberFormat="1" applyFill="1"/>
    <xf numFmtId="165" fontId="0" fillId="31" borderId="16" xfId="0" applyFill="1" applyBorder="1"/>
    <xf numFmtId="0" fontId="17" fillId="0" borderId="53" xfId="0" applyNumberFormat="1" applyFont="1" applyBorder="1" applyAlignment="1">
      <alignment horizontal="left"/>
    </xf>
    <xf numFmtId="0" fontId="0" fillId="0" borderId="16" xfId="0" applyNumberFormat="1" applyBorder="1" applyAlignment="1">
      <alignment horizontal="left"/>
    </xf>
    <xf numFmtId="165" fontId="141" fillId="0" borderId="16" xfId="0" applyFont="1" applyBorder="1" applyAlignment="1">
      <alignment horizontal="left"/>
    </xf>
    <xf numFmtId="165" fontId="39" fillId="0" borderId="16" xfId="0" applyFont="1" applyBorder="1"/>
    <xf numFmtId="0" fontId="39" fillId="0" borderId="16" xfId="0" applyNumberFormat="1" applyFont="1" applyBorder="1"/>
    <xf numFmtId="0" fontId="142" fillId="35" borderId="16" xfId="0" applyNumberFormat="1" applyFont="1" applyFill="1" applyBorder="1"/>
    <xf numFmtId="0" fontId="142" fillId="62" borderId="16" xfId="0" applyNumberFormat="1" applyFont="1" applyFill="1" applyBorder="1"/>
    <xf numFmtId="0" fontId="17" fillId="55" borderId="16" xfId="0" applyNumberFormat="1" applyFont="1" applyFill="1" applyBorder="1"/>
    <xf numFmtId="0" fontId="4" fillId="61" borderId="0" xfId="94" applyFont="1" applyFill="1"/>
    <xf numFmtId="0" fontId="5" fillId="61" borderId="0" xfId="94" applyFill="1"/>
    <xf numFmtId="41" fontId="5" fillId="61" borderId="0" xfId="94" applyNumberFormat="1" applyFill="1"/>
    <xf numFmtId="2" fontId="0" fillId="54" borderId="0" xfId="0" applyNumberFormat="1" applyFill="1"/>
    <xf numFmtId="0" fontId="0" fillId="54" borderId="0" xfId="0" applyNumberFormat="1" applyFill="1"/>
    <xf numFmtId="10" fontId="39" fillId="31" borderId="16" xfId="2" applyNumberFormat="1" applyFont="1" applyFill="1" applyBorder="1"/>
    <xf numFmtId="165" fontId="39" fillId="0" borderId="0" xfId="0" applyFont="1"/>
    <xf numFmtId="165" fontId="39" fillId="55" borderId="16" xfId="0" applyFont="1" applyFill="1" applyBorder="1"/>
    <xf numFmtId="165" fontId="39" fillId="54" borderId="16" xfId="0" applyFont="1" applyFill="1" applyBorder="1"/>
    <xf numFmtId="3" fontId="5" fillId="55" borderId="0" xfId="94" applyNumberFormat="1" applyFill="1"/>
    <xf numFmtId="0" fontId="4" fillId="55" borderId="0" xfId="94" applyFont="1" applyFill="1"/>
    <xf numFmtId="194" fontId="0" fillId="0" borderId="0" xfId="0" applyNumberFormat="1"/>
    <xf numFmtId="168" fontId="0" fillId="31" borderId="0" xfId="0" applyNumberFormat="1" applyFill="1"/>
    <xf numFmtId="168" fontId="0" fillId="28" borderId="0" xfId="0" applyNumberFormat="1" applyFill="1"/>
    <xf numFmtId="3" fontId="39" fillId="0" borderId="16" xfId="0" applyNumberFormat="1" applyFont="1" applyBorder="1"/>
    <xf numFmtId="3" fontId="39" fillId="25" borderId="16" xfId="0" applyNumberFormat="1" applyFont="1" applyFill="1" applyBorder="1"/>
    <xf numFmtId="3" fontId="39" fillId="59" borderId="16" xfId="0" applyNumberFormat="1" applyFont="1" applyFill="1" applyBorder="1"/>
    <xf numFmtId="3" fontId="39" fillId="50" borderId="16" xfId="0" applyNumberFormat="1" applyFont="1" applyFill="1" applyBorder="1"/>
    <xf numFmtId="165" fontId="39" fillId="31" borderId="16" xfId="0" applyFont="1" applyFill="1" applyBorder="1"/>
    <xf numFmtId="0" fontId="143" fillId="0" borderId="92" xfId="26" applyFont="1" applyBorder="1" applyAlignment="1">
      <alignment horizontal="left" vertical="top"/>
    </xf>
    <xf numFmtId="0" fontId="88" fillId="0" borderId="91" xfId="26" applyFont="1" applyBorder="1" applyAlignment="1">
      <alignment horizontal="left" vertical="top"/>
    </xf>
    <xf numFmtId="0" fontId="88" fillId="0" borderId="92" xfId="26" applyFont="1" applyBorder="1" applyAlignment="1">
      <alignment horizontal="left" vertical="top"/>
    </xf>
    <xf numFmtId="0" fontId="88" fillId="0" borderId="93" xfId="26" applyFont="1" applyBorder="1" applyAlignment="1">
      <alignment horizontal="left" vertical="top"/>
    </xf>
    <xf numFmtId="165" fontId="4" fillId="0" borderId="0" xfId="0" applyFont="1" applyAlignment="1">
      <alignment horizontal="right"/>
    </xf>
    <xf numFmtId="168" fontId="144" fillId="5" borderId="4" xfId="8" applyNumberFormat="1" applyFont="1"/>
    <xf numFmtId="165" fontId="4" fillId="0" borderId="0" xfId="0" applyFont="1"/>
    <xf numFmtId="0" fontId="88" fillId="0" borderId="0" xfId="26" applyFont="1" applyAlignment="1">
      <alignment horizontal="left" vertical="top"/>
    </xf>
    <xf numFmtId="0" fontId="88" fillId="0" borderId="94" xfId="26" applyFont="1" applyBorder="1" applyAlignment="1">
      <alignment horizontal="left" vertical="top"/>
    </xf>
    <xf numFmtId="0" fontId="145" fillId="0" borderId="80" xfId="26" applyFont="1" applyBorder="1" applyAlignment="1">
      <alignment horizontal="left" vertical="top"/>
    </xf>
    <xf numFmtId="0" fontId="145" fillId="0" borderId="0" xfId="26" applyFont="1" applyAlignment="1">
      <alignment horizontal="left" vertical="top"/>
    </xf>
    <xf numFmtId="0" fontId="146" fillId="0" borderId="0" xfId="26" applyFont="1" applyAlignment="1">
      <alignment horizontal="left" vertical="top"/>
    </xf>
    <xf numFmtId="0" fontId="147" fillId="33" borderId="0" xfId="21" applyFont="1" applyFill="1"/>
    <xf numFmtId="0" fontId="147" fillId="33" borderId="94" xfId="21" applyFont="1" applyFill="1" applyBorder="1"/>
    <xf numFmtId="0" fontId="148" fillId="35" borderId="80" xfId="21" applyFont="1" applyFill="1" applyBorder="1"/>
    <xf numFmtId="0" fontId="148" fillId="35" borderId="0" xfId="21" applyFont="1" applyFill="1"/>
    <xf numFmtId="0" fontId="148" fillId="35" borderId="94" xfId="21" applyFont="1" applyFill="1" applyBorder="1"/>
    <xf numFmtId="0" fontId="88" fillId="0" borderId="80" xfId="26" applyFont="1" applyBorder="1" applyAlignment="1">
      <alignment horizontal="left" vertical="top"/>
    </xf>
    <xf numFmtId="182" fontId="147" fillId="0" borderId="95" xfId="21" applyNumberFormat="1" applyFont="1" applyBorder="1"/>
    <xf numFmtId="182" fontId="147" fillId="0" borderId="74" xfId="21" applyNumberFormat="1" applyFont="1" applyBorder="1"/>
    <xf numFmtId="182" fontId="147" fillId="0" borderId="96" xfId="21" applyNumberFormat="1" applyFont="1" applyBorder="1"/>
    <xf numFmtId="182" fontId="147" fillId="0" borderId="80" xfId="21" applyNumberFormat="1" applyFont="1" applyBorder="1"/>
    <xf numFmtId="182" fontId="147" fillId="0" borderId="0" xfId="21" applyNumberFormat="1" applyFont="1"/>
    <xf numFmtId="182" fontId="147" fillId="0" borderId="94" xfId="21" applyNumberFormat="1" applyFont="1" applyBorder="1"/>
    <xf numFmtId="181" fontId="147" fillId="0" borderId="80" xfId="21" applyNumberFormat="1" applyFont="1" applyBorder="1"/>
    <xf numFmtId="181" fontId="147" fillId="0" borderId="0" xfId="21" applyNumberFormat="1" applyFont="1"/>
    <xf numFmtId="181" fontId="147" fillId="0" borderId="94" xfId="21" applyNumberFormat="1" applyFont="1" applyBorder="1"/>
    <xf numFmtId="0" fontId="147" fillId="33" borderId="80" xfId="21" applyFont="1" applyFill="1" applyBorder="1"/>
    <xf numFmtId="0" fontId="88" fillId="0" borderId="97" xfId="26" applyFont="1" applyBorder="1" applyAlignment="1">
      <alignment horizontal="left" vertical="top"/>
    </xf>
    <xf numFmtId="0" fontId="88" fillId="0" borderId="98" xfId="26" applyFont="1" applyBorder="1" applyAlignment="1">
      <alignment horizontal="left" vertical="top"/>
    </xf>
    <xf numFmtId="0" fontId="88" fillId="0" borderId="99" xfId="26" applyFont="1" applyBorder="1" applyAlignment="1">
      <alignment horizontal="left" vertical="top"/>
    </xf>
    <xf numFmtId="3" fontId="39" fillId="31" borderId="16" xfId="0" applyNumberFormat="1" applyFont="1" applyFill="1" applyBorder="1"/>
    <xf numFmtId="165" fontId="39" fillId="63" borderId="16" xfId="0" applyFont="1" applyFill="1" applyBorder="1"/>
    <xf numFmtId="0" fontId="0" fillId="59" borderId="16" xfId="0" applyNumberFormat="1" applyFill="1" applyBorder="1"/>
    <xf numFmtId="168" fontId="0" fillId="59" borderId="16" xfId="0" applyNumberFormat="1" applyFill="1" applyBorder="1"/>
    <xf numFmtId="165" fontId="0" fillId="50" borderId="16" xfId="0" applyFill="1" applyBorder="1"/>
    <xf numFmtId="2" fontId="108" fillId="0" borderId="0" xfId="82" applyNumberFormat="1" applyFill="1" applyAlignment="1">
      <alignment horizontal="center"/>
    </xf>
    <xf numFmtId="0" fontId="5" fillId="32" borderId="16" xfId="94" applyFill="1" applyBorder="1"/>
    <xf numFmtId="195" fontId="5" fillId="32" borderId="16" xfId="94" applyNumberFormat="1" applyFill="1" applyBorder="1"/>
    <xf numFmtId="165" fontId="0" fillId="61" borderId="16" xfId="0" applyFill="1" applyBorder="1"/>
    <xf numFmtId="3" fontId="39" fillId="61" borderId="16" xfId="0" applyNumberFormat="1" applyFont="1" applyFill="1" applyBorder="1"/>
    <xf numFmtId="165" fontId="39" fillId="61" borderId="16" xfId="0" applyFont="1" applyFill="1" applyBorder="1"/>
    <xf numFmtId="0" fontId="3" fillId="0" borderId="0" xfId="94" applyFont="1"/>
    <xf numFmtId="0" fontId="2" fillId="0" borderId="0" xfId="94" applyFont="1"/>
    <xf numFmtId="0" fontId="2" fillId="32" borderId="0" xfId="94" applyFont="1" applyFill="1"/>
    <xf numFmtId="0" fontId="1" fillId="0" borderId="0" xfId="94" applyFont="1"/>
    <xf numFmtId="9" fontId="5" fillId="24" borderId="0" xfId="94" applyNumberFormat="1" applyFill="1"/>
    <xf numFmtId="0" fontId="88" fillId="24" borderId="0" xfId="26" applyFont="1" applyFill="1" applyAlignment="1">
      <alignment horizontal="left" vertical="top"/>
    </xf>
    <xf numFmtId="0" fontId="112" fillId="0" borderId="0" xfId="12" applyFont="1" applyAlignment="1">
      <alignment horizontal="center"/>
    </xf>
    <xf numFmtId="165" fontId="93" fillId="0" borderId="22" xfId="0" applyFont="1" applyBorder="1" applyAlignment="1">
      <alignment horizontal="left" vertical="center"/>
    </xf>
    <xf numFmtId="165" fontId="93" fillId="0" borderId="10" xfId="0" applyFont="1" applyBorder="1" applyAlignment="1">
      <alignment horizontal="left" vertical="center"/>
    </xf>
    <xf numFmtId="165" fontId="93" fillId="0" borderId="22" xfId="0" applyFont="1" applyBorder="1" applyAlignment="1">
      <alignment horizontal="center" vertical="center" wrapText="1"/>
    </xf>
    <xf numFmtId="165" fontId="93" fillId="0" borderId="10" xfId="0" applyFont="1" applyBorder="1" applyAlignment="1">
      <alignment horizontal="center" vertical="center" wrapText="1"/>
    </xf>
    <xf numFmtId="165" fontId="93" fillId="0" borderId="22" xfId="0" applyFont="1" applyBorder="1" applyAlignment="1">
      <alignment horizontal="center" vertical="center"/>
    </xf>
    <xf numFmtId="165" fontId="93" fillId="0" borderId="10" xfId="0" applyFont="1" applyBorder="1" applyAlignment="1">
      <alignment horizontal="center" vertical="center"/>
    </xf>
    <xf numFmtId="165" fontId="93" fillId="0" borderId="20" xfId="0" applyFont="1" applyBorder="1" applyAlignment="1">
      <alignment horizontal="center" vertical="center" wrapText="1"/>
    </xf>
    <xf numFmtId="165" fontId="93" fillId="0" borderId="8" xfId="0" applyFont="1" applyBorder="1" applyAlignment="1">
      <alignment horizontal="center" vertical="center" wrapText="1"/>
    </xf>
    <xf numFmtId="0" fontId="135" fillId="56" borderId="0" xfId="93" applyFont="1" applyFill="1" applyAlignment="1">
      <alignment horizontal="center"/>
    </xf>
    <xf numFmtId="0" fontId="137" fillId="57" borderId="0" xfId="93" applyFont="1" applyFill="1" applyAlignment="1">
      <alignment wrapText="1"/>
    </xf>
  </cellXfs>
  <cellStyles count="96">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 2" xfId="93" xr:uid="{A281B63C-8D38-412A-B195-542A9F8856F3}"/>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 xfId="94" xr:uid="{C5F718BC-92E7-4FEA-94C8-11A4105DA697}"/>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Percent 3" xfId="95" xr:uid="{3D3906E7-526A-44C6-8299-AC2DBD119B5E}"/>
    <cellStyle name="Währung_Excel2" xfId="66" xr:uid="{78A0101A-221E-43CC-8A5E-27AF7CEA13B7}"/>
  </cellStyles>
  <dxfs count="3">
    <dxf>
      <fill>
        <patternFill>
          <bgColor theme="9" tint="0.59996337778862885"/>
        </patternFill>
      </fill>
    </dxf>
    <dxf>
      <fill>
        <patternFill>
          <bgColor rgb="FF00B050"/>
        </patternFill>
      </fill>
    </dxf>
    <dxf>
      <fill>
        <patternFill>
          <bgColor rgb="FFFF0000"/>
        </patternFill>
      </fill>
    </dxf>
  </dxfs>
  <tableStyles count="0" defaultTableStyle="TableStyleMedium2" defaultPivotStyle="PivotStyleLight16"/>
  <colors>
    <mruColors>
      <color rgb="FF00FF00"/>
      <color rgb="FFFFC1DA"/>
      <color rgb="FF9BFF9B"/>
      <color rgb="FF008000"/>
      <color rgb="FFAFEA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eff data 2023'!$N$1</c:f>
              <c:strCache>
                <c:ptCount val="1"/>
                <c:pt idx="0">
                  <c:v>PAS</c:v>
                </c:pt>
              </c:strCache>
            </c:strRef>
          </c:tx>
          <c:spPr>
            <a:ln w="28575" cap="rnd">
              <a:solidFill>
                <a:schemeClr val="accent1"/>
              </a:solidFill>
              <a:round/>
            </a:ln>
            <a:effectLst/>
          </c:spPr>
          <c:marker>
            <c:symbol val="none"/>
          </c:marker>
          <c:cat>
            <c:numRef>
              <c:f>'Vehicle eff data 2023'!$Q$16:$U$16</c:f>
              <c:numCache>
                <c:formatCode>General</c:formatCode>
                <c:ptCount val="5"/>
                <c:pt idx="0">
                  <c:v>2017</c:v>
                </c:pt>
                <c:pt idx="1">
                  <c:v>2020</c:v>
                </c:pt>
                <c:pt idx="2">
                  <c:v>2030</c:v>
                </c:pt>
                <c:pt idx="3">
                  <c:v>2040</c:v>
                </c:pt>
                <c:pt idx="4">
                  <c:v>2050</c:v>
                </c:pt>
              </c:numCache>
            </c:numRef>
          </c:cat>
          <c:val>
            <c:numRef>
              <c:f>'Vehicle eff data 2023'!$Q$1:$U$1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eff data 2023'!$N$2</c:f>
              <c:strCache>
                <c:ptCount val="1"/>
                <c:pt idx="0">
                  <c:v>FRE</c:v>
                </c:pt>
              </c:strCache>
            </c:strRef>
          </c:tx>
          <c:spPr>
            <a:ln w="28575" cap="rnd">
              <a:solidFill>
                <a:schemeClr val="accent2"/>
              </a:solidFill>
              <a:round/>
            </a:ln>
            <a:effectLst/>
          </c:spPr>
          <c:marker>
            <c:symbol val="none"/>
          </c:marker>
          <c:val>
            <c:numRef>
              <c:f>'Vehicle eff data 2023'!$Q$2:$U$2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CostProjections!$O$76</c:f>
              <c:strCache>
                <c:ptCount val="1"/>
                <c:pt idx="0">
                  <c:v>TFHCV6ODS-E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CostProjections!$Q$76:$W$76</c:f>
              <c:numCache>
                <c:formatCode>#,##0</c:formatCode>
                <c:ptCount val="7"/>
                <c:pt idx="0">
                  <c:v>1236875.4586946308</c:v>
                </c:pt>
                <c:pt idx="1">
                  <c:v>1259300.1215790692</c:v>
                </c:pt>
                <c:pt idx="2">
                  <c:v>1268606.6034712414</c:v>
                </c:pt>
                <c:pt idx="3">
                  <c:v>1274447.1991043973</c:v>
                </c:pt>
                <c:pt idx="4">
                  <c:v>1280287.7947375535</c:v>
                </c:pt>
                <c:pt idx="5">
                  <c:v>1286818.6131662561</c:v>
                </c:pt>
                <c:pt idx="6">
                  <c:v>1293349.4315949583</c:v>
                </c:pt>
              </c:numCache>
            </c:numRef>
          </c:val>
          <c:smooth val="0"/>
          <c:extLst>
            <c:ext xmlns:c16="http://schemas.microsoft.com/office/drawing/2014/chart" uri="{C3380CC4-5D6E-409C-BE32-E72D297353CC}">
              <c16:uniqueId val="{00000000-D54B-473B-A435-61DDB7352850}"/>
            </c:ext>
          </c:extLst>
        </c:ser>
        <c:ser>
          <c:idx val="1"/>
          <c:order val="1"/>
          <c:tx>
            <c:strRef>
              <c:f>CostProjections!$O$77</c:f>
              <c:strCache>
                <c:ptCount val="1"/>
                <c:pt idx="0">
                  <c:v>TFHCV6ELC-E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CostProjections!$Q$77:$W$77</c:f>
              <c:numCache>
                <c:formatCode>#,##0</c:formatCode>
                <c:ptCount val="7"/>
                <c:pt idx="0">
                  <c:v>2384627.9677860192</c:v>
                </c:pt>
                <c:pt idx="1">
                  <c:v>1892290.2606066011</c:v>
                </c:pt>
                <c:pt idx="2">
                  <c:v>1555956.2522543021</c:v>
                </c:pt>
                <c:pt idx="3">
                  <c:v>1480649.852323113</c:v>
                </c:pt>
                <c:pt idx="4">
                  <c:v>1405343.4523919236</c:v>
                </c:pt>
                <c:pt idx="5">
                  <c:v>1379990.4456593245</c:v>
                </c:pt>
                <c:pt idx="6">
                  <c:v>1354637.4389267245</c:v>
                </c:pt>
              </c:numCache>
            </c:numRef>
          </c:val>
          <c:smooth val="0"/>
          <c:extLst>
            <c:ext xmlns:c16="http://schemas.microsoft.com/office/drawing/2014/chart" uri="{C3380CC4-5D6E-409C-BE32-E72D297353CC}">
              <c16:uniqueId val="{00000001-D54B-473B-A435-61DDB7352850}"/>
            </c:ext>
          </c:extLst>
        </c:ser>
        <c:ser>
          <c:idx val="2"/>
          <c:order val="2"/>
          <c:tx>
            <c:strRef>
              <c:f>CostProjections!$O$78</c:f>
              <c:strCache>
                <c:ptCount val="1"/>
                <c:pt idx="0">
                  <c:v>TFHCV6HGN-E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CostProjections!$Q$78:$W$78</c:f>
              <c:numCache>
                <c:formatCode>#,##0</c:formatCode>
                <c:ptCount val="7"/>
                <c:pt idx="0">
                  <c:v>2103580.8058416173</c:v>
                </c:pt>
                <c:pt idx="1">
                  <c:v>1852775.5101623938</c:v>
                </c:pt>
                <c:pt idx="2">
                  <c:v>1739587.6503793534</c:v>
                </c:pt>
                <c:pt idx="3">
                  <c:v>1651290.4097272744</c:v>
                </c:pt>
                <c:pt idx="4">
                  <c:v>1562993.1690751896</c:v>
                </c:pt>
                <c:pt idx="5">
                  <c:v>1550223.6126251831</c:v>
                </c:pt>
                <c:pt idx="6">
                  <c:v>1537454.0561751763</c:v>
                </c:pt>
              </c:numCache>
            </c:numRef>
          </c:val>
          <c:smooth val="0"/>
          <c:extLst>
            <c:ext xmlns:c16="http://schemas.microsoft.com/office/drawing/2014/chart" uri="{C3380CC4-5D6E-409C-BE32-E72D297353CC}">
              <c16:uniqueId val="{00000002-D54B-473B-A435-61DDB7352850}"/>
            </c:ext>
          </c:extLst>
        </c:ser>
        <c:ser>
          <c:idx val="3"/>
          <c:order val="3"/>
          <c:tx>
            <c:strRef>
              <c:f>CostProjections!$O$79</c:f>
              <c:strCache>
                <c:ptCount val="1"/>
                <c:pt idx="0">
                  <c:v>TFHCV6GAS-E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CostProjections!$Q$79:$W$79</c:f>
              <c:numCache>
                <c:formatCode>#,##0</c:formatCode>
                <c:ptCount val="7"/>
                <c:pt idx="0">
                  <c:v>1356210.0205732421</c:v>
                </c:pt>
                <c:pt idx="1">
                  <c:v>1350225.5130966215</c:v>
                </c:pt>
                <c:pt idx="2">
                  <c:v>1330919.1635879462</c:v>
                </c:pt>
                <c:pt idx="3">
                  <c:v>1321415.7483544094</c:v>
                </c:pt>
                <c:pt idx="4">
                  <c:v>1312349.2139531781</c:v>
                </c:pt>
                <c:pt idx="5">
                  <c:v>1311596.554867326</c:v>
                </c:pt>
                <c:pt idx="6">
                  <c:v>1310936.2527254561</c:v>
                </c:pt>
              </c:numCache>
            </c:numRef>
          </c:val>
          <c:smooth val="0"/>
          <c:extLst>
            <c:ext xmlns:c16="http://schemas.microsoft.com/office/drawing/2014/chart" uri="{C3380CC4-5D6E-409C-BE32-E72D297353CC}">
              <c16:uniqueId val="{00000003-D54B-473B-A435-61DDB7352850}"/>
            </c:ext>
          </c:extLst>
        </c:ser>
        <c:ser>
          <c:idx val="4"/>
          <c:order val="4"/>
          <c:tx>
            <c:strRef>
              <c:f>CostProjections!$O$80</c:f>
              <c:strCache>
                <c:ptCount val="1"/>
                <c:pt idx="0">
                  <c:v>TFHCV7ODS-E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CostProjections!$Q$80:$W$80</c:f>
              <c:numCache>
                <c:formatCode>#,##0</c:formatCode>
                <c:ptCount val="7"/>
                <c:pt idx="0">
                  <c:v>1949624.2731762372</c:v>
                </c:pt>
                <c:pt idx="1">
                  <c:v>1983417.2204832013</c:v>
                </c:pt>
                <c:pt idx="2">
                  <c:v>1990142.9808259746</c:v>
                </c:pt>
                <c:pt idx="3">
                  <c:v>1999899.8869915053</c:v>
                </c:pt>
                <c:pt idx="4">
                  <c:v>2009656.793157036</c:v>
                </c:pt>
                <c:pt idx="5">
                  <c:v>2023085.3854772397</c:v>
                </c:pt>
                <c:pt idx="6">
                  <c:v>2036513.9777974437</c:v>
                </c:pt>
              </c:numCache>
            </c:numRef>
          </c:val>
          <c:smooth val="0"/>
          <c:extLst>
            <c:ext xmlns:c16="http://schemas.microsoft.com/office/drawing/2014/chart" uri="{C3380CC4-5D6E-409C-BE32-E72D297353CC}">
              <c16:uniqueId val="{00000004-D54B-473B-A435-61DDB7352850}"/>
            </c:ext>
          </c:extLst>
        </c:ser>
        <c:ser>
          <c:idx val="5"/>
          <c:order val="5"/>
          <c:tx>
            <c:strRef>
              <c:f>CostProjections!$O$81</c:f>
              <c:strCache>
                <c:ptCount val="1"/>
                <c:pt idx="0">
                  <c:v>TFHCV7ELC-E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CostProjections!$Q$81:$W$81</c:f>
              <c:numCache>
                <c:formatCode>#,##0</c:formatCode>
                <c:ptCount val="7"/>
                <c:pt idx="0">
                  <c:v>3660097.9858331708</c:v>
                </c:pt>
                <c:pt idx="1">
                  <c:v>2931554.4715875085</c:v>
                </c:pt>
                <c:pt idx="2">
                  <c:v>2442456.6199664399</c:v>
                </c:pt>
                <c:pt idx="3">
                  <c:v>2331351.5301096672</c:v>
                </c:pt>
                <c:pt idx="4">
                  <c:v>2220246.4402529029</c:v>
                </c:pt>
                <c:pt idx="5">
                  <c:v>2192936.7531741075</c:v>
                </c:pt>
                <c:pt idx="6">
                  <c:v>2165627.0660953103</c:v>
                </c:pt>
              </c:numCache>
            </c:numRef>
          </c:val>
          <c:smooth val="0"/>
          <c:extLst>
            <c:ext xmlns:c16="http://schemas.microsoft.com/office/drawing/2014/chart" uri="{C3380CC4-5D6E-409C-BE32-E72D297353CC}">
              <c16:uniqueId val="{00000005-D54B-473B-A435-61DDB7352850}"/>
            </c:ext>
          </c:extLst>
        </c:ser>
        <c:ser>
          <c:idx val="6"/>
          <c:order val="6"/>
          <c:tx>
            <c:strRef>
              <c:f>CostProjections!$O$82</c:f>
              <c:strCache>
                <c:ptCount val="1"/>
                <c:pt idx="0">
                  <c:v>TFHCV7HGN-E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CostProjections!$Q$82:$W$82</c:f>
              <c:numCache>
                <c:formatCode>#,##0</c:formatCode>
                <c:ptCount val="7"/>
                <c:pt idx="0">
                  <c:v>3580960.3287163149</c:v>
                </c:pt>
                <c:pt idx="1">
                  <c:v>3132426.6457031942</c:v>
                </c:pt>
                <c:pt idx="2">
                  <c:v>2918161.3954098346</c:v>
                </c:pt>
                <c:pt idx="3">
                  <c:v>2768353.9457765967</c:v>
                </c:pt>
                <c:pt idx="4">
                  <c:v>2618546.4961433574</c:v>
                </c:pt>
                <c:pt idx="5">
                  <c:v>2590395.2900152984</c:v>
                </c:pt>
                <c:pt idx="6">
                  <c:v>2562244.0838872395</c:v>
                </c:pt>
              </c:numCache>
            </c:numRef>
          </c:val>
          <c:smooth val="0"/>
          <c:extLst>
            <c:ext xmlns:c16="http://schemas.microsoft.com/office/drawing/2014/chart" uri="{C3380CC4-5D6E-409C-BE32-E72D297353CC}">
              <c16:uniqueId val="{00000006-D54B-473B-A435-61DDB7352850}"/>
            </c:ext>
          </c:extLst>
        </c:ser>
        <c:ser>
          <c:idx val="7"/>
          <c:order val="7"/>
          <c:tx>
            <c:strRef>
              <c:f>CostProjections!$O$83</c:f>
              <c:strCache>
                <c:ptCount val="1"/>
                <c:pt idx="0">
                  <c:v>TFHCV7GAS-E</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CostProjections!$Q$83:$W$83</c:f>
              <c:numCache>
                <c:formatCode>#,##0</c:formatCode>
                <c:ptCount val="7"/>
                <c:pt idx="0">
                  <c:v>2261026.067842951</c:v>
                </c:pt>
                <c:pt idx="1">
                  <c:v>2235789.5114027858</c:v>
                </c:pt>
                <c:pt idx="2">
                  <c:v>2181903.1091055456</c:v>
                </c:pt>
                <c:pt idx="3">
                  <c:v>2167492.5676747188</c:v>
                </c:pt>
                <c:pt idx="4">
                  <c:v>2153769.1968837515</c:v>
                </c:pt>
                <c:pt idx="5">
                  <c:v>2152889.9182083183</c:v>
                </c:pt>
                <c:pt idx="6">
                  <c:v>2152152.8398992391</c:v>
                </c:pt>
              </c:numCache>
            </c:numRef>
          </c:val>
          <c:smooth val="0"/>
          <c:extLst>
            <c:ext xmlns:c16="http://schemas.microsoft.com/office/drawing/2014/chart" uri="{C3380CC4-5D6E-409C-BE32-E72D297353CC}">
              <c16:uniqueId val="{00000007-D54B-473B-A435-61DDB7352850}"/>
            </c:ext>
          </c:extLst>
        </c:ser>
        <c:ser>
          <c:idx val="8"/>
          <c:order val="8"/>
          <c:tx>
            <c:strRef>
              <c:f>CostProjections!$O$84</c:f>
              <c:strCache>
                <c:ptCount val="1"/>
                <c:pt idx="0">
                  <c:v>TFHCV8ODS-E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CostProjections!$Q$84:$W$84</c:f>
              <c:numCache>
                <c:formatCode>#,##0</c:formatCode>
                <c:ptCount val="7"/>
                <c:pt idx="0">
                  <c:v>1949624.2731762372</c:v>
                </c:pt>
                <c:pt idx="1">
                  <c:v>1983417.2204832013</c:v>
                </c:pt>
                <c:pt idx="2">
                  <c:v>1990142.9808259746</c:v>
                </c:pt>
                <c:pt idx="3">
                  <c:v>1999899.8869915053</c:v>
                </c:pt>
                <c:pt idx="4">
                  <c:v>2009656.793157036</c:v>
                </c:pt>
                <c:pt idx="5">
                  <c:v>2023085.3854772397</c:v>
                </c:pt>
                <c:pt idx="6">
                  <c:v>2036513.9777974437</c:v>
                </c:pt>
              </c:numCache>
            </c:numRef>
          </c:val>
          <c:smooth val="0"/>
          <c:extLst>
            <c:ext xmlns:c16="http://schemas.microsoft.com/office/drawing/2014/chart" uri="{C3380CC4-5D6E-409C-BE32-E72D297353CC}">
              <c16:uniqueId val="{00000008-D54B-473B-A435-61DDB7352850}"/>
            </c:ext>
          </c:extLst>
        </c:ser>
        <c:ser>
          <c:idx val="9"/>
          <c:order val="9"/>
          <c:tx>
            <c:strRef>
              <c:f>CostProjections!$O$85</c:f>
              <c:strCache>
                <c:ptCount val="1"/>
                <c:pt idx="0">
                  <c:v>TFHCV8ELC-E</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CostProjections!$Q$85:$W$85</c:f>
              <c:numCache>
                <c:formatCode>#,##0</c:formatCode>
                <c:ptCount val="7"/>
                <c:pt idx="0">
                  <c:v>3660097.9858331708</c:v>
                </c:pt>
                <c:pt idx="1">
                  <c:v>2931554.4715875085</c:v>
                </c:pt>
                <c:pt idx="2">
                  <c:v>2442456.6199664399</c:v>
                </c:pt>
                <c:pt idx="3">
                  <c:v>2331351.5301096672</c:v>
                </c:pt>
                <c:pt idx="4">
                  <c:v>2220246.4402529029</c:v>
                </c:pt>
                <c:pt idx="5">
                  <c:v>2192936.7531741075</c:v>
                </c:pt>
                <c:pt idx="6">
                  <c:v>2165627.0660953103</c:v>
                </c:pt>
              </c:numCache>
            </c:numRef>
          </c:val>
          <c:smooth val="0"/>
          <c:extLst>
            <c:ext xmlns:c16="http://schemas.microsoft.com/office/drawing/2014/chart" uri="{C3380CC4-5D6E-409C-BE32-E72D297353CC}">
              <c16:uniqueId val="{00000009-D54B-473B-A435-61DDB7352850}"/>
            </c:ext>
          </c:extLst>
        </c:ser>
        <c:ser>
          <c:idx val="10"/>
          <c:order val="10"/>
          <c:tx>
            <c:strRef>
              <c:f>CostProjections!$O$86</c:f>
              <c:strCache>
                <c:ptCount val="1"/>
                <c:pt idx="0">
                  <c:v>TFHCV8HGN-E</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CostProjections!$Q$86:$W$86</c:f>
              <c:numCache>
                <c:formatCode>#,##0</c:formatCode>
                <c:ptCount val="7"/>
                <c:pt idx="0">
                  <c:v>3580960.3287163149</c:v>
                </c:pt>
                <c:pt idx="1">
                  <c:v>3132426.6457031942</c:v>
                </c:pt>
                <c:pt idx="2">
                  <c:v>2918161.3954098346</c:v>
                </c:pt>
                <c:pt idx="3">
                  <c:v>2768353.9457765967</c:v>
                </c:pt>
                <c:pt idx="4">
                  <c:v>2618546.4961433574</c:v>
                </c:pt>
                <c:pt idx="5">
                  <c:v>2590395.2900152984</c:v>
                </c:pt>
                <c:pt idx="6">
                  <c:v>2562244.0838872395</c:v>
                </c:pt>
              </c:numCache>
            </c:numRef>
          </c:val>
          <c:smooth val="0"/>
          <c:extLst>
            <c:ext xmlns:c16="http://schemas.microsoft.com/office/drawing/2014/chart" uri="{C3380CC4-5D6E-409C-BE32-E72D297353CC}">
              <c16:uniqueId val="{0000000A-D54B-473B-A435-61DDB7352850}"/>
            </c:ext>
          </c:extLst>
        </c:ser>
        <c:ser>
          <c:idx val="11"/>
          <c:order val="11"/>
          <c:tx>
            <c:strRef>
              <c:f>CostProjections!$O$87</c:f>
              <c:strCache>
                <c:ptCount val="1"/>
                <c:pt idx="0">
                  <c:v>TFHCV8GAS-E</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val>
            <c:numRef>
              <c:f>CostProjections!$Q$87:$W$87</c:f>
              <c:numCache>
                <c:formatCode>#,##0</c:formatCode>
                <c:ptCount val="7"/>
                <c:pt idx="0">
                  <c:v>2261026.067842951</c:v>
                </c:pt>
                <c:pt idx="1">
                  <c:v>2235789.5114027858</c:v>
                </c:pt>
                <c:pt idx="2">
                  <c:v>2181903.1091055456</c:v>
                </c:pt>
                <c:pt idx="3">
                  <c:v>2167492.5676747188</c:v>
                </c:pt>
                <c:pt idx="4">
                  <c:v>2153769.1968837515</c:v>
                </c:pt>
                <c:pt idx="5">
                  <c:v>2152889.9182083183</c:v>
                </c:pt>
                <c:pt idx="6">
                  <c:v>2152152.8398992391</c:v>
                </c:pt>
              </c:numCache>
            </c:numRef>
          </c:val>
          <c:smooth val="0"/>
          <c:extLst>
            <c:ext xmlns:c16="http://schemas.microsoft.com/office/drawing/2014/chart" uri="{C3380CC4-5D6E-409C-BE32-E72D297353CC}">
              <c16:uniqueId val="{0000000B-D54B-473B-A435-61DDB7352850}"/>
            </c:ext>
          </c:extLst>
        </c:ser>
        <c:ser>
          <c:idx val="12"/>
          <c:order val="12"/>
          <c:tx>
            <c:strRef>
              <c:f>CostProjections!$O$88</c:f>
              <c:strCache>
                <c:ptCount val="1"/>
                <c:pt idx="0">
                  <c:v>TFHCV9ODS-E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CostProjections!$Q$88:$W$88</c:f>
              <c:numCache>
                <c:formatCode>#,##0</c:formatCode>
                <c:ptCount val="7"/>
                <c:pt idx="0">
                  <c:v>1949624.2731762372</c:v>
                </c:pt>
                <c:pt idx="1">
                  <c:v>1983417.2204832013</c:v>
                </c:pt>
                <c:pt idx="2">
                  <c:v>1990142.9808259746</c:v>
                </c:pt>
                <c:pt idx="3">
                  <c:v>1999899.8869915053</c:v>
                </c:pt>
                <c:pt idx="4">
                  <c:v>2009656.793157036</c:v>
                </c:pt>
                <c:pt idx="5">
                  <c:v>2023085.3854772397</c:v>
                </c:pt>
                <c:pt idx="6">
                  <c:v>2036513.9777974437</c:v>
                </c:pt>
              </c:numCache>
            </c:numRef>
          </c:val>
          <c:smooth val="0"/>
          <c:extLst>
            <c:ext xmlns:c16="http://schemas.microsoft.com/office/drawing/2014/chart" uri="{C3380CC4-5D6E-409C-BE32-E72D297353CC}">
              <c16:uniqueId val="{0000000C-D54B-473B-A435-61DDB7352850}"/>
            </c:ext>
          </c:extLst>
        </c:ser>
        <c:ser>
          <c:idx val="13"/>
          <c:order val="13"/>
          <c:tx>
            <c:strRef>
              <c:f>CostProjections!$O$89</c:f>
              <c:strCache>
                <c:ptCount val="1"/>
                <c:pt idx="0">
                  <c:v>TFHCV9ELC-E</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CostProjections!$Q$89:$W$89</c:f>
              <c:numCache>
                <c:formatCode>#,##0</c:formatCode>
                <c:ptCount val="7"/>
                <c:pt idx="0">
                  <c:v>3660097.9858331708</c:v>
                </c:pt>
                <c:pt idx="1">
                  <c:v>2931554.4715875085</c:v>
                </c:pt>
                <c:pt idx="2">
                  <c:v>2442456.6199664399</c:v>
                </c:pt>
                <c:pt idx="3">
                  <c:v>2331351.5301096672</c:v>
                </c:pt>
                <c:pt idx="4">
                  <c:v>2220246.4402529029</c:v>
                </c:pt>
                <c:pt idx="5">
                  <c:v>2192936.7531741075</c:v>
                </c:pt>
                <c:pt idx="6">
                  <c:v>2165627.0660953103</c:v>
                </c:pt>
              </c:numCache>
            </c:numRef>
          </c:val>
          <c:smooth val="0"/>
          <c:extLst>
            <c:ext xmlns:c16="http://schemas.microsoft.com/office/drawing/2014/chart" uri="{C3380CC4-5D6E-409C-BE32-E72D297353CC}">
              <c16:uniqueId val="{0000000D-D54B-473B-A435-61DDB7352850}"/>
            </c:ext>
          </c:extLst>
        </c:ser>
        <c:ser>
          <c:idx val="14"/>
          <c:order val="14"/>
          <c:tx>
            <c:strRef>
              <c:f>CostProjections!$O$90</c:f>
              <c:strCache>
                <c:ptCount val="1"/>
                <c:pt idx="0">
                  <c:v>TFHCV9HGN-E</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CostProjections!$Q$90:$W$90</c:f>
              <c:numCache>
                <c:formatCode>#,##0</c:formatCode>
                <c:ptCount val="7"/>
                <c:pt idx="0">
                  <c:v>3580960.3287163149</c:v>
                </c:pt>
                <c:pt idx="1">
                  <c:v>3132426.6457031942</c:v>
                </c:pt>
                <c:pt idx="2">
                  <c:v>2918161.3954098346</c:v>
                </c:pt>
                <c:pt idx="3">
                  <c:v>2768353.9457765967</c:v>
                </c:pt>
                <c:pt idx="4">
                  <c:v>2618546.4961433574</c:v>
                </c:pt>
                <c:pt idx="5">
                  <c:v>2590395.2900152984</c:v>
                </c:pt>
                <c:pt idx="6">
                  <c:v>2562244.0838872395</c:v>
                </c:pt>
              </c:numCache>
            </c:numRef>
          </c:val>
          <c:smooth val="0"/>
          <c:extLst>
            <c:ext xmlns:c16="http://schemas.microsoft.com/office/drawing/2014/chart" uri="{C3380CC4-5D6E-409C-BE32-E72D297353CC}">
              <c16:uniqueId val="{0000000E-D54B-473B-A435-61DDB7352850}"/>
            </c:ext>
          </c:extLst>
        </c:ser>
        <c:ser>
          <c:idx val="15"/>
          <c:order val="15"/>
          <c:tx>
            <c:strRef>
              <c:f>CostProjections!$O$91</c:f>
              <c:strCache>
                <c:ptCount val="1"/>
                <c:pt idx="0">
                  <c:v>TFHCV9GAS-E</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CostProjections!$Q$91:$W$91</c:f>
              <c:numCache>
                <c:formatCode>#,##0</c:formatCode>
                <c:ptCount val="7"/>
                <c:pt idx="0">
                  <c:v>2261026.067842951</c:v>
                </c:pt>
                <c:pt idx="1">
                  <c:v>2235789.5114027858</c:v>
                </c:pt>
                <c:pt idx="2">
                  <c:v>2181903.1091055456</c:v>
                </c:pt>
                <c:pt idx="3">
                  <c:v>2167492.5676747188</c:v>
                </c:pt>
                <c:pt idx="4">
                  <c:v>2153769.1968837515</c:v>
                </c:pt>
                <c:pt idx="5">
                  <c:v>2152889.9182083183</c:v>
                </c:pt>
                <c:pt idx="6">
                  <c:v>2152152.8398992391</c:v>
                </c:pt>
              </c:numCache>
            </c:numRef>
          </c:val>
          <c:smooth val="0"/>
          <c:extLst>
            <c:ext xmlns:c16="http://schemas.microsoft.com/office/drawing/2014/chart" uri="{C3380CC4-5D6E-409C-BE32-E72D297353CC}">
              <c16:uniqueId val="{0000000F-D54B-473B-A435-61DDB7352850}"/>
            </c:ext>
          </c:extLst>
        </c:ser>
        <c:dLbls>
          <c:showLegendKey val="0"/>
          <c:showVal val="0"/>
          <c:showCatName val="0"/>
          <c:showSerName val="0"/>
          <c:showPercent val="0"/>
          <c:showBubbleSize val="0"/>
        </c:dLbls>
        <c:marker val="1"/>
        <c:smooth val="0"/>
        <c:axId val="1446828224"/>
        <c:axId val="1294332495"/>
      </c:lineChart>
      <c:catAx>
        <c:axId val="144682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32495"/>
        <c:crosses val="autoZero"/>
        <c:auto val="1"/>
        <c:lblAlgn val="ctr"/>
        <c:lblOffset val="100"/>
        <c:noMultiLvlLbl val="0"/>
      </c:catAx>
      <c:valAx>
        <c:axId val="1294332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2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data'!$C$11:$F$11</c:f>
              <c:numCache>
                <c:formatCode>0.000</c:formatCode>
                <c:ptCount val="4"/>
                <c:pt idx="0">
                  <c:v>1.0475609756097555</c:v>
                </c:pt>
                <c:pt idx="1">
                  <c:v>1</c:v>
                </c:pt>
                <c:pt idx="2">
                  <c:v>0.80975609756097566</c:v>
                </c:pt>
                <c:pt idx="3">
                  <c:v>0.71707317073170729</c:v>
                </c:pt>
              </c:numCache>
            </c:numRef>
          </c:yVal>
          <c:smooth val="0"/>
          <c:extLst>
            <c:ext xmlns:c16="http://schemas.microsoft.com/office/drawing/2014/chart" uri="{C3380CC4-5D6E-409C-BE32-E72D297353CC}">
              <c16:uniqueId val="{00000000-C148-467B-8578-4FB5F15E850C}"/>
            </c:ext>
          </c:extLst>
        </c:ser>
        <c:ser>
          <c:idx val="1"/>
          <c:order val="1"/>
          <c:tx>
            <c:strRef>
              <c:f>'IEAWEO2023 cost data'!$B$12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data'!$C$12:$F$12</c:f>
              <c:numCache>
                <c:formatCode>0.000</c:formatCode>
                <c:ptCount val="4"/>
                <c:pt idx="0">
                  <c:v>1.0475609756097555</c:v>
                </c:pt>
                <c:pt idx="1">
                  <c:v>1</c:v>
                </c:pt>
                <c:pt idx="2">
                  <c:v>0.78536585365853662</c:v>
                </c:pt>
                <c:pt idx="3">
                  <c:v>0.68780487804878043</c:v>
                </c:pt>
              </c:numCache>
            </c:numRef>
          </c:yVal>
          <c:smooth val="0"/>
          <c:extLst>
            <c:ext xmlns:c16="http://schemas.microsoft.com/office/drawing/2014/chart" uri="{C3380CC4-5D6E-409C-BE32-E72D297353CC}">
              <c16:uniqueId val="{00000001-C148-467B-8578-4FB5F15E850C}"/>
            </c:ext>
          </c:extLst>
        </c:ser>
        <c:ser>
          <c:idx val="2"/>
          <c:order val="2"/>
          <c:tx>
            <c:strRef>
              <c:f>'IEAWEO2023 cost data'!$B$13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data'!$C$13:$F$13</c:f>
              <c:numCache>
                <c:formatCode>0.000</c:formatCode>
                <c:ptCount val="4"/>
                <c:pt idx="0">
                  <c:v>1.0475609756097555</c:v>
                </c:pt>
                <c:pt idx="1">
                  <c:v>1</c:v>
                </c:pt>
                <c:pt idx="2">
                  <c:v>0.76097560975609757</c:v>
                </c:pt>
                <c:pt idx="3">
                  <c:v>0.66829268292682931</c:v>
                </c:pt>
              </c:numCache>
            </c:numRef>
          </c:yVal>
          <c:smooth val="0"/>
          <c:extLst>
            <c:ext xmlns:c16="http://schemas.microsoft.com/office/drawing/2014/chart" uri="{C3380CC4-5D6E-409C-BE32-E72D297353CC}">
              <c16:uniqueId val="{00000002-C148-467B-8578-4FB5F15E850C}"/>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data'!$C$17:$F$17</c:f>
              <c:numCache>
                <c:formatCode>0.000</c:formatCode>
                <c:ptCount val="4"/>
                <c:pt idx="0">
                  <c:v>1.0475609756097555</c:v>
                </c:pt>
                <c:pt idx="1">
                  <c:v>1</c:v>
                </c:pt>
                <c:pt idx="2">
                  <c:v>0.9107142857142857</c:v>
                </c:pt>
                <c:pt idx="3">
                  <c:v>0.91666666666666663</c:v>
                </c:pt>
              </c:numCache>
            </c:numRef>
          </c:yVal>
          <c:smooth val="0"/>
          <c:extLst>
            <c:ext xmlns:c16="http://schemas.microsoft.com/office/drawing/2014/chart" uri="{C3380CC4-5D6E-409C-BE32-E72D297353CC}">
              <c16:uniqueId val="{00000000-ECD2-455A-A9F8-038345C0BEF6}"/>
            </c:ext>
          </c:extLst>
        </c:ser>
        <c:ser>
          <c:idx val="1"/>
          <c:order val="1"/>
          <c:tx>
            <c:strRef>
              <c:f>'IEAWEO2023 cost data'!$B$18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data'!$C$18:$F$18</c:f>
              <c:numCache>
                <c:formatCode>0.000</c:formatCode>
                <c:ptCount val="4"/>
                <c:pt idx="0">
                  <c:v>1.0475609756097555</c:v>
                </c:pt>
                <c:pt idx="1">
                  <c:v>1</c:v>
                </c:pt>
                <c:pt idx="2">
                  <c:v>0.90476190476190477</c:v>
                </c:pt>
                <c:pt idx="3">
                  <c:v>0.9107142857142857</c:v>
                </c:pt>
              </c:numCache>
            </c:numRef>
          </c:yVal>
          <c:smooth val="0"/>
          <c:extLst>
            <c:ext xmlns:c16="http://schemas.microsoft.com/office/drawing/2014/chart" uri="{C3380CC4-5D6E-409C-BE32-E72D297353CC}">
              <c16:uniqueId val="{00000001-ECD2-455A-A9F8-038345C0BEF6}"/>
            </c:ext>
          </c:extLst>
        </c:ser>
        <c:ser>
          <c:idx val="2"/>
          <c:order val="2"/>
          <c:tx>
            <c:strRef>
              <c:f>'IEAWEO2023 cost data'!$B$19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data'!$C$19:$F$19</c:f>
              <c:numCache>
                <c:formatCode>0.000</c:formatCode>
                <c:ptCount val="4"/>
                <c:pt idx="0">
                  <c:v>1.0475609756097555</c:v>
                </c:pt>
                <c:pt idx="1">
                  <c:v>1</c:v>
                </c:pt>
                <c:pt idx="2">
                  <c:v>0.89880952380952384</c:v>
                </c:pt>
                <c:pt idx="3">
                  <c:v>0.90476190476190477</c:v>
                </c:pt>
              </c:numCache>
            </c:numRef>
          </c:yVal>
          <c:smooth val="0"/>
          <c:extLst>
            <c:ext xmlns:c16="http://schemas.microsoft.com/office/drawing/2014/chart" uri="{C3380CC4-5D6E-409C-BE32-E72D297353CC}">
              <c16:uniqueId val="{00000002-ECD2-455A-A9F8-038345C0BEF6}"/>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NREL_LCVs!$Q$9:$V$9</c:f>
              <c:numCache>
                <c:formatCode>General</c:formatCode>
                <c:ptCount val="6"/>
                <c:pt idx="0">
                  <c:v>2025</c:v>
                </c:pt>
                <c:pt idx="1">
                  <c:v>2030</c:v>
                </c:pt>
                <c:pt idx="2">
                  <c:v>2035</c:v>
                </c:pt>
                <c:pt idx="3">
                  <c:v>2040</c:v>
                </c:pt>
                <c:pt idx="4">
                  <c:v>2045</c:v>
                </c:pt>
                <c:pt idx="5">
                  <c:v>2050</c:v>
                </c:pt>
              </c:numCache>
            </c:numRef>
          </c:xVal>
          <c:yVal>
            <c:numRef>
              <c:f>NREL_LCVs!$Q$15:$V$15</c:f>
              <c:numCache>
                <c:formatCode>_(* #,##0_);_(* \(#,##0\);_(* "-"_);_(@_)</c:formatCode>
                <c:ptCount val="6"/>
                <c:pt idx="0">
                  <c:v>423729.89290144888</c:v>
                </c:pt>
                <c:pt idx="1">
                  <c:v>388086.65635265608</c:v>
                </c:pt>
                <c:pt idx="2">
                  <c:v>355131.86362513277</c:v>
                </c:pt>
                <c:pt idx="3">
                  <c:v>342292.31434550683</c:v>
                </c:pt>
                <c:pt idx="4">
                  <c:v>330667.12332752673</c:v>
                </c:pt>
                <c:pt idx="5">
                  <c:v>342077.66876375925</c:v>
                </c:pt>
              </c:numCache>
            </c:numRef>
          </c:yVal>
          <c:smooth val="0"/>
          <c:extLst>
            <c:ext xmlns:c16="http://schemas.microsoft.com/office/drawing/2014/chart" uri="{C3380CC4-5D6E-409C-BE32-E72D297353CC}">
              <c16:uniqueId val="{00000000-365A-4350-97DA-5878EDF615E7}"/>
            </c:ext>
          </c:extLst>
        </c:ser>
        <c:dLbls>
          <c:showLegendKey val="0"/>
          <c:showVal val="0"/>
          <c:showCatName val="0"/>
          <c:showSerName val="0"/>
          <c:showPercent val="0"/>
          <c:showBubbleSize val="0"/>
        </c:dLbls>
        <c:axId val="1346803711"/>
        <c:axId val="1352254159"/>
      </c:scatterChart>
      <c:valAx>
        <c:axId val="1346803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254159"/>
        <c:crosses val="autoZero"/>
        <c:crossBetween val="midCat"/>
      </c:valAx>
      <c:valAx>
        <c:axId val="135225415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03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8.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image" Target="../media/image12.png"/><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3.gif"/></Relationships>
</file>

<file path=xl/drawings/_rels/drawing11.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6.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5.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243</xdr:row>
      <xdr:rowOff>40821</xdr:rowOff>
    </xdr:from>
    <xdr:to>
      <xdr:col>8</xdr:col>
      <xdr:colOff>319314</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246</xdr:row>
      <xdr:rowOff>159203</xdr:rowOff>
    </xdr:from>
    <xdr:to>
      <xdr:col>3</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68036</xdr:colOff>
      <xdr:row>247</xdr:row>
      <xdr:rowOff>9524</xdr:rowOff>
    </xdr:from>
    <xdr:to>
      <xdr:col>9</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321368</xdr:colOff>
      <xdr:row>1</xdr:row>
      <xdr:rowOff>108857</xdr:rowOff>
    </xdr:from>
    <xdr:to>
      <xdr:col>29</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483053</xdr:colOff>
      <xdr:row>3</xdr:row>
      <xdr:rowOff>6804</xdr:rowOff>
    </xdr:from>
    <xdr:to>
      <xdr:col>10</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37</xdr:col>
      <xdr:colOff>515753</xdr:colOff>
      <xdr:row>0</xdr:row>
      <xdr:rowOff>0</xdr:rowOff>
    </xdr:from>
    <xdr:to>
      <xdr:col>50</xdr:col>
      <xdr:colOff>244930</xdr:colOff>
      <xdr:row>19</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5"/>
        <a:stretch>
          <a:fillRect/>
        </a:stretch>
      </xdr:blipFill>
      <xdr:spPr>
        <a:xfrm>
          <a:off x="40396928" y="0"/>
          <a:ext cx="7406327" cy="3989178"/>
        </a:xfrm>
        <a:prstGeom prst="rect">
          <a:avLst/>
        </a:prstGeom>
      </xdr:spPr>
    </xdr:pic>
    <xdr:clientData/>
  </xdr:twoCellAnchor>
  <xdr:twoCellAnchor editAs="oneCell">
    <xdr:from>
      <xdr:col>42</xdr:col>
      <xdr:colOff>40822</xdr:colOff>
      <xdr:row>1</xdr:row>
      <xdr:rowOff>95250</xdr:rowOff>
    </xdr:from>
    <xdr:to>
      <xdr:col>53</xdr:col>
      <xdr:colOff>463600</xdr:colOff>
      <xdr:row>21</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6"/>
        <a:stretch>
          <a:fillRect/>
        </a:stretch>
      </xdr:blipFill>
      <xdr:spPr>
        <a:xfrm>
          <a:off x="42874747" y="285750"/>
          <a:ext cx="6918828" cy="39820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17</xdr:col>
      <xdr:colOff>7937</xdr:colOff>
      <xdr:row>69</xdr:row>
      <xdr:rowOff>111125</xdr:rowOff>
    </xdr:from>
    <xdr:to>
      <xdr:col>21</xdr:col>
      <xdr:colOff>642937</xdr:colOff>
      <xdr:row>89</xdr:row>
      <xdr:rowOff>30162</xdr:rowOff>
    </xdr:to>
    <xdr:graphicFrame macro="">
      <xdr:nvGraphicFramePr>
        <xdr:cNvPr id="2" name="Chart 1">
          <a:extLst>
            <a:ext uri="{FF2B5EF4-FFF2-40B4-BE49-F238E27FC236}">
              <a16:creationId xmlns:a16="http://schemas.microsoft.com/office/drawing/2014/main" id="{73E6CC42-5A8C-AB76-2D75-60C7B189A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19</xdr:row>
      <xdr:rowOff>142875</xdr:rowOff>
    </xdr:from>
    <xdr:to>
      <xdr:col>11</xdr:col>
      <xdr:colOff>305903</xdr:colOff>
      <xdr:row>42</xdr:row>
      <xdr:rowOff>72991</xdr:rowOff>
    </xdr:to>
    <xdr:pic>
      <xdr:nvPicPr>
        <xdr:cNvPr id="2" name="Picture 1">
          <a:extLst>
            <a:ext uri="{FF2B5EF4-FFF2-40B4-BE49-F238E27FC236}">
              <a16:creationId xmlns:a16="http://schemas.microsoft.com/office/drawing/2014/main" id="{D1F2F32A-15FE-4241-AB16-6854ECC83A27}"/>
            </a:ext>
          </a:extLst>
        </xdr:cNvPr>
        <xdr:cNvPicPr>
          <a:picLocks noChangeAspect="1"/>
        </xdr:cNvPicPr>
      </xdr:nvPicPr>
      <xdr:blipFill>
        <a:blip xmlns:r="http://schemas.openxmlformats.org/officeDocument/2006/relationships" r:embed="rId1"/>
        <a:stretch>
          <a:fillRect/>
        </a:stretch>
      </xdr:blipFill>
      <xdr:spPr>
        <a:xfrm>
          <a:off x="0" y="3762375"/>
          <a:ext cx="7906853" cy="4311616"/>
        </a:xfrm>
        <a:prstGeom prst="rect">
          <a:avLst/>
        </a:prstGeom>
      </xdr:spPr>
    </xdr:pic>
    <xdr:clientData/>
  </xdr:twoCellAnchor>
  <xdr:twoCellAnchor>
    <xdr:from>
      <xdr:col>11</xdr:col>
      <xdr:colOff>438150</xdr:colOff>
      <xdr:row>19</xdr:row>
      <xdr:rowOff>42862</xdr:rowOff>
    </xdr:from>
    <xdr:to>
      <xdr:col>18</xdr:col>
      <xdr:colOff>228600</xdr:colOff>
      <xdr:row>33</xdr:row>
      <xdr:rowOff>119062</xdr:rowOff>
    </xdr:to>
    <xdr:graphicFrame macro="">
      <xdr:nvGraphicFramePr>
        <xdr:cNvPr id="3" name="Chart 2">
          <a:extLst>
            <a:ext uri="{FF2B5EF4-FFF2-40B4-BE49-F238E27FC236}">
              <a16:creationId xmlns:a16="http://schemas.microsoft.com/office/drawing/2014/main" id="{78252AFE-0C02-4E2E-890C-AB53A0B82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33</xdr:row>
      <xdr:rowOff>123825</xdr:rowOff>
    </xdr:from>
    <xdr:to>
      <xdr:col>18</xdr:col>
      <xdr:colOff>228600</xdr:colOff>
      <xdr:row>48</xdr:row>
      <xdr:rowOff>9525</xdr:rowOff>
    </xdr:to>
    <xdr:graphicFrame macro="">
      <xdr:nvGraphicFramePr>
        <xdr:cNvPr id="4" name="Chart 3">
          <a:extLst>
            <a:ext uri="{FF2B5EF4-FFF2-40B4-BE49-F238E27FC236}">
              <a16:creationId xmlns:a16="http://schemas.microsoft.com/office/drawing/2014/main" id="{8D041027-5AAA-4A9B-8918-69ED3C81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342900</xdr:colOff>
      <xdr:row>28</xdr:row>
      <xdr:rowOff>157162</xdr:rowOff>
    </xdr:from>
    <xdr:to>
      <xdr:col>22</xdr:col>
      <xdr:colOff>523875</xdr:colOff>
      <xdr:row>43</xdr:row>
      <xdr:rowOff>42862</xdr:rowOff>
    </xdr:to>
    <xdr:graphicFrame macro="">
      <xdr:nvGraphicFramePr>
        <xdr:cNvPr id="2" name="Chart 1">
          <a:extLst>
            <a:ext uri="{FF2B5EF4-FFF2-40B4-BE49-F238E27FC236}">
              <a16:creationId xmlns:a16="http://schemas.microsoft.com/office/drawing/2014/main" id="{983C1F76-CCD1-137A-98FC-D8F275CD4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NetZero-CSIRP4C/WIP/Transport/Model/New%20new/VT_REGION1_TRAblabla.xlsx" TargetMode="External"/><Relationship Id="rId1" Type="http://schemas.openxmlformats.org/officeDocument/2006/relationships/externalLinkPath" Target="https://uctcloud-my.sharepoint.com/personal/01405439_wf_uct_ac_za/Documents/Energy%20Systems%20Research%20Group/Projects/Active/NetZero-CSIRP4C/WIP/Transport/Model/New%20new/VT_REGION1_TRAblabl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9">
          <cell r="C9">
            <v>38.1</v>
          </cell>
        </row>
        <row r="13">
          <cell r="C13">
            <v>34.200000000000003</v>
          </cell>
        </row>
        <row r="46">
          <cell r="F46">
            <v>36.607594936708864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P"/>
      <sheetName val="ITEMS_Tech"/>
      <sheetName val="NT_TRP"/>
      <sheetName val="ITEMS_nTech"/>
      <sheetName val="Demand"/>
      <sheetName val="Calib_2017"/>
      <sheetName val="EB_2017"/>
      <sheetName val="SOL"/>
      <sheetName val="Analytica"/>
      <sheetName val="Vehicle eff data 2023"/>
      <sheetName val="CostProjections"/>
      <sheetName val="IEACostData_passengervehs"/>
      <sheetName val="IEAWEO2023 cost data"/>
      <sheetName val="NREL_HCVs"/>
      <sheetName val="NREL_LCVs"/>
      <sheetName val="AEA2012_ZAR2022"/>
      <sheetName val="Vehicle data "/>
      <sheetName val="AEA2012 summary"/>
      <sheetName val="FuelCell"/>
      <sheetName val="Vehicle data-NDC2020"/>
      <sheetName val="old_guy_stuff"/>
      <sheetName val="Calib_old"/>
    </sheetNames>
    <sheetDataSet>
      <sheetData sheetId="0"/>
      <sheetData sheetId="1"/>
      <sheetData sheetId="2"/>
      <sheetData sheetId="3"/>
      <sheetData sheetId="4"/>
      <sheetData sheetId="5"/>
      <sheetData sheetId="6"/>
      <sheetData sheetId="7"/>
      <sheetData sheetId="8"/>
      <sheetData sheetId="9"/>
      <sheetData sheetId="10"/>
      <sheetData sheetId="11">
        <row r="5">
          <cell r="B5" t="str">
            <v>Small car</v>
          </cell>
          <cell r="C5" t="str">
            <v>Medium car</v>
          </cell>
          <cell r="D5" t="str">
            <v>Large car</v>
          </cell>
          <cell r="E5" t="str">
            <v>Pickup truck</v>
          </cell>
          <cell r="F5" t="str">
            <v>SUV</v>
          </cell>
          <cell r="G5" t="str">
            <v>Small car</v>
          </cell>
          <cell r="H5" t="str">
            <v>Medium car</v>
          </cell>
          <cell r="I5" t="str">
            <v>Large car</v>
          </cell>
          <cell r="J5" t="str">
            <v>Pickup truck</v>
          </cell>
          <cell r="K5" t="str">
            <v>SUV</v>
          </cell>
          <cell r="L5" t="str">
            <v>Small car</v>
          </cell>
          <cell r="M5" t="str">
            <v>Medium car</v>
          </cell>
          <cell r="N5" t="str">
            <v>Large car</v>
          </cell>
          <cell r="O5" t="str">
            <v>Pickup truck</v>
          </cell>
          <cell r="P5" t="str">
            <v>SUV</v>
          </cell>
          <cell r="Q5" t="str">
            <v>Small car</v>
          </cell>
          <cell r="R5" t="str">
            <v>Medium car</v>
          </cell>
          <cell r="S5" t="str">
            <v>Large car</v>
          </cell>
          <cell r="T5" t="str">
            <v>Pickup truck</v>
          </cell>
          <cell r="U5" t="str">
            <v>SUV</v>
          </cell>
          <cell r="V5" t="str">
            <v>Small car</v>
          </cell>
          <cell r="W5" t="str">
            <v>Medium car</v>
          </cell>
          <cell r="X5" t="str">
            <v>Large car</v>
          </cell>
          <cell r="Y5" t="str">
            <v>Pickup truck</v>
          </cell>
          <cell r="Z5" t="str">
            <v>SUV</v>
          </cell>
        </row>
        <row r="12">
          <cell r="B12">
            <v>2022</v>
          </cell>
          <cell r="C12">
            <v>2022</v>
          </cell>
          <cell r="D12">
            <v>2022</v>
          </cell>
          <cell r="E12">
            <v>2022</v>
          </cell>
          <cell r="F12">
            <v>2022</v>
          </cell>
          <cell r="G12">
            <v>2032</v>
          </cell>
          <cell r="H12">
            <v>2032</v>
          </cell>
          <cell r="I12">
            <v>2032</v>
          </cell>
          <cell r="J12">
            <v>2032</v>
          </cell>
          <cell r="K12">
            <v>2032</v>
          </cell>
          <cell r="L12">
            <v>2020</v>
          </cell>
          <cell r="M12">
            <v>2020</v>
          </cell>
          <cell r="N12">
            <v>2020</v>
          </cell>
          <cell r="O12">
            <v>2020</v>
          </cell>
          <cell r="P12">
            <v>2020</v>
          </cell>
          <cell r="Q12">
            <v>2025</v>
          </cell>
          <cell r="R12">
            <v>2025</v>
          </cell>
          <cell r="S12">
            <v>2025</v>
          </cell>
          <cell r="T12">
            <v>2025</v>
          </cell>
          <cell r="U12">
            <v>2025</v>
          </cell>
          <cell r="V12">
            <v>2030</v>
          </cell>
          <cell r="W12">
            <v>2030</v>
          </cell>
          <cell r="X12">
            <v>2030</v>
          </cell>
          <cell r="Y12">
            <v>2030</v>
          </cell>
          <cell r="Z12">
            <v>2030</v>
          </cell>
        </row>
        <row r="13">
          <cell r="A13" t="str">
            <v>Petrol ICE</v>
          </cell>
          <cell r="B13">
            <v>155460.13874999998</v>
          </cell>
          <cell r="C13">
            <v>227843.69541666663</v>
          </cell>
          <cell r="D13">
            <v>301049.79249999998</v>
          </cell>
          <cell r="E13">
            <v>281308.82249999995</v>
          </cell>
          <cell r="F13">
            <v>421140.6933333333</v>
          </cell>
          <cell r="G13">
            <v>158750.30041666664</v>
          </cell>
          <cell r="H13">
            <v>232778.93791666665</v>
          </cell>
          <cell r="I13">
            <v>306807.57541666663</v>
          </cell>
          <cell r="J13">
            <v>287066.6054166666</v>
          </cell>
          <cell r="K13">
            <v>429366.09749999992</v>
          </cell>
          <cell r="L13">
            <v>154802.10641666665</v>
          </cell>
          <cell r="M13">
            <v>226856.64691666662</v>
          </cell>
          <cell r="N13">
            <v>299898.23591666663</v>
          </cell>
          <cell r="O13">
            <v>280157.26591666666</v>
          </cell>
          <cell r="P13">
            <v>419495.61249999993</v>
          </cell>
          <cell r="Q13">
            <v>156447.18724999999</v>
          </cell>
          <cell r="R13">
            <v>229324.26816666665</v>
          </cell>
          <cell r="S13">
            <v>302777.12737499998</v>
          </cell>
          <cell r="T13">
            <v>283036.15737499995</v>
          </cell>
          <cell r="U13">
            <v>423608.31458333327</v>
          </cell>
          <cell r="V13">
            <v>158092.2680833333</v>
          </cell>
          <cell r="W13">
            <v>231791.88941666664</v>
          </cell>
          <cell r="X13">
            <v>305656.01883333328</v>
          </cell>
          <cell r="Y13">
            <v>285915.04883333331</v>
          </cell>
          <cell r="Z13">
            <v>427721.0166666666</v>
          </cell>
        </row>
        <row r="14">
          <cell r="A14" t="str">
            <v>Diesel ICE</v>
          </cell>
          <cell r="B14">
            <v>167798.24499999997</v>
          </cell>
          <cell r="C14">
            <v>253342.4483333333</v>
          </cell>
          <cell r="D14">
            <v>318323.14124999993</v>
          </cell>
          <cell r="E14">
            <v>310097.73708333331</v>
          </cell>
          <cell r="F14">
            <v>444994.36541666661</v>
          </cell>
          <cell r="G14">
            <v>176023.64916666664</v>
          </cell>
          <cell r="H14">
            <v>265680.55458333332</v>
          </cell>
          <cell r="I14">
            <v>333951.40916666662</v>
          </cell>
          <cell r="J14">
            <v>325726.00499999995</v>
          </cell>
          <cell r="K14">
            <v>467202.95666666661</v>
          </cell>
          <cell r="L14">
            <v>166153.16416666665</v>
          </cell>
          <cell r="M14">
            <v>250874.82708333331</v>
          </cell>
          <cell r="N14">
            <v>315197.48766666662</v>
          </cell>
          <cell r="O14">
            <v>306972.08349999995</v>
          </cell>
          <cell r="P14">
            <v>440552.64716666663</v>
          </cell>
          <cell r="Q14">
            <v>170265.86624999996</v>
          </cell>
          <cell r="R14">
            <v>257043.88020833328</v>
          </cell>
          <cell r="S14">
            <v>323011.62162499997</v>
          </cell>
          <cell r="T14">
            <v>314786.2174583333</v>
          </cell>
          <cell r="U14">
            <v>451656.9427916666</v>
          </cell>
          <cell r="V14">
            <v>174378.5683333333</v>
          </cell>
          <cell r="W14">
            <v>263212.93333333329</v>
          </cell>
          <cell r="X14">
            <v>330825.75558333326</v>
          </cell>
          <cell r="Y14">
            <v>322600.35141666664</v>
          </cell>
          <cell r="Z14">
            <v>462761.23841666663</v>
          </cell>
        </row>
        <row r="15">
          <cell r="A15" t="str">
            <v>Petrol HEV</v>
          </cell>
          <cell r="B15">
            <v>203167.48291666663</v>
          </cell>
          <cell r="C15">
            <v>299404.71166666661</v>
          </cell>
          <cell r="D15">
            <v>366853.02583333326</v>
          </cell>
          <cell r="E15">
            <v>342176.8133333333</v>
          </cell>
          <cell r="F15">
            <v>513265.21999999991</v>
          </cell>
          <cell r="G15">
            <v>166153.16416666665</v>
          </cell>
          <cell r="H15">
            <v>244294.50374999997</v>
          </cell>
          <cell r="I15">
            <v>299404.71166666661</v>
          </cell>
          <cell r="J15">
            <v>278841.20124999998</v>
          </cell>
          <cell r="K15">
            <v>462267.71416666661</v>
          </cell>
          <cell r="L15">
            <v>210570.34666666665</v>
          </cell>
          <cell r="M15">
            <v>310426.75324999995</v>
          </cell>
          <cell r="N15">
            <v>380342.68866666663</v>
          </cell>
          <cell r="O15">
            <v>354843.93574999995</v>
          </cell>
          <cell r="P15">
            <v>523464.7211666666</v>
          </cell>
          <cell r="Q15">
            <v>192063.18729166663</v>
          </cell>
          <cell r="R15">
            <v>282871.64929166663</v>
          </cell>
          <cell r="S15">
            <v>346618.53158333327</v>
          </cell>
          <cell r="T15">
            <v>323176.12970833329</v>
          </cell>
          <cell r="U15">
            <v>497965.96824999992</v>
          </cell>
          <cell r="V15">
            <v>173556.02791666664</v>
          </cell>
          <cell r="W15">
            <v>255316.54533333328</v>
          </cell>
          <cell r="X15">
            <v>312894.37449999998</v>
          </cell>
          <cell r="Y15">
            <v>291508.32366666663</v>
          </cell>
          <cell r="Z15">
            <v>472467.21533333324</v>
          </cell>
        </row>
        <row r="16">
          <cell r="A16" t="str">
            <v>BEV</v>
          </cell>
          <cell r="B16">
            <v>207280.18499999997</v>
          </cell>
          <cell r="C16">
            <v>315032.9795833333</v>
          </cell>
          <cell r="D16">
            <v>402222.26374999993</v>
          </cell>
          <cell r="E16">
            <v>414560.36999999994</v>
          </cell>
          <cell r="F16">
            <v>563440.18541666656</v>
          </cell>
          <cell r="G16">
            <v>144767.11333333331</v>
          </cell>
          <cell r="H16">
            <v>220440.83166666664</v>
          </cell>
          <cell r="I16">
            <v>281308.82249999995</v>
          </cell>
          <cell r="J16">
            <v>290356.76708333328</v>
          </cell>
          <cell r="K16">
            <v>394819.39999999997</v>
          </cell>
          <cell r="L16">
            <v>219782.7993333333</v>
          </cell>
          <cell r="M16">
            <v>333951.40916666662</v>
          </cell>
          <cell r="N16">
            <v>426404.95199999993</v>
          </cell>
          <cell r="O16">
            <v>439401.09058333328</v>
          </cell>
          <cell r="P16">
            <v>597164.34249999991</v>
          </cell>
          <cell r="Q16">
            <v>188526.26349999997</v>
          </cell>
          <cell r="R16">
            <v>286655.33520833327</v>
          </cell>
          <cell r="S16">
            <v>365948.23137499997</v>
          </cell>
          <cell r="T16">
            <v>377299.28912499995</v>
          </cell>
          <cell r="U16">
            <v>512853.94979166659</v>
          </cell>
          <cell r="V16">
            <v>157269.72766666664</v>
          </cell>
          <cell r="W16">
            <v>239359.26124999995</v>
          </cell>
          <cell r="X16">
            <v>305491.51074999996</v>
          </cell>
          <cell r="Y16">
            <v>315197.48766666662</v>
          </cell>
          <cell r="Z16">
            <v>428543.55708333326</v>
          </cell>
        </row>
        <row r="39">
          <cell r="E39">
            <v>1.4619883040935672E-2</v>
          </cell>
        </row>
        <row r="40">
          <cell r="E40">
            <v>1.5915119363395226E-2</v>
          </cell>
        </row>
        <row r="41">
          <cell r="E41">
            <v>1.201923076923077E-2</v>
          </cell>
        </row>
      </sheetData>
      <sheetData sheetId="12"/>
      <sheetData sheetId="13"/>
      <sheetData sheetId="14"/>
      <sheetData sheetId="15"/>
      <sheetData sheetId="16"/>
      <sheetData sheetId="17"/>
      <sheetData sheetId="18"/>
      <sheetData sheetId="19"/>
      <sheetData sheetId="20"/>
      <sheetData sheetId="21"/>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0175462962" createdVersion="8" refreshedVersion="8" minRefreshableVersion="3" recordCount="99" xr:uid="{0826C7AE-9CE6-4787-B32F-23062018B5DF}">
  <cacheSource type="worksheet">
    <worksheetSource ref="A1:E100" sheet="NREL_MDHD_HCV4-6-8" r:id="rId2"/>
  </cacheSource>
  <cacheFields count="5">
    <cacheField name="Powertrain" numFmtId="0">
      <sharedItems count="4">
        <s v="Diesel"/>
        <s v="BEV"/>
        <s v="HEV"/>
        <s v="FCEV"/>
      </sharedItems>
    </cacheField>
    <cacheField name="Type" numFmtId="0">
      <sharedItems count="3">
        <s v="Class 8 Box truck"/>
        <s v="Class 6 Box truck"/>
        <s v="Class 4 Box truck"/>
      </sharedItems>
    </cacheField>
    <cacheField name="Model Year" numFmtId="0">
      <sharedItems containsSemiMixedTypes="0" containsString="0" containsNumber="1" containsInteger="1" minValue="2020" maxValue="2050" count="5">
        <n v="2020"/>
        <n v="2025"/>
        <n v="2030"/>
        <n v="2040"/>
        <n v="2050"/>
      </sharedItems>
    </cacheField>
    <cacheField name="Scenario" numFmtId="0">
      <sharedItems count="2">
        <s v="Conservative"/>
        <s v="Aggressive"/>
      </sharedItems>
    </cacheField>
    <cacheField name="MSRP 2021$" numFmtId="196">
      <sharedItems containsSemiMixedTypes="0" containsString="0" containsNumber="1" minValue="37702.062385887402" maxValue="184142.5393877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2421412034" createdVersion="8" refreshedVersion="8" minRefreshableVersion="3" recordCount="86" xr:uid="{F32F7D12-68FE-47AB-9F38-D5DD75E24DB6}">
  <cacheSource type="worksheet">
    <worksheetSource ref="A1:F87" sheet="NREL_LCVs" r:id="rId2"/>
  </cacheSource>
  <cacheFields count="6">
    <cacheField name="Powertrain Type" numFmtId="0">
      <sharedItems count="6">
        <s v="CNG"/>
        <s v="Conventional"/>
        <s v="BEV"/>
        <s v="FuelCell"/>
        <s v="Hybrid"/>
        <s v="PHEV"/>
      </sharedItems>
    </cacheField>
    <cacheField name="Design_Cate" numFmtId="0">
      <sharedItems count="1">
        <s v="Standard"/>
      </sharedItems>
    </cacheField>
    <cacheField name="Type" numFmtId="0">
      <sharedItems count="3">
        <s v="car"/>
        <s v="truck"/>
        <s v="SUV"/>
      </sharedItems>
    </cacheField>
    <cacheField name="Scenario" numFmtId="0">
      <sharedItems count="1">
        <s v="Conservative"/>
      </sharedItems>
    </cacheField>
    <cacheField name="Years" numFmtId="0">
      <sharedItems containsSemiMixedTypes="0" containsString="0" containsNumber="1" containsInteger="1" minValue="2020" maxValue="2050" count="7">
        <n v="2020"/>
        <n v="2025"/>
        <n v="2045"/>
        <n v="2050"/>
        <n v="2030"/>
        <n v="2035"/>
        <n v="2040"/>
      </sharedItems>
    </cacheField>
    <cacheField name="MSRP 2021$" numFmtId="196">
      <sharedItems containsSemiMixedTypes="0" containsString="0" containsNumber="1" minValue="17155.84709574973" maxValue="45179.5514832432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x v="0"/>
    <x v="0"/>
    <n v="122633.16"/>
  </r>
  <r>
    <x v="0"/>
    <x v="1"/>
    <x v="0"/>
    <x v="0"/>
    <n v="77800.603999999905"/>
  </r>
  <r>
    <x v="0"/>
    <x v="1"/>
    <x v="1"/>
    <x v="0"/>
    <n v="79211.135921093199"/>
  </r>
  <r>
    <x v="0"/>
    <x v="1"/>
    <x v="1"/>
    <x v="1"/>
    <n v="79490.601319670997"/>
  </r>
  <r>
    <x v="1"/>
    <x v="1"/>
    <x v="1"/>
    <x v="0"/>
    <n v="111239.99801395601"/>
  </r>
  <r>
    <x v="1"/>
    <x v="1"/>
    <x v="1"/>
    <x v="1"/>
    <n v="106439.575779619"/>
  </r>
  <r>
    <x v="0"/>
    <x v="2"/>
    <x v="0"/>
    <x v="0"/>
    <n v="43020.603999999999"/>
  </r>
  <r>
    <x v="0"/>
    <x v="2"/>
    <x v="1"/>
    <x v="0"/>
    <n v="44383.745321968199"/>
  </r>
  <r>
    <x v="0"/>
    <x v="2"/>
    <x v="1"/>
    <x v="1"/>
    <n v="44270.562265589797"/>
  </r>
  <r>
    <x v="1"/>
    <x v="2"/>
    <x v="1"/>
    <x v="0"/>
    <n v="72232.889528891203"/>
  </r>
  <r>
    <x v="1"/>
    <x v="2"/>
    <x v="1"/>
    <x v="1"/>
    <n v="68314.314574006203"/>
  </r>
  <r>
    <x v="2"/>
    <x v="2"/>
    <x v="1"/>
    <x v="0"/>
    <n v="46143.569462838699"/>
  </r>
  <r>
    <x v="2"/>
    <x v="2"/>
    <x v="1"/>
    <x v="1"/>
    <n v="45702.990415414097"/>
  </r>
  <r>
    <x v="0"/>
    <x v="0"/>
    <x v="1"/>
    <x v="0"/>
    <n v="124758.767467543"/>
  </r>
  <r>
    <x v="0"/>
    <x v="0"/>
    <x v="1"/>
    <x v="1"/>
    <n v="125527.60867916299"/>
  </r>
  <r>
    <x v="1"/>
    <x v="0"/>
    <x v="1"/>
    <x v="0"/>
    <n v="172334.08657541801"/>
  </r>
  <r>
    <x v="1"/>
    <x v="0"/>
    <x v="1"/>
    <x v="1"/>
    <n v="164958.58272517601"/>
  </r>
  <r>
    <x v="2"/>
    <x v="0"/>
    <x v="1"/>
    <x v="0"/>
    <n v="128787.73940458101"/>
  </r>
  <r>
    <x v="2"/>
    <x v="0"/>
    <x v="1"/>
    <x v="1"/>
    <n v="129489.027655634"/>
  </r>
  <r>
    <x v="2"/>
    <x v="1"/>
    <x v="1"/>
    <x v="0"/>
    <n v="81194.807277311396"/>
  </r>
  <r>
    <x v="2"/>
    <x v="1"/>
    <x v="1"/>
    <x v="1"/>
    <n v="81790.147897985604"/>
  </r>
  <r>
    <x v="0"/>
    <x v="2"/>
    <x v="2"/>
    <x v="0"/>
    <n v="44843.888204688497"/>
  </r>
  <r>
    <x v="0"/>
    <x v="2"/>
    <x v="2"/>
    <x v="1"/>
    <n v="45504.899061943201"/>
  </r>
  <r>
    <x v="1"/>
    <x v="2"/>
    <x v="2"/>
    <x v="0"/>
    <n v="55751.407358742297"/>
  </r>
  <r>
    <x v="1"/>
    <x v="2"/>
    <x v="2"/>
    <x v="1"/>
    <n v="47174.182558743101"/>
  </r>
  <r>
    <x v="2"/>
    <x v="2"/>
    <x v="2"/>
    <x v="0"/>
    <n v="46708.631380952298"/>
  </r>
  <r>
    <x v="2"/>
    <x v="2"/>
    <x v="2"/>
    <x v="1"/>
    <n v="45688.191032342897"/>
  </r>
  <r>
    <x v="0"/>
    <x v="0"/>
    <x v="2"/>
    <x v="0"/>
    <n v="125181.823979295"/>
  </r>
  <r>
    <x v="0"/>
    <x v="0"/>
    <x v="2"/>
    <x v="1"/>
    <n v="126657.619435769"/>
  </r>
  <r>
    <x v="1"/>
    <x v="0"/>
    <x v="2"/>
    <x v="0"/>
    <n v="143582.026082586"/>
  </r>
  <r>
    <x v="1"/>
    <x v="0"/>
    <x v="2"/>
    <x v="1"/>
    <n v="129102.026621446"/>
  </r>
  <r>
    <x v="2"/>
    <x v="0"/>
    <x v="2"/>
    <x v="0"/>
    <n v="129012.713402155"/>
  </r>
  <r>
    <x v="2"/>
    <x v="0"/>
    <x v="2"/>
    <x v="1"/>
    <n v="129710.15176841601"/>
  </r>
  <r>
    <x v="0"/>
    <x v="1"/>
    <x v="2"/>
    <x v="0"/>
    <n v="79796.522191987606"/>
  </r>
  <r>
    <x v="0"/>
    <x v="1"/>
    <x v="2"/>
    <x v="1"/>
    <n v="80419.046252814296"/>
  </r>
  <r>
    <x v="1"/>
    <x v="1"/>
    <x v="2"/>
    <x v="0"/>
    <n v="91468.298502517398"/>
  </r>
  <r>
    <x v="1"/>
    <x v="1"/>
    <x v="2"/>
    <x v="1"/>
    <n v="81939.541561467398"/>
  </r>
  <r>
    <x v="2"/>
    <x v="1"/>
    <x v="2"/>
    <x v="0"/>
    <n v="82351.234013170804"/>
  </r>
  <r>
    <x v="2"/>
    <x v="1"/>
    <x v="2"/>
    <x v="1"/>
    <n v="81853.717365813398"/>
  </r>
  <r>
    <x v="0"/>
    <x v="1"/>
    <x v="3"/>
    <x v="0"/>
    <n v="80531.279866715602"/>
  </r>
  <r>
    <x v="0"/>
    <x v="1"/>
    <x v="3"/>
    <x v="1"/>
    <n v="82211.073210756993"/>
  </r>
  <r>
    <x v="1"/>
    <x v="1"/>
    <x v="3"/>
    <x v="0"/>
    <n v="82614.388557329294"/>
  </r>
  <r>
    <x v="1"/>
    <x v="1"/>
    <x v="3"/>
    <x v="1"/>
    <n v="73848.283389423901"/>
  </r>
  <r>
    <x v="2"/>
    <x v="1"/>
    <x v="3"/>
    <x v="0"/>
    <n v="84925.888451620398"/>
  </r>
  <r>
    <x v="2"/>
    <x v="1"/>
    <x v="3"/>
    <x v="1"/>
    <n v="83103.939561961393"/>
  </r>
  <r>
    <x v="0"/>
    <x v="2"/>
    <x v="3"/>
    <x v="0"/>
    <n v="45482.427759856801"/>
  </r>
  <r>
    <x v="0"/>
    <x v="2"/>
    <x v="3"/>
    <x v="1"/>
    <n v="45007.492204758099"/>
  </r>
  <r>
    <x v="1"/>
    <x v="2"/>
    <x v="3"/>
    <x v="0"/>
    <n v="47384.134484041402"/>
  </r>
  <r>
    <x v="1"/>
    <x v="2"/>
    <x v="3"/>
    <x v="1"/>
    <n v="40011.515567970302"/>
  </r>
  <r>
    <x v="2"/>
    <x v="2"/>
    <x v="3"/>
    <x v="0"/>
    <n v="46003.298768790701"/>
  </r>
  <r>
    <x v="2"/>
    <x v="2"/>
    <x v="3"/>
    <x v="1"/>
    <n v="46424.438590004502"/>
  </r>
  <r>
    <x v="0"/>
    <x v="0"/>
    <x v="3"/>
    <x v="0"/>
    <n v="126409.26072325101"/>
  </r>
  <r>
    <x v="0"/>
    <x v="0"/>
    <x v="3"/>
    <x v="1"/>
    <n v="126475.374523069"/>
  </r>
  <r>
    <x v="1"/>
    <x v="0"/>
    <x v="3"/>
    <x v="0"/>
    <n v="130519.199271814"/>
  </r>
  <r>
    <x v="1"/>
    <x v="0"/>
    <x v="3"/>
    <x v="1"/>
    <n v="117061.024414414"/>
  </r>
  <r>
    <x v="2"/>
    <x v="0"/>
    <x v="3"/>
    <x v="0"/>
    <n v="133439.88043997699"/>
  </r>
  <r>
    <x v="2"/>
    <x v="0"/>
    <x v="3"/>
    <x v="1"/>
    <n v="128640.59039606"/>
  </r>
  <r>
    <x v="0"/>
    <x v="2"/>
    <x v="4"/>
    <x v="0"/>
    <n v="45038.640855104401"/>
  </r>
  <r>
    <x v="0"/>
    <x v="2"/>
    <x v="4"/>
    <x v="1"/>
    <n v="47079.212041179802"/>
  </r>
  <r>
    <x v="1"/>
    <x v="2"/>
    <x v="4"/>
    <x v="0"/>
    <n v="44847.297467261997"/>
  </r>
  <r>
    <x v="1"/>
    <x v="2"/>
    <x v="4"/>
    <x v="1"/>
    <n v="37702.062385887402"/>
  </r>
  <r>
    <x v="2"/>
    <x v="2"/>
    <x v="4"/>
    <x v="0"/>
    <n v="47114.940102385001"/>
  </r>
  <r>
    <x v="2"/>
    <x v="2"/>
    <x v="4"/>
    <x v="1"/>
    <n v="45618.437137750698"/>
  </r>
  <r>
    <x v="0"/>
    <x v="0"/>
    <x v="4"/>
    <x v="0"/>
    <n v="128098.60233972099"/>
  </r>
  <r>
    <x v="0"/>
    <x v="0"/>
    <x v="4"/>
    <x v="1"/>
    <n v="128117.821517163"/>
  </r>
  <r>
    <x v="1"/>
    <x v="0"/>
    <x v="4"/>
    <x v="0"/>
    <n v="127308.349858645"/>
  </r>
  <r>
    <x v="1"/>
    <x v="0"/>
    <x v="4"/>
    <x v="1"/>
    <n v="113124.757243812"/>
  </r>
  <r>
    <x v="2"/>
    <x v="0"/>
    <x v="4"/>
    <x v="0"/>
    <n v="128550.24307368101"/>
  </r>
  <r>
    <x v="2"/>
    <x v="0"/>
    <x v="4"/>
    <x v="1"/>
    <n v="133522.54116052599"/>
  </r>
  <r>
    <x v="0"/>
    <x v="1"/>
    <x v="4"/>
    <x v="0"/>
    <n v="81352.868838823793"/>
  </r>
  <r>
    <x v="0"/>
    <x v="1"/>
    <x v="4"/>
    <x v="1"/>
    <n v="81185.9799675635"/>
  </r>
  <r>
    <x v="1"/>
    <x v="1"/>
    <x v="4"/>
    <x v="0"/>
    <n v="79633.5895992687"/>
  </r>
  <r>
    <x v="1"/>
    <x v="1"/>
    <x v="4"/>
    <x v="1"/>
    <n v="71319.114219120005"/>
  </r>
  <r>
    <x v="2"/>
    <x v="1"/>
    <x v="4"/>
    <x v="0"/>
    <n v="82975.583531581302"/>
  </r>
  <r>
    <x v="2"/>
    <x v="1"/>
    <x v="4"/>
    <x v="1"/>
    <n v="83331.152094527002"/>
  </r>
  <r>
    <x v="3"/>
    <x v="0"/>
    <x v="1"/>
    <x v="0"/>
    <n v="184142.539387792"/>
  </r>
  <r>
    <x v="3"/>
    <x v="0"/>
    <x v="1"/>
    <x v="1"/>
    <n v="180757.00426050101"/>
  </r>
  <r>
    <x v="3"/>
    <x v="1"/>
    <x v="1"/>
    <x v="0"/>
    <n v="108917.08759559"/>
  </r>
  <r>
    <x v="3"/>
    <x v="1"/>
    <x v="1"/>
    <x v="1"/>
    <n v="106786.253660602"/>
  </r>
  <r>
    <x v="3"/>
    <x v="2"/>
    <x v="1"/>
    <x v="0"/>
    <n v="64737.898672643802"/>
  </r>
  <r>
    <x v="3"/>
    <x v="2"/>
    <x v="1"/>
    <x v="1"/>
    <n v="63184.982991068602"/>
  </r>
  <r>
    <x v="3"/>
    <x v="0"/>
    <x v="2"/>
    <x v="0"/>
    <n v="171546.76245373301"/>
  </r>
  <r>
    <x v="3"/>
    <x v="0"/>
    <x v="2"/>
    <x v="1"/>
    <n v="148724.55465612901"/>
  </r>
  <r>
    <x v="3"/>
    <x v="1"/>
    <x v="2"/>
    <x v="0"/>
    <n v="102263.236672406"/>
  </r>
  <r>
    <x v="3"/>
    <x v="1"/>
    <x v="2"/>
    <x v="1"/>
    <n v="89190.760178212004"/>
  </r>
  <r>
    <x v="3"/>
    <x v="2"/>
    <x v="2"/>
    <x v="0"/>
    <n v="59640.0801817998"/>
  </r>
  <r>
    <x v="3"/>
    <x v="2"/>
    <x v="2"/>
    <x v="1"/>
    <n v="50029.221013609596"/>
  </r>
  <r>
    <x v="3"/>
    <x v="1"/>
    <x v="3"/>
    <x v="0"/>
    <n v="91881.970035619801"/>
  </r>
  <r>
    <x v="3"/>
    <x v="1"/>
    <x v="3"/>
    <x v="1"/>
    <n v="83096.144616772493"/>
  </r>
  <r>
    <x v="3"/>
    <x v="2"/>
    <x v="3"/>
    <x v="0"/>
    <n v="51583.510230305903"/>
  </r>
  <r>
    <x v="3"/>
    <x v="2"/>
    <x v="3"/>
    <x v="1"/>
    <n v="45240.414065169898"/>
  </r>
  <r>
    <x v="3"/>
    <x v="0"/>
    <x v="3"/>
    <x v="0"/>
    <n v="153933.62904962699"/>
  </r>
  <r>
    <x v="3"/>
    <x v="0"/>
    <x v="3"/>
    <x v="1"/>
    <n v="137568.295663692"/>
  </r>
  <r>
    <x v="3"/>
    <x v="2"/>
    <x v="4"/>
    <x v="0"/>
    <n v="49792.084496843498"/>
  </r>
  <r>
    <x v="3"/>
    <x v="2"/>
    <x v="4"/>
    <x v="1"/>
    <n v="41690.739838148103"/>
  </r>
  <r>
    <x v="3"/>
    <x v="0"/>
    <x v="4"/>
    <x v="0"/>
    <n v="150623.84071644401"/>
  </r>
  <r>
    <x v="3"/>
    <x v="0"/>
    <x v="4"/>
    <x v="1"/>
    <n v="129616.08841927099"/>
  </r>
  <r>
    <x v="3"/>
    <x v="1"/>
    <x v="4"/>
    <x v="0"/>
    <n v="90380.630136863998"/>
  </r>
  <r>
    <x v="3"/>
    <x v="1"/>
    <x v="4"/>
    <x v="1"/>
    <n v="78766.2765690392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x v="0"/>
    <x v="0"/>
    <x v="0"/>
    <x v="0"/>
    <x v="0"/>
    <n v="27438"/>
  </r>
  <r>
    <x v="0"/>
    <x v="0"/>
    <x v="0"/>
    <x v="0"/>
    <x v="1"/>
    <n v="27484"/>
  </r>
  <r>
    <x v="0"/>
    <x v="0"/>
    <x v="1"/>
    <x v="0"/>
    <x v="2"/>
    <n v="39017"/>
  </r>
  <r>
    <x v="0"/>
    <x v="0"/>
    <x v="1"/>
    <x v="0"/>
    <x v="3"/>
    <n v="38944"/>
  </r>
  <r>
    <x v="1"/>
    <x v="0"/>
    <x v="0"/>
    <x v="0"/>
    <x v="0"/>
    <n v="20947.725746915581"/>
  </r>
  <r>
    <x v="1"/>
    <x v="0"/>
    <x v="0"/>
    <x v="0"/>
    <x v="1"/>
    <n v="19876.189295586439"/>
  </r>
  <r>
    <x v="1"/>
    <x v="0"/>
    <x v="0"/>
    <x v="0"/>
    <x v="4"/>
    <n v="20100.192605632921"/>
  </r>
  <r>
    <x v="1"/>
    <x v="0"/>
    <x v="0"/>
    <x v="0"/>
    <x v="5"/>
    <n v="19681.585083062921"/>
  </r>
  <r>
    <x v="1"/>
    <x v="0"/>
    <x v="0"/>
    <x v="0"/>
    <x v="6"/>
    <n v="18517.72515340809"/>
  </r>
  <r>
    <x v="1"/>
    <x v="0"/>
    <x v="0"/>
    <x v="0"/>
    <x v="2"/>
    <n v="17679.0308170319"/>
  </r>
  <r>
    <x v="1"/>
    <x v="0"/>
    <x v="0"/>
    <x v="0"/>
    <x v="3"/>
    <n v="17155.84709574973"/>
  </r>
  <r>
    <x v="1"/>
    <x v="0"/>
    <x v="2"/>
    <x v="0"/>
    <x v="0"/>
    <n v="30054.131374924909"/>
  </r>
  <r>
    <x v="1"/>
    <x v="0"/>
    <x v="2"/>
    <x v="0"/>
    <x v="1"/>
    <n v="31006.578625478189"/>
  </r>
  <r>
    <x v="1"/>
    <x v="0"/>
    <x v="2"/>
    <x v="0"/>
    <x v="4"/>
    <n v="31652.877098076809"/>
  </r>
  <r>
    <x v="1"/>
    <x v="0"/>
    <x v="2"/>
    <x v="0"/>
    <x v="5"/>
    <n v="31573.772243819691"/>
  </r>
  <r>
    <x v="1"/>
    <x v="0"/>
    <x v="2"/>
    <x v="0"/>
    <x v="6"/>
    <n v="31630.88593324774"/>
  </r>
  <r>
    <x v="1"/>
    <x v="0"/>
    <x v="2"/>
    <x v="0"/>
    <x v="2"/>
    <n v="31799.19058868504"/>
  </r>
  <r>
    <x v="1"/>
    <x v="0"/>
    <x v="2"/>
    <x v="0"/>
    <x v="3"/>
    <n v="31655.462469864899"/>
  </r>
  <r>
    <x v="1"/>
    <x v="0"/>
    <x v="1"/>
    <x v="0"/>
    <x v="0"/>
    <n v="30882.519974980161"/>
  </r>
  <r>
    <x v="1"/>
    <x v="0"/>
    <x v="1"/>
    <x v="0"/>
    <x v="1"/>
    <n v="31126.34670531705"/>
  </r>
  <r>
    <x v="1"/>
    <x v="0"/>
    <x v="1"/>
    <x v="0"/>
    <x v="4"/>
    <n v="31424.915493633849"/>
  </r>
  <r>
    <x v="1"/>
    <x v="0"/>
    <x v="1"/>
    <x v="0"/>
    <x v="5"/>
    <n v="31628.26093048913"/>
  </r>
  <r>
    <x v="1"/>
    <x v="0"/>
    <x v="1"/>
    <x v="0"/>
    <x v="6"/>
    <n v="32429.515359170218"/>
  </r>
  <r>
    <x v="1"/>
    <x v="0"/>
    <x v="1"/>
    <x v="0"/>
    <x v="2"/>
    <n v="31556.633745863641"/>
  </r>
  <r>
    <x v="1"/>
    <x v="0"/>
    <x v="1"/>
    <x v="0"/>
    <x v="3"/>
    <n v="31556.47013599642"/>
  </r>
  <r>
    <x v="2"/>
    <x v="0"/>
    <x v="0"/>
    <x v="0"/>
    <x v="0"/>
    <n v="27749.448105028481"/>
  </r>
  <r>
    <x v="2"/>
    <x v="0"/>
    <x v="0"/>
    <x v="0"/>
    <x v="1"/>
    <n v="27675"/>
  </r>
  <r>
    <x v="2"/>
    <x v="0"/>
    <x v="0"/>
    <x v="0"/>
    <x v="4"/>
    <n v="27543.580796252929"/>
  </r>
  <r>
    <x v="2"/>
    <x v="0"/>
    <x v="0"/>
    <x v="0"/>
    <x v="5"/>
    <n v="27404.035789473681"/>
  </r>
  <r>
    <x v="2"/>
    <x v="0"/>
    <x v="2"/>
    <x v="0"/>
    <x v="1"/>
    <n v="42426.567287090344"/>
  </r>
  <r>
    <x v="2"/>
    <x v="0"/>
    <x v="2"/>
    <x v="0"/>
    <x v="4"/>
    <n v="45179.551483243253"/>
  </r>
  <r>
    <x v="2"/>
    <x v="0"/>
    <x v="2"/>
    <x v="0"/>
    <x v="5"/>
    <n v="44970.124278093477"/>
  </r>
  <r>
    <x v="2"/>
    <x v="0"/>
    <x v="2"/>
    <x v="0"/>
    <x v="6"/>
    <n v="44830.995328423887"/>
  </r>
  <r>
    <x v="2"/>
    <x v="0"/>
    <x v="2"/>
    <x v="0"/>
    <x v="2"/>
    <n v="44847.280231817698"/>
  </r>
  <r>
    <x v="2"/>
    <x v="0"/>
    <x v="2"/>
    <x v="0"/>
    <x v="3"/>
    <n v="44752.312897437027"/>
  </r>
  <r>
    <x v="2"/>
    <x v="0"/>
    <x v="1"/>
    <x v="0"/>
    <x v="2"/>
    <n v="41010"/>
  </r>
  <r>
    <x v="2"/>
    <x v="0"/>
    <x v="1"/>
    <x v="0"/>
    <x v="3"/>
    <n v="40820"/>
  </r>
  <r>
    <x v="3"/>
    <x v="0"/>
    <x v="0"/>
    <x v="0"/>
    <x v="1"/>
    <n v="26653"/>
  </r>
  <r>
    <x v="3"/>
    <x v="0"/>
    <x v="0"/>
    <x v="0"/>
    <x v="4"/>
    <n v="24411.007637294719"/>
  </r>
  <r>
    <x v="3"/>
    <x v="0"/>
    <x v="0"/>
    <x v="0"/>
    <x v="5"/>
    <n v="22338.12086371284"/>
  </r>
  <r>
    <x v="3"/>
    <x v="0"/>
    <x v="0"/>
    <x v="0"/>
    <x v="6"/>
    <n v="21530.50140451773"/>
  </r>
  <r>
    <x v="3"/>
    <x v="0"/>
    <x v="0"/>
    <x v="0"/>
    <x v="2"/>
    <n v="20799.266196917481"/>
  </r>
  <r>
    <x v="3"/>
    <x v="0"/>
    <x v="0"/>
    <x v="0"/>
    <x v="3"/>
    <n v="21517"/>
  </r>
  <r>
    <x v="3"/>
    <x v="0"/>
    <x v="2"/>
    <x v="0"/>
    <x v="0"/>
    <n v="40476"/>
  </r>
  <r>
    <x v="3"/>
    <x v="0"/>
    <x v="2"/>
    <x v="0"/>
    <x v="1"/>
    <n v="34613.079007954562"/>
  </r>
  <r>
    <x v="3"/>
    <x v="0"/>
    <x v="2"/>
    <x v="0"/>
    <x v="4"/>
    <n v="35665.17601899134"/>
  </r>
  <r>
    <x v="3"/>
    <x v="0"/>
    <x v="2"/>
    <x v="0"/>
    <x v="5"/>
    <n v="33403.169661682958"/>
  </r>
  <r>
    <x v="3"/>
    <x v="0"/>
    <x v="2"/>
    <x v="0"/>
    <x v="6"/>
    <n v="32811.580997352619"/>
  </r>
  <r>
    <x v="3"/>
    <x v="0"/>
    <x v="2"/>
    <x v="0"/>
    <x v="2"/>
    <n v="31981.186715997039"/>
  </r>
  <r>
    <x v="3"/>
    <x v="0"/>
    <x v="2"/>
    <x v="0"/>
    <x v="3"/>
    <n v="30972.672317599339"/>
  </r>
  <r>
    <x v="3"/>
    <x v="0"/>
    <x v="1"/>
    <x v="0"/>
    <x v="2"/>
    <n v="39096.818827178897"/>
  </r>
  <r>
    <x v="3"/>
    <x v="0"/>
    <x v="1"/>
    <x v="0"/>
    <x v="3"/>
    <n v="37948.063431501127"/>
  </r>
  <r>
    <x v="4"/>
    <x v="0"/>
    <x v="0"/>
    <x v="0"/>
    <x v="0"/>
    <n v="24948.431767753111"/>
  </r>
  <r>
    <x v="4"/>
    <x v="0"/>
    <x v="0"/>
    <x v="0"/>
    <x v="1"/>
    <n v="23662.889070231071"/>
  </r>
  <r>
    <x v="4"/>
    <x v="0"/>
    <x v="0"/>
    <x v="0"/>
    <x v="4"/>
    <n v="24145.933038751489"/>
  </r>
  <r>
    <x v="4"/>
    <x v="0"/>
    <x v="0"/>
    <x v="0"/>
    <x v="5"/>
    <n v="24016.43249726417"/>
  </r>
  <r>
    <x v="4"/>
    <x v="0"/>
    <x v="0"/>
    <x v="0"/>
    <x v="6"/>
    <n v="23937.966112486731"/>
  </r>
  <r>
    <x v="4"/>
    <x v="0"/>
    <x v="0"/>
    <x v="0"/>
    <x v="2"/>
    <n v="23059.2950808286"/>
  </r>
  <r>
    <x v="4"/>
    <x v="0"/>
    <x v="0"/>
    <x v="0"/>
    <x v="3"/>
    <n v="22682.180285375129"/>
  </r>
  <r>
    <x v="4"/>
    <x v="0"/>
    <x v="2"/>
    <x v="0"/>
    <x v="0"/>
    <n v="33046.648868548182"/>
  </r>
  <r>
    <x v="4"/>
    <x v="0"/>
    <x v="2"/>
    <x v="0"/>
    <x v="1"/>
    <n v="36195.294034766383"/>
  </r>
  <r>
    <x v="4"/>
    <x v="0"/>
    <x v="2"/>
    <x v="0"/>
    <x v="4"/>
    <n v="40334.515671451627"/>
  </r>
  <r>
    <x v="4"/>
    <x v="0"/>
    <x v="2"/>
    <x v="0"/>
    <x v="5"/>
    <n v="40522.75894803369"/>
  </r>
  <r>
    <x v="4"/>
    <x v="0"/>
    <x v="2"/>
    <x v="0"/>
    <x v="6"/>
    <n v="40452.239671626798"/>
  </r>
  <r>
    <x v="4"/>
    <x v="0"/>
    <x v="2"/>
    <x v="0"/>
    <x v="2"/>
    <n v="40529.851955670238"/>
  </r>
  <r>
    <x v="4"/>
    <x v="0"/>
    <x v="2"/>
    <x v="0"/>
    <x v="3"/>
    <n v="40495.974202742887"/>
  </r>
  <r>
    <x v="4"/>
    <x v="0"/>
    <x v="1"/>
    <x v="0"/>
    <x v="0"/>
    <n v="30095"/>
  </r>
  <r>
    <x v="4"/>
    <x v="0"/>
    <x v="1"/>
    <x v="0"/>
    <x v="1"/>
    <n v="29628"/>
  </r>
  <r>
    <x v="4"/>
    <x v="0"/>
    <x v="1"/>
    <x v="0"/>
    <x v="4"/>
    <n v="29532"/>
  </r>
  <r>
    <x v="4"/>
    <x v="0"/>
    <x v="1"/>
    <x v="0"/>
    <x v="5"/>
    <n v="29457"/>
  </r>
  <r>
    <x v="4"/>
    <x v="0"/>
    <x v="1"/>
    <x v="0"/>
    <x v="6"/>
    <n v="29382"/>
  </r>
  <r>
    <x v="4"/>
    <x v="0"/>
    <x v="1"/>
    <x v="0"/>
    <x v="2"/>
    <n v="31925.460580912859"/>
  </r>
  <r>
    <x v="4"/>
    <x v="0"/>
    <x v="1"/>
    <x v="0"/>
    <x v="3"/>
    <n v="31879.739934826019"/>
  </r>
  <r>
    <x v="5"/>
    <x v="0"/>
    <x v="2"/>
    <x v="0"/>
    <x v="0"/>
    <n v="34082.071857520023"/>
  </r>
  <r>
    <x v="5"/>
    <x v="0"/>
    <x v="2"/>
    <x v="0"/>
    <x v="1"/>
    <n v="33307.879286745592"/>
  </r>
  <r>
    <x v="5"/>
    <x v="0"/>
    <x v="2"/>
    <x v="0"/>
    <x v="4"/>
    <n v="33012.414457609862"/>
  </r>
  <r>
    <x v="5"/>
    <x v="0"/>
    <x v="2"/>
    <x v="0"/>
    <x v="5"/>
    <n v="32789.596804194807"/>
  </r>
  <r>
    <x v="5"/>
    <x v="0"/>
    <x v="2"/>
    <x v="0"/>
    <x v="6"/>
    <n v="32591.72361008263"/>
  </r>
  <r>
    <x v="5"/>
    <x v="0"/>
    <x v="2"/>
    <x v="0"/>
    <x v="2"/>
    <n v="32476.058176192131"/>
  </r>
  <r>
    <x v="5"/>
    <x v="0"/>
    <x v="2"/>
    <x v="0"/>
    <x v="3"/>
    <n v="32360.604806501378"/>
  </r>
  <r>
    <x v="5"/>
    <x v="0"/>
    <x v="1"/>
    <x v="0"/>
    <x v="1"/>
    <n v="36524"/>
  </r>
  <r>
    <x v="5"/>
    <x v="0"/>
    <x v="1"/>
    <x v="0"/>
    <x v="4"/>
    <n v="35458.397283924423"/>
  </r>
  <r>
    <x v="5"/>
    <x v="0"/>
    <x v="1"/>
    <x v="0"/>
    <x v="5"/>
    <n v="35262.018263581384"/>
  </r>
  <r>
    <x v="5"/>
    <x v="0"/>
    <x v="1"/>
    <x v="0"/>
    <x v="6"/>
    <n v="35065.190593039013"/>
  </r>
  <r>
    <x v="5"/>
    <x v="0"/>
    <x v="1"/>
    <x v="0"/>
    <x v="2"/>
    <n v="35174.893440238528"/>
  </r>
  <r>
    <x v="5"/>
    <x v="0"/>
    <x v="1"/>
    <x v="0"/>
    <x v="3"/>
    <n v="35058.6306623716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BED330-0608-4F8F-83E5-8CFED7D4B791}"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G6:L22" firstHeaderRow="1" firstDataRow="2" firstDataCol="1" rowPageCount="1" colPageCount="1"/>
  <pivotFields count="5">
    <pivotField axis="axisRow" showAll="0" defaultSubtotal="0">
      <items count="4">
        <item x="1"/>
        <item x="0"/>
        <item x="3"/>
        <item x="2"/>
      </items>
    </pivotField>
    <pivotField axis="axisRow" showAll="0" defaultSubtotal="0">
      <items count="3">
        <item x="2"/>
        <item x="1"/>
        <item x="0"/>
      </items>
    </pivotField>
    <pivotField axis="axisCol" showAll="0" defaultSubtotal="0">
      <items count="5">
        <item x="0"/>
        <item x="1"/>
        <item x="2"/>
        <item x="3"/>
        <item x="4"/>
      </items>
    </pivotField>
    <pivotField axis="axisPage" multipleItemSelectionAllowed="1" showAll="0" defaultSubtotal="0">
      <items count="2">
        <item h="1" x="1"/>
        <item x="0"/>
      </items>
    </pivotField>
    <pivotField dataField="1" numFmtId="196" showAll="0" defaultSubtotal="0"/>
  </pivotFields>
  <rowFields count="2">
    <field x="1"/>
    <field x="0"/>
  </rowFields>
  <rowItems count="15">
    <i>
      <x/>
    </i>
    <i r="1">
      <x/>
    </i>
    <i r="1">
      <x v="1"/>
    </i>
    <i r="1">
      <x v="2"/>
    </i>
    <i r="1">
      <x v="3"/>
    </i>
    <i>
      <x v="1"/>
    </i>
    <i r="1">
      <x/>
    </i>
    <i r="1">
      <x v="1"/>
    </i>
    <i r="1">
      <x v="2"/>
    </i>
    <i r="1">
      <x v="3"/>
    </i>
    <i>
      <x v="2"/>
    </i>
    <i r="1">
      <x/>
    </i>
    <i r="1">
      <x v="1"/>
    </i>
    <i r="1">
      <x v="2"/>
    </i>
    <i r="1">
      <x v="3"/>
    </i>
  </rowItems>
  <colFields count="1">
    <field x="2"/>
  </colFields>
  <colItems count="5">
    <i>
      <x/>
    </i>
    <i>
      <x v="1"/>
    </i>
    <i>
      <x v="2"/>
    </i>
    <i>
      <x v="3"/>
    </i>
    <i>
      <x v="4"/>
    </i>
  </colItems>
  <pageFields count="1">
    <pageField fld="3" hier="-1"/>
  </pageFields>
  <dataFields count="1">
    <dataField name="Sum of MSRP 2021$" fld="4" baseField="1" baseItem="0" numFmtId="3"/>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B93D3C-99EB-4F53-B1D3-9BAEB651B59E}" name="PivotTable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8:O28" firstHeaderRow="1" firstDataRow="2" firstDataCol="1" rowPageCount="2" colPageCount="1"/>
  <pivotFields count="6">
    <pivotField axis="axisRow" showAll="0" defaultSubtotal="0">
      <items count="6">
        <item x="1"/>
        <item x="4"/>
        <item x="0"/>
        <item x="5"/>
        <item x="2"/>
        <item x="3"/>
      </items>
    </pivotField>
    <pivotField axis="axisPage" multipleItemSelectionAllowed="1" showAll="0" defaultSubtotal="0">
      <items count="1">
        <item x="0"/>
      </items>
    </pivotField>
    <pivotField axis="axisRow" showAll="0" defaultSubtotal="0">
      <items count="3">
        <item x="0"/>
        <item x="2"/>
        <item x="1"/>
      </items>
    </pivotField>
    <pivotField axis="axisPage" multipleItemSelectionAllowed="1" showAll="0" defaultSubtotal="0">
      <items count="1">
        <item x="0"/>
      </items>
    </pivotField>
    <pivotField axis="axisCol" showAll="0" defaultSubtotal="0">
      <items count="7">
        <item x="0"/>
        <item x="1"/>
        <item x="4"/>
        <item x="5"/>
        <item x="6"/>
        <item x="2"/>
        <item x="3"/>
      </items>
    </pivotField>
    <pivotField dataField="1" numFmtId="196" showAll="0" defaultSubtotal="0"/>
  </pivotFields>
  <rowFields count="2">
    <field x="2"/>
    <field x="0"/>
  </rowFields>
  <rowItems count="19">
    <i>
      <x/>
    </i>
    <i r="1">
      <x/>
    </i>
    <i r="1">
      <x v="1"/>
    </i>
    <i r="1">
      <x v="2"/>
    </i>
    <i r="1">
      <x v="4"/>
    </i>
    <i r="1">
      <x v="5"/>
    </i>
    <i>
      <x v="1"/>
    </i>
    <i r="1">
      <x/>
    </i>
    <i r="1">
      <x v="1"/>
    </i>
    <i r="1">
      <x v="3"/>
    </i>
    <i r="1">
      <x v="4"/>
    </i>
    <i r="1">
      <x v="5"/>
    </i>
    <i>
      <x v="2"/>
    </i>
    <i r="1">
      <x/>
    </i>
    <i r="1">
      <x v="1"/>
    </i>
    <i r="1">
      <x v="2"/>
    </i>
    <i r="1">
      <x v="3"/>
    </i>
    <i r="1">
      <x v="4"/>
    </i>
    <i r="1">
      <x v="5"/>
    </i>
  </rowItems>
  <colFields count="1">
    <field x="4"/>
  </colFields>
  <colItems count="7">
    <i>
      <x/>
    </i>
    <i>
      <x v="1"/>
    </i>
    <i>
      <x v="2"/>
    </i>
    <i>
      <x v="3"/>
    </i>
    <i>
      <x v="4"/>
    </i>
    <i>
      <x v="5"/>
    </i>
    <i>
      <x v="6"/>
    </i>
  </colItems>
  <pageFields count="2">
    <pageField fld="3" hier="-1"/>
    <pageField fld="1" hier="-1"/>
  </pageFields>
  <dataFields count="1">
    <dataField name="Sum of MSRP 2021$" fld="5" baseField="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B24" dT="2023-09-21T19:53:28.01" personId="{00E01F63-B0C9-4432-BD61-F9175D9B0347}" id="{72E22EBC-6F1C-44E6-9D37-6A2EDC68C4EF}">
    <text>Turned off for now until biofuel supply chain is put back into model.</text>
  </threadedComment>
  <threadedComment ref="AB34" dT="2023-09-21T19:53:28.01" personId="{00E01F63-B0C9-4432-BD61-F9175D9B0347}" id="{68365649-69BE-42E1-A3D3-7826C339A4A4}">
    <text>Turned off for now until biofuel supply chain is put back into model.</text>
  </threadedComment>
  <threadedComment ref="AB42" dT="2023-09-21T19:53:28.01" personId="{00E01F63-B0C9-4432-BD61-F9175D9B0347}" id="{78C9CCF7-1AE4-47F9-BE3C-84B6FCC19C48}">
    <text>Turned off for now until biofuel supply chain is put back into model.</text>
  </threadedComment>
  <threadedComment ref="AB50" dT="2023-09-21T19:53:28.01" personId="{00E01F63-B0C9-4432-BD61-F9175D9B0347}" id="{B5986BBB-6093-45C3-916A-D12C4DF390D0}">
    <text>Turned off for now until biofuel supply chain is put back into model.</text>
  </threadedComment>
  <threadedComment ref="AB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ea.org/data-and-statistics/data-tools/electric-vehicles-total-cost-of-ownership-too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hyperlink" Target="https://www.nrel.gov/transportation/t3co.html" TargetMode="Externa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nrel.gov/transportation/adopt.html" TargetMode="External"/><Relationship Id="rId1" Type="http://schemas.openxmlformats.org/officeDocument/2006/relationships/pivotTable" Target="../pivotTables/pivotTable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workbookViewId="0"/>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79" t="s">
        <v>1120</v>
      </c>
      <c r="B1" s="1013" t="s">
        <v>1119</v>
      </c>
      <c r="C1" s="1013"/>
      <c r="D1" s="1013"/>
      <c r="E1" s="680" t="s">
        <v>1115</v>
      </c>
      <c r="F1" s="680"/>
      <c r="G1" s="680"/>
      <c r="H1" s="667"/>
      <c r="I1" s="679"/>
      <c r="J1" s="667"/>
      <c r="K1" s="679"/>
      <c r="L1" s="679"/>
    </row>
    <row r="2" spans="1:24" x14ac:dyDescent="0.2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2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2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2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2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2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25">
      <c r="A8" s="667" t="s">
        <v>1105</v>
      </c>
      <c r="B8" s="675" t="s">
        <v>1104</v>
      </c>
      <c r="C8" s="677"/>
      <c r="D8" s="677"/>
      <c r="E8" s="677"/>
      <c r="F8" s="677"/>
      <c r="G8" s="677"/>
      <c r="H8" s="677"/>
      <c r="I8" s="677"/>
      <c r="J8" s="677"/>
      <c r="K8" s="677"/>
      <c r="L8" s="648"/>
      <c r="M8" s="648"/>
    </row>
    <row r="9" spans="1:24" x14ac:dyDescent="0.2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2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25">
      <c r="A11" s="1" t="s">
        <v>1099</v>
      </c>
      <c r="B11" s="672" t="s">
        <v>1098</v>
      </c>
      <c r="C11" s="675">
        <f>G11</f>
        <v>0</v>
      </c>
      <c r="D11" s="675"/>
      <c r="E11" s="675">
        <v>0</v>
      </c>
      <c r="F11" s="675"/>
      <c r="G11" s="675"/>
      <c r="H11" s="675"/>
      <c r="I11" s="675"/>
      <c r="J11" s="675"/>
      <c r="K11" s="676"/>
      <c r="L11" s="675"/>
      <c r="M11" s="675">
        <f>M10+1</f>
        <v>3</v>
      </c>
    </row>
    <row r="12" spans="1:24" x14ac:dyDescent="0.2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25">
      <c r="A13" s="1" t="s">
        <v>1095</v>
      </c>
      <c r="B13" s="672" t="s">
        <v>1094</v>
      </c>
      <c r="C13" s="675">
        <f>G13</f>
        <v>0.1</v>
      </c>
      <c r="D13" s="675">
        <v>0.1</v>
      </c>
      <c r="E13" s="675">
        <v>0</v>
      </c>
      <c r="F13" s="675">
        <v>0.05</v>
      </c>
      <c r="G13" s="675">
        <v>0.1</v>
      </c>
      <c r="H13" s="675">
        <v>0.1</v>
      </c>
      <c r="I13" s="675"/>
      <c r="J13" s="675"/>
      <c r="K13" s="676"/>
      <c r="L13" s="675"/>
      <c r="M13" s="675">
        <f>M12+1</f>
        <v>5</v>
      </c>
    </row>
    <row r="14" spans="1:24" x14ac:dyDescent="0.25">
      <c r="A14" s="667"/>
      <c r="B14" s="193"/>
      <c r="C14" s="193"/>
      <c r="D14" s="193"/>
      <c r="E14" s="193"/>
      <c r="F14" s="193"/>
      <c r="G14" s="193"/>
      <c r="H14" s="193"/>
      <c r="I14" s="193"/>
      <c r="J14" s="193"/>
      <c r="K14" s="657"/>
    </row>
    <row r="15" spans="1:24" x14ac:dyDescent="0.25">
      <c r="A15" s="667" t="s">
        <v>1093</v>
      </c>
      <c r="B15" s="193"/>
      <c r="C15" s="674"/>
      <c r="D15" s="674"/>
      <c r="E15" s="674"/>
      <c r="F15" s="674"/>
      <c r="G15" s="674"/>
      <c r="H15" s="674"/>
      <c r="I15" s="674"/>
      <c r="J15" s="674"/>
      <c r="K15" s="657"/>
    </row>
    <row r="16" spans="1:24" x14ac:dyDescent="0.2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25">
      <c r="A17" s="667"/>
      <c r="B17" s="193"/>
      <c r="C17" s="193"/>
      <c r="D17" s="193"/>
      <c r="E17" s="193"/>
      <c r="F17" s="193"/>
      <c r="G17" s="193"/>
      <c r="H17" s="193"/>
      <c r="I17" s="193"/>
      <c r="J17" s="193"/>
      <c r="K17" s="193"/>
      <c r="L17" s="657"/>
    </row>
    <row r="18" spans="1:32" x14ac:dyDescent="0.25">
      <c r="A18" s="671"/>
      <c r="B18" s="193"/>
      <c r="C18" s="670"/>
      <c r="D18" s="670"/>
      <c r="E18" s="670"/>
      <c r="F18" s="670"/>
      <c r="G18" s="670"/>
      <c r="H18" s="670"/>
      <c r="I18" s="670"/>
      <c r="J18" s="670"/>
      <c r="K18" s="670"/>
      <c r="L18" s="670"/>
      <c r="M18" s="657"/>
    </row>
    <row r="19" spans="1:32" x14ac:dyDescent="0.2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25">
      <c r="A20" s="668" t="s">
        <v>1051</v>
      </c>
      <c r="B20" s="667"/>
      <c r="C20" s="611"/>
      <c r="D20" s="611"/>
      <c r="E20" s="611"/>
      <c r="F20" s="611"/>
      <c r="G20" s="611"/>
      <c r="H20" s="611"/>
      <c r="I20" s="611"/>
      <c r="J20" s="611"/>
      <c r="K20" s="611"/>
      <c r="L20" s="611"/>
      <c r="M20" s="611"/>
      <c r="N20" s="611"/>
    </row>
    <row r="21" spans="1:32" outlineLevel="1" x14ac:dyDescent="0.2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2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2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2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2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2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2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2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25">
      <c r="A29" s="661" t="s">
        <v>1168</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25">
      <c r="A30" s="668" t="s">
        <v>1050</v>
      </c>
      <c r="B30" s="611"/>
      <c r="C30" s="665"/>
      <c r="D30" s="665"/>
      <c r="E30" s="665"/>
      <c r="F30" s="665"/>
      <c r="G30" s="665"/>
      <c r="H30" s="665"/>
      <c r="I30" s="665"/>
      <c r="J30" s="665"/>
      <c r="K30" s="665"/>
      <c r="L30" s="665"/>
      <c r="M30" s="665"/>
      <c r="N30" s="665"/>
    </row>
    <row r="31" spans="1:32" outlineLevel="1" x14ac:dyDescent="0.2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2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2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2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2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2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2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2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2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2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2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2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2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25">
      <c r="A44" s="661" t="s">
        <v>1169</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25">
      <c r="A45" s="667" t="s">
        <v>1049</v>
      </c>
      <c r="B45" s="611"/>
      <c r="C45" s="666"/>
      <c r="D45" s="666"/>
      <c r="E45" s="666"/>
      <c r="F45" s="666"/>
      <c r="G45" s="666"/>
      <c r="H45" s="666"/>
      <c r="I45" s="666"/>
      <c r="J45" s="666"/>
      <c r="K45" s="666"/>
      <c r="L45" s="666"/>
      <c r="M45" s="666"/>
      <c r="N45" s="666"/>
    </row>
    <row r="46" spans="1:32" outlineLevel="1" x14ac:dyDescent="0.25">
      <c r="A46" s="190" t="s">
        <v>1063</v>
      </c>
      <c r="B46" s="611" t="s">
        <v>1062</v>
      </c>
      <c r="C46" s="666"/>
      <c r="D46" s="666"/>
      <c r="E46" s="666">
        <f>EB_2017!BD86/1000</f>
        <v>1.641128256</v>
      </c>
      <c r="F46" s="666"/>
      <c r="G46" s="666"/>
      <c r="H46" s="666"/>
      <c r="I46" s="666"/>
      <c r="J46" s="666"/>
      <c r="K46" s="666"/>
      <c r="L46" s="666"/>
      <c r="M46" s="666"/>
      <c r="N46" s="666"/>
    </row>
    <row r="47" spans="1:32" outlineLevel="1" x14ac:dyDescent="0.2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2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2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2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2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2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25">
      <c r="A53" s="661" t="s">
        <v>1047</v>
      </c>
      <c r="B53" s="660"/>
      <c r="C53" s="658"/>
      <c r="D53" s="663">
        <f>EB_2017!AK68/1000</f>
        <v>402.19301708176204</v>
      </c>
      <c r="G53" s="658"/>
      <c r="H53" s="662">
        <f>EB_2017!AF68/1000</f>
        <v>381.58</v>
      </c>
      <c r="I53" s="658"/>
      <c r="J53" s="658"/>
      <c r="K53" s="658"/>
      <c r="L53" s="658"/>
      <c r="M53" s="657"/>
      <c r="N53" s="657"/>
    </row>
    <row r="54" spans="1:34" ht="18.75" x14ac:dyDescent="0.2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52.5" thickBot="1" x14ac:dyDescent="0.3">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25">
      <c r="C56" s="648"/>
      <c r="D56" s="648" t="s">
        <v>1040</v>
      </c>
      <c r="E56" s="648"/>
      <c r="F56" s="648"/>
      <c r="G56" s="648"/>
      <c r="H56" s="648"/>
      <c r="P56" s="649"/>
      <c r="AC56"/>
      <c r="AF56" s="1"/>
    </row>
    <row r="57" spans="1:34" x14ac:dyDescent="0.2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39.75" thickBot="1" x14ac:dyDescent="0.3">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2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2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25">
      <c r="A62" s="622" t="s">
        <v>1019</v>
      </c>
      <c r="B62" s="621"/>
      <c r="E62" s="624"/>
      <c r="F62" s="624"/>
      <c r="G62" s="624"/>
      <c r="H62" s="624"/>
      <c r="I62" s="624"/>
      <c r="J62" s="624"/>
      <c r="O62" s="633"/>
      <c r="AC62"/>
      <c r="AF62" s="1"/>
    </row>
    <row r="63" spans="1:34" x14ac:dyDescent="0.2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2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2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2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2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2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2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2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2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2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2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2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2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2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2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2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2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2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2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2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2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2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2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2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2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2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2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2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2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2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2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2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2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2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2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2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2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2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2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2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2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2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2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2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2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2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2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2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2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2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2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25">
      <c r="A114" s="606" t="s">
        <v>1010</v>
      </c>
      <c r="C114" s="605" t="str">
        <f>C79</f>
        <v>TRAELC</v>
      </c>
      <c r="X114" s="604">
        <f>SUMIF($C$63:$C$109,C114,$X$63:$X$109)</f>
        <v>13.197128255999999</v>
      </c>
      <c r="Y114" s="604"/>
      <c r="AC114"/>
      <c r="AD114" s="604">
        <f>SUMIF($C$63:$C$109,G114,$X$63:$X$109)</f>
        <v>0</v>
      </c>
      <c r="AF114" s="1"/>
    </row>
    <row r="115" spans="1:32" s="603" customFormat="1" x14ac:dyDescent="0.25">
      <c r="A115" s="603" t="s">
        <v>1009</v>
      </c>
      <c r="B115" s="603">
        <f>SUMPRODUCT(--(B63:B114&lt;&gt;""))</f>
        <v>37</v>
      </c>
      <c r="AA115" s="603">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2" priority="1">
      <formula>ABS(1-(Z63/Y63)) &gt;$AB$61</formula>
    </cfRule>
    <cfRule type="expression" dxfId="1"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12" style="681" customWidth="1"/>
    <col min="6" max="7" width="9.140625" style="681"/>
    <col min="8" max="8" width="9.140625" style="682"/>
    <col min="9" max="16384" width="9.140625" style="681"/>
  </cols>
  <sheetData>
    <row r="2" spans="1:7" ht="15" x14ac:dyDescent="0.25">
      <c r="B2" s="686" t="s">
        <v>1129</v>
      </c>
    </row>
    <row r="3" spans="1:7" ht="15" x14ac:dyDescent="0.25">
      <c r="B3" s="685" t="s">
        <v>1037</v>
      </c>
      <c r="C3" s="685" t="s">
        <v>1038</v>
      </c>
      <c r="D3" s="685" t="s">
        <v>1128</v>
      </c>
      <c r="E3" s="685" t="s">
        <v>1127</v>
      </c>
      <c r="F3" s="685" t="s">
        <v>1126</v>
      </c>
      <c r="G3" s="685" t="s">
        <v>1125</v>
      </c>
    </row>
    <row r="4" spans="1:7" x14ac:dyDescent="0.2">
      <c r="A4" s="681" t="s">
        <v>1124</v>
      </c>
      <c r="B4" s="684" t="s">
        <v>1123</v>
      </c>
      <c r="C4" s="684"/>
      <c r="D4" s="684"/>
      <c r="E4" s="684"/>
      <c r="F4" s="684"/>
    </row>
    <row r="5" spans="1:7" x14ac:dyDescent="0.2">
      <c r="A5" s="681" t="str">
        <f>IF(LEFT(TRP!A63,2)="\I","*","")</f>
        <v/>
      </c>
      <c r="B5" s="681" t="str">
        <f>IF(A5="*","",TRP!B63)</f>
        <v>TPPRSUVODS-E</v>
      </c>
      <c r="C5" s="681" t="str">
        <f>IF(A5="*","",TRP!A63)</f>
        <v>Transport Passenger SUV Priv.Veh. Oil Diesel-E</v>
      </c>
      <c r="D5" s="683"/>
      <c r="E5" s="683"/>
      <c r="F5" s="681" t="s">
        <v>1122</v>
      </c>
      <c r="G5" s="681" t="s">
        <v>1121</v>
      </c>
    </row>
    <row r="6" spans="1:7" x14ac:dyDescent="0.2">
      <c r="A6" s="681" t="str">
        <f>IF(LEFT(TRP!A64,2)="\I","*","")</f>
        <v/>
      </c>
      <c r="B6" s="681" t="str">
        <f>IF(A6="*","",TRP!B64)</f>
        <v>TPPRSUVOGS-E</v>
      </c>
      <c r="C6" s="681" t="str">
        <f>IF(A6="*","",TRP!A64)</f>
        <v>Transport Passenger SUV Priv.Veh. Oil Gasoline-E</v>
      </c>
      <c r="D6" s="683"/>
      <c r="E6" s="683"/>
      <c r="F6" s="681" t="s">
        <v>1122</v>
      </c>
      <c r="G6" s="681" t="s">
        <v>1121</v>
      </c>
    </row>
    <row r="7" spans="1:7" x14ac:dyDescent="0.2">
      <c r="A7" s="681" t="str">
        <f>IF(LEFT(TRP!A65,2)="\I","*","")</f>
        <v/>
      </c>
      <c r="B7" s="681" t="str">
        <f>IF(A7="*","",TRP!B65)</f>
        <v>TPPRSUVOGSH-E</v>
      </c>
      <c r="C7" s="681" t="str">
        <f>IF(A7="*","",TRP!A65)</f>
        <v>Transport Passenger SUV Priv.Veh. Oil GasolineHybrid-E</v>
      </c>
      <c r="D7" s="683"/>
      <c r="E7" s="683"/>
      <c r="F7" s="681" t="s">
        <v>1122</v>
      </c>
      <c r="G7" s="681" t="s">
        <v>1121</v>
      </c>
    </row>
    <row r="8" spans="1:7" x14ac:dyDescent="0.2">
      <c r="A8" s="681" t="str">
        <f>IF(LEFT(TRP!A66,2)="\I","*","")</f>
        <v/>
      </c>
      <c r="B8" s="681" t="str">
        <f>IF(A8="*","",TRP!B66)</f>
        <v>TPPRSUVELC-E</v>
      </c>
      <c r="C8" s="681" t="str">
        <f>IF(A8="*","",TRP!A66)</f>
        <v>Transport Passenger SUV Priv.Veh. Electricity-E</v>
      </c>
      <c r="D8" s="683"/>
      <c r="E8" s="683"/>
      <c r="F8" s="681" t="s">
        <v>1122</v>
      </c>
      <c r="G8" s="681" t="s">
        <v>1121</v>
      </c>
    </row>
    <row r="9" spans="1:7" x14ac:dyDescent="0.2">
      <c r="A9" s="681" t="str">
        <f>IF(LEFT(TRP!A67,2)="\I","*","")</f>
        <v>*</v>
      </c>
      <c r="B9" s="681" t="str">
        <f>IF(A9="*","",TRP!B67)</f>
        <v/>
      </c>
      <c r="C9" s="681" t="str">
        <f>IF(A9="*","",TRP!A67)</f>
        <v/>
      </c>
      <c r="D9" s="683"/>
      <c r="E9" s="683"/>
    </row>
    <row r="10" spans="1:7" x14ac:dyDescent="0.2">
      <c r="A10" s="681" t="str">
        <f>IF(LEFT(TRP!A68,2)="\I","*","")</f>
        <v/>
      </c>
      <c r="B10" s="681" t="str">
        <f>IF(A10="*","",TRP!B68)</f>
        <v>TPPRCARODS-E</v>
      </c>
      <c r="C10" s="681" t="str">
        <f>IF(A10="*","",TRP!A68)</f>
        <v>Transport Passenger Car Priv.Veh. Oil Diesel-E</v>
      </c>
      <c r="D10" s="683"/>
      <c r="E10" s="683"/>
      <c r="F10" s="681" t="s">
        <v>1122</v>
      </c>
      <c r="G10" s="681" t="s">
        <v>1121</v>
      </c>
    </row>
    <row r="11" spans="1:7" x14ac:dyDescent="0.2">
      <c r="A11" s="681" t="str">
        <f>IF(LEFT(TRP!A69,2)="\I","*","")</f>
        <v/>
      </c>
      <c r="B11" s="681" t="str">
        <f>IF(A11="*","",TRP!B69)</f>
        <v>TPPRCAROGS-E</v>
      </c>
      <c r="C11" s="681" t="str">
        <f>IF(A11="*","",TRP!A69)</f>
        <v>Transport Passenger Car Priv.Veh. Oil Gasoline-E</v>
      </c>
      <c r="D11" s="683"/>
      <c r="E11" s="683"/>
      <c r="F11" s="681" t="s">
        <v>1122</v>
      </c>
      <c r="G11" s="681" t="s">
        <v>1121</v>
      </c>
    </row>
    <row r="12" spans="1:7" x14ac:dyDescent="0.2">
      <c r="A12" s="681" t="str">
        <f>IF(LEFT(TRP!A70,2)="\I","*","")</f>
        <v/>
      </c>
      <c r="B12" s="681" t="str">
        <f>IF(A12="*","",TRP!B70)</f>
        <v>TPPRCAROGSH-E</v>
      </c>
      <c r="C12" s="681" t="str">
        <f>IF(A12="*","",TRP!A70)</f>
        <v>Transport Passenger Car Priv.Veh. Oil GasolineHybrid-E</v>
      </c>
      <c r="D12" s="683"/>
      <c r="E12" s="683"/>
      <c r="F12" s="681" t="s">
        <v>1122</v>
      </c>
      <c r="G12" s="681" t="s">
        <v>1121</v>
      </c>
    </row>
    <row r="13" spans="1:7" x14ac:dyDescent="0.2">
      <c r="A13" s="681" t="str">
        <f>IF(LEFT(TRP!A71,2)="\I","*","")</f>
        <v>*</v>
      </c>
      <c r="B13" s="681" t="str">
        <f>IF(A13="*","",TRP!B71)</f>
        <v/>
      </c>
      <c r="C13" s="681" t="str">
        <f>IF(A13="*","",TRP!A71)</f>
        <v/>
      </c>
      <c r="D13" s="683"/>
      <c r="E13" s="683"/>
    </row>
    <row r="14" spans="1:7" x14ac:dyDescent="0.2">
      <c r="A14" s="681" t="str">
        <f>IF(LEFT(TRP!A72,2)="\I","*","")</f>
        <v/>
      </c>
      <c r="B14" s="681" t="str">
        <f>IF(A14="*","",TRP!B72)</f>
        <v>TPPRMOTOGS-E</v>
      </c>
      <c r="C14" s="681" t="str">
        <f>IF(A14="*","",TRP!A72)</f>
        <v>Transport Passenger Moto Priv.Veh. Oil Gasoline-E</v>
      </c>
      <c r="D14" s="683"/>
      <c r="E14" s="683"/>
      <c r="F14" s="681" t="s">
        <v>1122</v>
      </c>
      <c r="G14" s="681" t="s">
        <v>1121</v>
      </c>
    </row>
    <row r="15" spans="1:7" x14ac:dyDescent="0.2">
      <c r="A15" s="681" t="str">
        <f>IF(LEFT(TRP!A73,2)="\I","*","")</f>
        <v>*</v>
      </c>
      <c r="B15" s="681" t="str">
        <f>IF(A15="*","",TRP!B73)</f>
        <v/>
      </c>
      <c r="C15" s="681" t="str">
        <f>IF(A15="*","",TRP!A73)</f>
        <v/>
      </c>
      <c r="D15" s="683"/>
      <c r="E15" s="683"/>
      <c r="F15" s="681" t="s">
        <v>1122</v>
      </c>
      <c r="G15" s="681" t="s">
        <v>1121</v>
      </c>
    </row>
    <row r="16" spans="1:7" x14ac:dyDescent="0.2">
      <c r="A16" s="681" t="str">
        <f>IF(LEFT(TRP!A74,2)="\I","*","")</f>
        <v/>
      </c>
      <c r="B16" s="681" t="str">
        <f>IF(A16="*","",TRP!B74)</f>
        <v>TPPUBUSODS-E</v>
      </c>
      <c r="C16" s="681" t="str">
        <f>IF(A16="*","",TRP!A74)</f>
        <v>Transport Passenger Bus Oil Diesel-E</v>
      </c>
      <c r="D16" s="683"/>
      <c r="E16" s="683"/>
      <c r="F16" s="681" t="s">
        <v>1122</v>
      </c>
      <c r="G16" s="681" t="s">
        <v>1121</v>
      </c>
    </row>
    <row r="17" spans="1:7" x14ac:dyDescent="0.2">
      <c r="A17" s="681" t="str">
        <f>IF(LEFT(TRP!A75,2)="\I","*","")</f>
        <v>*</v>
      </c>
      <c r="B17" s="681" t="str">
        <f>IF(A17="*","",TRP!B75)</f>
        <v/>
      </c>
      <c r="C17" s="681" t="str">
        <f>IF(A17="*","",TRP!A75)</f>
        <v/>
      </c>
      <c r="D17" s="683"/>
      <c r="E17" s="683"/>
    </row>
    <row r="18" spans="1:7" x14ac:dyDescent="0.2">
      <c r="A18" s="681" t="str">
        <f>IF(LEFT(TRP!A76,2)="\I","*","")</f>
        <v/>
      </c>
      <c r="B18" s="681" t="str">
        <f>IF(A18="*","",TRP!B76)</f>
        <v>TPPUMBTODS-E</v>
      </c>
      <c r="C18" s="681" t="str">
        <f>IF(A18="*","",TRP!A76)</f>
        <v>Transport Passenger Minibus Oil Diesel-E</v>
      </c>
      <c r="D18" s="683"/>
      <c r="E18" s="683"/>
      <c r="F18" s="681" t="s">
        <v>1122</v>
      </c>
      <c r="G18" s="681" t="s">
        <v>1121</v>
      </c>
    </row>
    <row r="19" spans="1:7" x14ac:dyDescent="0.2">
      <c r="A19" s="681" t="str">
        <f>IF(LEFT(TRP!A77,2)="\I","*","")</f>
        <v/>
      </c>
      <c r="B19" s="681" t="str">
        <f>IF(A19="*","",TRP!B77)</f>
        <v>TPPUMBTOGS-E</v>
      </c>
      <c r="C19" s="681" t="str">
        <f>IF(A19="*","",TRP!A77)</f>
        <v>Transport Passenger Minibus Oil Gasoline-E</v>
      </c>
      <c r="D19" s="683"/>
      <c r="E19" s="683"/>
      <c r="F19" s="681" t="s">
        <v>1122</v>
      </c>
      <c r="G19" s="681" t="s">
        <v>1121</v>
      </c>
    </row>
    <row r="20" spans="1:7" x14ac:dyDescent="0.2">
      <c r="A20" s="681" t="str">
        <f>IF(LEFT(TRP!A78,2)="\I","*","")</f>
        <v>*</v>
      </c>
      <c r="B20" s="681" t="str">
        <f>IF(A20="*","",TRP!B78)</f>
        <v/>
      </c>
      <c r="C20" s="681" t="str">
        <f>IF(A20="*","",TRP!A78)</f>
        <v/>
      </c>
      <c r="D20" s="683"/>
      <c r="E20" s="683"/>
    </row>
    <row r="21" spans="1:7" x14ac:dyDescent="0.2">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x14ac:dyDescent="0.2">
      <c r="A22" s="681" t="str">
        <f>IF(LEFT(TRP!A80,2)="\I","*","")</f>
        <v>*</v>
      </c>
      <c r="B22" s="681" t="str">
        <f>IF(A22="*","",TRP!B80)</f>
        <v/>
      </c>
      <c r="C22" s="681" t="str">
        <f>IF(A22="*","",TRP!A80)</f>
        <v/>
      </c>
      <c r="D22" s="683"/>
      <c r="E22" s="683"/>
    </row>
    <row r="23" spans="1:7" x14ac:dyDescent="0.2">
      <c r="A23" s="681" t="str">
        <f>IF(LEFT(TRP!A81,2)="\I","*","")</f>
        <v>*</v>
      </c>
      <c r="B23" s="681" t="str">
        <f>IF(A23="*","",TRP!B81)</f>
        <v/>
      </c>
      <c r="C23" s="681" t="str">
        <f>IF(A23="*","",TRP!A81)</f>
        <v/>
      </c>
      <c r="D23" s="683"/>
      <c r="E23" s="683"/>
    </row>
    <row r="24" spans="1:7" x14ac:dyDescent="0.2">
      <c r="A24" s="681" t="str">
        <f>IF(LEFT(TRP!A82,2)="\I","*","")</f>
        <v/>
      </c>
      <c r="B24" s="681" t="str">
        <f>IF(A24="*","",TRP!B82)</f>
        <v>TFLCVODS-E</v>
      </c>
      <c r="C24" s="681" t="str">
        <f>IF(A24="*","",TRP!A82)</f>
        <v>Transport Freight - LCV Oil Diesel-E</v>
      </c>
      <c r="D24" s="683"/>
      <c r="E24" s="683"/>
      <c r="F24" s="681" t="s">
        <v>1122</v>
      </c>
      <c r="G24" s="681" t="s">
        <v>1121</v>
      </c>
    </row>
    <row r="25" spans="1:7" x14ac:dyDescent="0.2">
      <c r="A25" s="681" t="str">
        <f>IF(LEFT(TRP!A83,2)="\I","*","")</f>
        <v/>
      </c>
      <c r="B25" s="681" t="str">
        <f>IF(A25="*","",TRP!B83)</f>
        <v>TFLCVOGS-E</v>
      </c>
      <c r="C25" s="681" t="str">
        <f>IF(A25="*","",TRP!A83)</f>
        <v>Transport Freight - LCV Oil Gasoline-E</v>
      </c>
      <c r="D25" s="683"/>
      <c r="E25" s="683"/>
      <c r="F25" s="681" t="s">
        <v>1122</v>
      </c>
      <c r="G25" s="681" t="s">
        <v>1121</v>
      </c>
    </row>
    <row r="26" spans="1:7" x14ac:dyDescent="0.2">
      <c r="A26" s="681" t="str">
        <f>IF(LEFT(TRP!A84,2)="\I","*","")</f>
        <v>*</v>
      </c>
      <c r="B26" s="681" t="str">
        <f>IF(A26="*","",TRP!B84)</f>
        <v/>
      </c>
      <c r="C26" s="681" t="str">
        <f>IF(A26="*","",TRP!A84)</f>
        <v/>
      </c>
      <c r="D26" s="683"/>
      <c r="E26" s="683"/>
    </row>
    <row r="27" spans="1:7" x14ac:dyDescent="0.2">
      <c r="A27" s="681" t="str">
        <f>IF(LEFT(TRP!A85,2)="\I","*","")</f>
        <v/>
      </c>
      <c r="B27" s="681" t="str">
        <f>IF(A27="*","",TRP!B85)</f>
        <v>TFHCV1ODS-E</v>
      </c>
      <c r="C27" s="681" t="str">
        <f>IF(A27="*","",TRP!A85)</f>
        <v>Transport Freight - HCV1 Oil Diesel-E</v>
      </c>
      <c r="D27" s="683"/>
      <c r="E27" s="683"/>
      <c r="F27" s="681" t="s">
        <v>1122</v>
      </c>
      <c r="G27" s="681" t="s">
        <v>1121</v>
      </c>
    </row>
    <row r="28" spans="1:7" x14ac:dyDescent="0.2">
      <c r="A28" s="681" t="str">
        <f>IF(LEFT(TRP!A86,2)="\I","*","")</f>
        <v/>
      </c>
      <c r="B28" s="681" t="str">
        <f>IF(A28="*","",TRP!B86)</f>
        <v>TFHCV1OGS-E</v>
      </c>
      <c r="C28" s="681" t="str">
        <f>IF(A28="*","",TRP!A86)</f>
        <v>Transport Freight - HCV1 Oil Gasoline-E</v>
      </c>
      <c r="D28" s="683"/>
      <c r="E28" s="683"/>
      <c r="F28" s="681" t="s">
        <v>1122</v>
      </c>
      <c r="G28" s="681" t="s">
        <v>1121</v>
      </c>
    </row>
    <row r="29" spans="1:7" x14ac:dyDescent="0.2">
      <c r="A29" s="681" t="str">
        <f>IF(LEFT(TRP!A87,2)="\I","*","")</f>
        <v/>
      </c>
      <c r="B29" s="681" t="str">
        <f>IF(A29="*","",TRP!B87)</f>
        <v>TFHCV2ODS-E</v>
      </c>
      <c r="C29" s="681" t="str">
        <f>IF(A29="*","",TRP!A87)</f>
        <v>Transport Freight - HCV2 Oil Diesel-E</v>
      </c>
      <c r="D29" s="683"/>
      <c r="E29" s="683"/>
      <c r="F29" s="681" t="s">
        <v>1122</v>
      </c>
      <c r="G29" s="681" t="s">
        <v>1121</v>
      </c>
    </row>
    <row r="30" spans="1:7" x14ac:dyDescent="0.2">
      <c r="A30" s="681" t="str">
        <f>IF(LEFT(TRP!A88,2)="\I","*","")</f>
        <v/>
      </c>
      <c r="B30" s="681" t="str">
        <f>IF(A30="*","",TRP!B88)</f>
        <v>TFHCV3ODS-E</v>
      </c>
      <c r="C30" s="681" t="str">
        <f>IF(A30="*","",TRP!A88)</f>
        <v>Transport Freight - HCV3 Oil Diesel-E</v>
      </c>
      <c r="D30" s="683"/>
      <c r="E30" s="683"/>
      <c r="F30" s="681" t="s">
        <v>1122</v>
      </c>
      <c r="G30" s="681" t="s">
        <v>1121</v>
      </c>
    </row>
    <row r="31" spans="1:7" x14ac:dyDescent="0.2">
      <c r="A31" s="681" t="str">
        <f>IF(LEFT(TRP!A89,2)="\I","*","")</f>
        <v/>
      </c>
      <c r="B31" s="681" t="str">
        <f>IF(A31="*","",TRP!B89)</f>
        <v>TFHCV4ODS-E</v>
      </c>
      <c r="C31" s="681" t="str">
        <f>IF(A31="*","",TRP!A89)</f>
        <v>Transport Freight - HCV4 Oil Diesel-E</v>
      </c>
      <c r="D31" s="683"/>
      <c r="E31" s="683"/>
      <c r="F31" s="681" t="s">
        <v>1122</v>
      </c>
      <c r="G31" s="681" t="s">
        <v>1121</v>
      </c>
    </row>
    <row r="32" spans="1:7" x14ac:dyDescent="0.2">
      <c r="A32" s="681" t="str">
        <f>IF(LEFT(TRP!A90,2)="\I","*","")</f>
        <v/>
      </c>
      <c r="B32" s="681" t="str">
        <f>IF(A32="*","",TRP!B90)</f>
        <v>TFHCV5ODS-E</v>
      </c>
      <c r="C32" s="681" t="str">
        <f>IF(A32="*","",TRP!A90)</f>
        <v>Transport Freight - HCV5 Oil Diesel-E</v>
      </c>
      <c r="D32" s="683"/>
      <c r="E32" s="683"/>
      <c r="F32" s="681" t="s">
        <v>1122</v>
      </c>
      <c r="G32" s="681" t="s">
        <v>1121</v>
      </c>
    </row>
    <row r="33" spans="1:7" x14ac:dyDescent="0.2">
      <c r="A33" s="681" t="str">
        <f>IF(LEFT(TRP!A91,2)="\I","*","")</f>
        <v/>
      </c>
      <c r="B33" s="681" t="str">
        <f>IF(A33="*","",TRP!B91)</f>
        <v>TFHCV6ODS-E</v>
      </c>
      <c r="C33" s="681" t="str">
        <f>IF(A33="*","",TRP!A91)</f>
        <v>Transport Freight - HCV6 Oil Diesel-E</v>
      </c>
      <c r="D33" s="683"/>
      <c r="E33" s="683"/>
      <c r="F33" s="681" t="s">
        <v>1122</v>
      </c>
      <c r="G33" s="681" t="s">
        <v>1121</v>
      </c>
    </row>
    <row r="34" spans="1:7" x14ac:dyDescent="0.2">
      <c r="A34" s="681" t="str">
        <f>IF(LEFT(TRP!A92,2)="\I","*","")</f>
        <v/>
      </c>
      <c r="B34" s="681" t="str">
        <f>IF(A34="*","",TRP!B92)</f>
        <v>TFHCV7ODS-E</v>
      </c>
      <c r="C34" s="681" t="str">
        <f>IF(A34="*","",TRP!A92)</f>
        <v>Transport Freight - HCV7 Oil Diesel-E</v>
      </c>
      <c r="D34" s="683"/>
      <c r="E34" s="683"/>
      <c r="F34" s="681" t="s">
        <v>1122</v>
      </c>
      <c r="G34" s="681" t="s">
        <v>1121</v>
      </c>
    </row>
    <row r="35" spans="1:7" x14ac:dyDescent="0.2">
      <c r="A35" s="681" t="str">
        <f>IF(LEFT(TRP!A93,2)="\I","*","")</f>
        <v/>
      </c>
      <c r="B35" s="681" t="str">
        <f>IF(A35="*","",TRP!B93)</f>
        <v>TFHCV8ODS-E</v>
      </c>
      <c r="C35" s="681" t="str">
        <f>IF(A35="*","",TRP!A93)</f>
        <v>Transport Freight - HCV8 Oil Diesel-E</v>
      </c>
      <c r="D35" s="683"/>
      <c r="E35" s="683"/>
      <c r="F35" s="681" t="s">
        <v>1122</v>
      </c>
      <c r="G35" s="681" t="s">
        <v>1121</v>
      </c>
    </row>
    <row r="36" spans="1:7" x14ac:dyDescent="0.2">
      <c r="A36" s="681" t="str">
        <f>IF(LEFT(TRP!A94,2)="\I","*","")</f>
        <v/>
      </c>
      <c r="B36" s="681" t="str">
        <f>IF(A36="*","",TRP!B94)</f>
        <v>TFHCV9ODS-E</v>
      </c>
      <c r="C36" s="681" t="str">
        <f>IF(A36="*","",TRP!A94)</f>
        <v>Transport Freight - HCV9 Oil Diesel-E</v>
      </c>
      <c r="D36" s="683"/>
      <c r="E36" s="683"/>
      <c r="F36" s="681" t="s">
        <v>1122</v>
      </c>
      <c r="G36" s="681" t="s">
        <v>1121</v>
      </c>
    </row>
    <row r="37" spans="1:7" x14ac:dyDescent="0.2">
      <c r="A37" s="681" t="str">
        <f>IF(LEFT(TRP!A95,2)="\I","*","")</f>
        <v>*</v>
      </c>
      <c r="B37" s="681" t="str">
        <f>IF(A37="*","",TRP!B95)</f>
        <v/>
      </c>
      <c r="C37" s="681" t="str">
        <f>IF(A37="*","",TRP!A95)</f>
        <v/>
      </c>
      <c r="D37" s="683"/>
      <c r="E37" s="683"/>
    </row>
    <row r="38" spans="1:7" x14ac:dyDescent="0.2">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x14ac:dyDescent="0.2">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x14ac:dyDescent="0.2">
      <c r="A40" s="681" t="str">
        <f>IF(LEFT(TRP!A98,2)="\I","*","")</f>
        <v>*</v>
      </c>
      <c r="B40" s="681" t="str">
        <f>IF(A40="*","",TRP!B98)</f>
        <v/>
      </c>
      <c r="C40" s="681" t="str">
        <f>IF(A40="*","",TRP!A98)</f>
        <v/>
      </c>
      <c r="D40" s="683"/>
      <c r="E40" s="683"/>
    </row>
    <row r="41" spans="1:7" x14ac:dyDescent="0.2">
      <c r="A41" s="681" t="str">
        <f>IF(LEFT(TRP!A99,2)="\I","*","")</f>
        <v/>
      </c>
      <c r="B41" s="681" t="str">
        <f>IF(A41="*","",TRP!B99)</f>
        <v>TFROTODS-E</v>
      </c>
      <c r="C41" s="681" t="str">
        <f>IF(A41="*","",TRP!A99)</f>
        <v>Transport Freight - Rail Other Oil Diesel-E</v>
      </c>
      <c r="D41" s="683" t="s">
        <v>1152</v>
      </c>
      <c r="E41" s="683" t="s">
        <v>1153</v>
      </c>
      <c r="F41" s="681" t="s">
        <v>1122</v>
      </c>
      <c r="G41" s="681" t="s">
        <v>1121</v>
      </c>
    </row>
    <row r="42" spans="1:7" x14ac:dyDescent="0.2">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x14ac:dyDescent="0.2">
      <c r="A43" s="681" t="str">
        <f>IF(LEFT(TRP!A101,2)="\I","*","")</f>
        <v>*</v>
      </c>
      <c r="B43" s="681" t="str">
        <f>IF(A43="*","",TRP!B101)</f>
        <v/>
      </c>
      <c r="C43" s="681" t="str">
        <f>IF(A43="*","",TRP!A101)</f>
        <v/>
      </c>
      <c r="D43" s="683"/>
      <c r="E43" s="683"/>
    </row>
    <row r="44" spans="1:7" x14ac:dyDescent="0.2">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x14ac:dyDescent="0.2">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x14ac:dyDescent="0.2">
      <c r="A46" s="681" t="str">
        <f>IF(LEFT(TRP!A104,2)="\I","*","")</f>
        <v>*</v>
      </c>
      <c r="B46" s="681" t="str">
        <f>IF(A46="*","",TRP!B104)</f>
        <v/>
      </c>
      <c r="C46" s="681" t="str">
        <f>IF(A46="*","",TRP!A104)</f>
        <v/>
      </c>
      <c r="D46" s="683"/>
      <c r="E46" s="683"/>
    </row>
    <row r="47" spans="1:7" x14ac:dyDescent="0.2">
      <c r="A47" s="681" t="str">
        <f>IF(LEFT(TRP!A105,2)="\I","*","")</f>
        <v>*</v>
      </c>
      <c r="B47" s="681" t="str">
        <f>IF(A47="*","",TRP!B105)</f>
        <v/>
      </c>
      <c r="C47" s="681" t="str">
        <f>IF(A47="*","",TRP!A105)</f>
        <v/>
      </c>
      <c r="D47" s="683"/>
      <c r="E47" s="683"/>
    </row>
    <row r="48" spans="1:7" x14ac:dyDescent="0.2">
      <c r="A48" s="681" t="str">
        <f>IF(LEFT(TRP!A106,2)="\I","*","")</f>
        <v/>
      </c>
      <c r="B48" s="681" t="str">
        <f>IF(A48="*","",TRP!B106)</f>
        <v>TFPIPELC-E</v>
      </c>
      <c r="C48" s="681" t="str">
        <f>IF(A48="*","",TRP!A106)</f>
        <v>Transport Other - Pipeline Electricity-E</v>
      </c>
      <c r="D48" s="683" t="s">
        <v>20</v>
      </c>
      <c r="E48" s="683" t="s">
        <v>1151</v>
      </c>
      <c r="F48" s="681" t="s">
        <v>1122</v>
      </c>
      <c r="G48" s="681" t="s">
        <v>1121</v>
      </c>
    </row>
    <row r="49" spans="1:7" x14ac:dyDescent="0.2">
      <c r="A49" s="681" t="str">
        <f>IF(LEFT(TRP!A107,2)="\I","*","")</f>
        <v/>
      </c>
      <c r="B49" s="681" t="str">
        <f>IF(A49="*","",TRP!B107)</f>
        <v>TAIJETOKE-E</v>
      </c>
      <c r="C49" s="681" t="str">
        <f>IF(A49="*","",TRP!A107)</f>
        <v>Transport Other -  Aviation Int Jet Fuel -E</v>
      </c>
      <c r="D49" s="683" t="s">
        <v>20</v>
      </c>
      <c r="E49" s="683" t="s">
        <v>1151</v>
      </c>
      <c r="F49" s="681" t="s">
        <v>1122</v>
      </c>
      <c r="G49" s="681" t="s">
        <v>1121</v>
      </c>
    </row>
    <row r="50" spans="1:7" x14ac:dyDescent="0.2">
      <c r="A50" s="681" t="str">
        <f>IF(LEFT(TRP!A108,2)="\I","*","")</f>
        <v/>
      </c>
      <c r="B50" s="681" t="str">
        <f>IF(A50="*","",TRP!B108)</f>
        <v>TADJETOKE-E</v>
      </c>
      <c r="C50" s="681" t="str">
        <f>IF(A50="*","",TRP!A108)</f>
        <v>Transport Other -  Aviation Dom Jet Fuel -E</v>
      </c>
      <c r="D50" s="683" t="s">
        <v>20</v>
      </c>
      <c r="E50" s="683" t="s">
        <v>1151</v>
      </c>
      <c r="F50" s="681" t="s">
        <v>1122</v>
      </c>
      <c r="G50" s="681" t="s">
        <v>1121</v>
      </c>
    </row>
    <row r="51" spans="1:7" x14ac:dyDescent="0.2">
      <c r="A51" s="681" t="str">
        <f>IF(LEFT(TRP!A109,2)="\I","*","")</f>
        <v/>
      </c>
      <c r="B51" s="681" t="str">
        <f>IF(A51="*","",TRP!B109)</f>
        <v>TAOAGOAG-E</v>
      </c>
      <c r="C51" s="681" t="str">
        <f>IF(A51="*","",TRP!A109)</f>
        <v>Transport Other - Aviation Gasoline-E</v>
      </c>
      <c r="D51" s="683" t="s">
        <v>20</v>
      </c>
      <c r="E51" s="683" t="s">
        <v>1151</v>
      </c>
      <c r="F51" s="681" t="s">
        <v>1122</v>
      </c>
      <c r="G51" s="681" t="s">
        <v>1121</v>
      </c>
    </row>
    <row r="52" spans="1:7" x14ac:dyDescent="0.2">
      <c r="A52" s="681" t="str">
        <f>IF(LEFT(TRP!A110,2)="\I","*","")</f>
        <v/>
      </c>
      <c r="B52" s="681" t="str">
        <f>IF(A52="*","",TRP!B110)</f>
        <v>TSHFOOHF-E</v>
      </c>
      <c r="C52" s="681" t="str">
        <f>IF(A52="*","",TRP!A110)</f>
        <v>Transport Other - HFO-E</v>
      </c>
      <c r="D52" s="683" t="s">
        <v>20</v>
      </c>
      <c r="E52" s="683" t="s">
        <v>1151</v>
      </c>
      <c r="F52" s="681" t="s">
        <v>1122</v>
      </c>
      <c r="G52" s="681" t="s">
        <v>1121</v>
      </c>
    </row>
    <row r="53" spans="1:7" x14ac:dyDescent="0.2">
      <c r="A53" s="681" t="str">
        <f>IF(LEFT(TRP!A111,2)="\I","*","")</f>
        <v>*</v>
      </c>
      <c r="B53" s="681" t="str">
        <f>IF(A53="*","",TRP!B111)</f>
        <v/>
      </c>
      <c r="C53" s="681" t="str">
        <f>IF(A53="*","",TRP!A111)</f>
        <v/>
      </c>
      <c r="D53" s="683" t="str">
        <f>IF(A53="*","","PJ,PJa")</f>
        <v/>
      </c>
      <c r="E53" s="683" t="str">
        <f>IF(A53="*","","PRC,DMD,ANNUAL")</f>
        <v/>
      </c>
    </row>
    <row r="54" spans="1:7" x14ac:dyDescent="0.2">
      <c r="A54" s="681" t="str">
        <f>IF(LEFT(TRP!A112,2)="\I","*","")</f>
        <v>*</v>
      </c>
      <c r="B54" s="681" t="str">
        <f>IF(A54="*","",TRP!B112)</f>
        <v/>
      </c>
      <c r="C54" s="681" t="str">
        <f>IF(A54="*","",TRP!A112)</f>
        <v/>
      </c>
      <c r="D54" s="683" t="str">
        <f>IF(A54="*","","PJ,PJa")</f>
        <v/>
      </c>
      <c r="E54" s="683" t="str">
        <f>IF(A54="*","","PRC,DMD,ANNUAL")</f>
        <v/>
      </c>
    </row>
    <row r="55" spans="1:7" x14ac:dyDescent="0.2">
      <c r="A55" s="681" t="str">
        <f>IF(LEFT(TRP!A114,2)="\I","*","")</f>
        <v>*</v>
      </c>
      <c r="B55" s="681" t="str">
        <f>IF(A55="*","",TRP!B114)</f>
        <v/>
      </c>
      <c r="C55" s="681" t="str">
        <f>IF(A55="*","",TRP!A114)</f>
        <v/>
      </c>
      <c r="D55" s="683" t="str">
        <f>IF(A55="*","","PJ,PJa")</f>
        <v/>
      </c>
      <c r="E55" s="683" t="str">
        <f>IF(A55="*","","PRC,DMD,ANNUAL")</f>
        <v/>
      </c>
    </row>
    <row r="56" spans="1:7" x14ac:dyDescent="0.2">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D125"/>
  <sheetViews>
    <sheetView workbookViewId="0"/>
  </sheetViews>
  <sheetFormatPr defaultColWidth="8.85546875" defaultRowHeight="12.75" x14ac:dyDescent="0.2"/>
  <cols>
    <col min="1" max="1" width="2.42578125" style="1" customWidth="1"/>
    <col min="2" max="2" width="47.42578125" style="1" customWidth="1"/>
    <col min="3" max="3" width="19.42578125" style="1" customWidth="1"/>
    <col min="4" max="4" width="14.42578125" style="1" customWidth="1"/>
    <col min="5" max="6" width="13" style="1" customWidth="1"/>
    <col min="7" max="8" width="10" style="1" customWidth="1"/>
    <col min="9" max="9" width="11.5703125" style="1" customWidth="1"/>
    <col min="10" max="11" width="10" style="1" customWidth="1"/>
    <col min="12" max="12" width="11.42578125" style="1" customWidth="1"/>
    <col min="13" max="14" width="10" style="1" customWidth="1"/>
    <col min="15" max="16" width="14" style="687" customWidth="1"/>
    <col min="17" max="30" width="10" style="1" customWidth="1"/>
    <col min="31" max="31" width="9.140625" style="1" customWidth="1"/>
    <col min="32" max="33" width="8.85546875" style="1"/>
    <col min="34" max="34" width="9.5703125" style="1" bestFit="1" customWidth="1"/>
    <col min="35" max="16384" width="8.85546875" style="1"/>
  </cols>
  <sheetData>
    <row r="1" spans="2:30" ht="30.75" customHeight="1" x14ac:dyDescent="0.25">
      <c r="B1" s="679" t="s">
        <v>1120</v>
      </c>
      <c r="C1" s="1013" t="s">
        <v>1119</v>
      </c>
      <c r="D1" s="1013"/>
      <c r="E1" s="1013"/>
      <c r="F1" s="680"/>
      <c r="G1" s="680"/>
      <c r="H1" s="667"/>
      <c r="I1" s="679"/>
      <c r="J1" s="667"/>
      <c r="K1" s="679"/>
      <c r="L1" s="679"/>
      <c r="M1" s="679"/>
      <c r="N1" s="679"/>
    </row>
    <row r="2" spans="2:30" ht="15.75" x14ac:dyDescent="0.25">
      <c r="B2" s="709"/>
      <c r="C2" s="708"/>
      <c r="D2" s="657"/>
      <c r="E2" s="657"/>
      <c r="F2" s="657"/>
      <c r="G2" s="657"/>
      <c r="H2" s="193"/>
      <c r="I2" s="657"/>
      <c r="J2" s="657"/>
      <c r="K2" s="657"/>
      <c r="L2" s="657"/>
      <c r="M2" s="657"/>
      <c r="N2" s="657"/>
      <c r="Q2" s="657"/>
      <c r="R2" s="657"/>
      <c r="S2" s="657"/>
      <c r="T2" s="657"/>
      <c r="U2" s="657"/>
      <c r="V2" s="657"/>
      <c r="W2" s="193"/>
      <c r="X2" s="657"/>
      <c r="Y2" s="657"/>
      <c r="Z2" s="657"/>
      <c r="AA2" s="657"/>
      <c r="AB2" s="657"/>
      <c r="AC2" s="657"/>
      <c r="AD2" s="657"/>
    </row>
    <row r="3" spans="2:30" x14ac:dyDescent="0.2">
      <c r="B3" s="193"/>
      <c r="C3" s="193"/>
      <c r="D3" s="670" t="s">
        <v>1118</v>
      </c>
      <c r="E3" s="670"/>
      <c r="F3" s="670"/>
      <c r="G3" s="670"/>
      <c r="H3" s="670"/>
      <c r="I3" s="670"/>
      <c r="J3" s="670"/>
      <c r="K3" s="670"/>
      <c r="L3" s="670"/>
      <c r="M3" s="670"/>
      <c r="N3" s="670"/>
      <c r="Q3" s="657"/>
      <c r="R3" s="657"/>
      <c r="S3" s="657"/>
      <c r="T3" s="657"/>
      <c r="U3" s="657"/>
      <c r="V3" s="657"/>
      <c r="W3" s="657"/>
      <c r="X3" s="657"/>
      <c r="Y3" s="657"/>
      <c r="Z3" s="657"/>
      <c r="AA3" s="657"/>
      <c r="AB3" s="657"/>
      <c r="AC3" s="657"/>
      <c r="AD3" s="657"/>
    </row>
    <row r="4" spans="2:30" s="634" customFormat="1" x14ac:dyDescent="0.2">
      <c r="B4" s="707" t="s">
        <v>1116</v>
      </c>
      <c r="C4" s="193"/>
      <c r="D4" s="193"/>
      <c r="E4" s="193"/>
      <c r="F4" s="193"/>
      <c r="G4" s="193"/>
      <c r="H4" s="193"/>
      <c r="I4" s="193"/>
      <c r="J4" s="193"/>
      <c r="K4" s="193"/>
      <c r="L4" s="193"/>
      <c r="M4" s="193"/>
      <c r="N4" s="193"/>
      <c r="O4" s="706"/>
      <c r="P4" s="706"/>
      <c r="AA4" s="193" t="s">
        <v>1311</v>
      </c>
      <c r="AB4" s="854" t="s">
        <v>1312</v>
      </c>
    </row>
    <row r="5" spans="2:30" x14ac:dyDescent="0.2">
      <c r="B5" s="670" t="s">
        <v>1115</v>
      </c>
      <c r="C5" s="193" t="s">
        <v>1114</v>
      </c>
      <c r="D5" s="1" t="s">
        <v>1113</v>
      </c>
      <c r="E5" s="193" t="s">
        <v>1112</v>
      </c>
      <c r="F5" s="193" t="s">
        <v>140</v>
      </c>
      <c r="G5" s="193" t="s">
        <v>130</v>
      </c>
      <c r="H5" s="193" t="s">
        <v>1111</v>
      </c>
      <c r="I5" s="193" t="s">
        <v>1110</v>
      </c>
      <c r="J5" s="193" t="s">
        <v>1109</v>
      </c>
      <c r="K5" s="193" t="s">
        <v>1108</v>
      </c>
      <c r="L5" s="193" t="s">
        <v>1139</v>
      </c>
      <c r="M5" s="193" t="s">
        <v>1140</v>
      </c>
      <c r="N5" s="193"/>
      <c r="Q5" s="657"/>
      <c r="R5" s="657"/>
      <c r="S5" s="657"/>
      <c r="T5" s="657"/>
      <c r="U5" s="657"/>
      <c r="V5" s="657"/>
      <c r="W5" s="657"/>
      <c r="X5" s="193"/>
      <c r="Y5" s="193"/>
      <c r="Z5" s="193"/>
      <c r="AB5" s="1" t="s">
        <v>1315</v>
      </c>
      <c r="AC5" s="193"/>
      <c r="AD5" s="193"/>
    </row>
    <row r="6" spans="2:30" x14ac:dyDescent="0.2">
      <c r="B6" s="667" t="s">
        <v>1107</v>
      </c>
      <c r="C6" s="193" t="s">
        <v>1106</v>
      </c>
      <c r="D6" s="657" t="s">
        <v>1141</v>
      </c>
      <c r="E6" s="657" t="s">
        <v>1142</v>
      </c>
      <c r="F6" s="657" t="s">
        <v>1131</v>
      </c>
      <c r="G6" s="657" t="s">
        <v>1143</v>
      </c>
      <c r="H6" s="657" t="s">
        <v>1144</v>
      </c>
      <c r="I6" s="657" t="s">
        <v>1145</v>
      </c>
      <c r="J6" s="657" t="s">
        <v>1146</v>
      </c>
      <c r="K6" s="657" t="s">
        <v>1147</v>
      </c>
      <c r="L6" s="657" t="s">
        <v>1130</v>
      </c>
      <c r="M6" s="657" t="s">
        <v>1148</v>
      </c>
      <c r="N6" s="657"/>
      <c r="P6" s="716">
        <v>253.25598236623085</v>
      </c>
      <c r="Q6" s="717">
        <v>233.01022890384667</v>
      </c>
      <c r="R6" s="717">
        <v>155.89943525653939</v>
      </c>
      <c r="S6" s="717">
        <v>159.30398338651003</v>
      </c>
      <c r="T6" s="717">
        <v>162.70853151648063</v>
      </c>
      <c r="U6" s="717">
        <v>166.12010524536515</v>
      </c>
      <c r="AB6" s="1" t="s">
        <v>1314</v>
      </c>
    </row>
    <row r="7" spans="2:30" x14ac:dyDescent="0.2">
      <c r="B7" s="667"/>
      <c r="C7" s="675"/>
      <c r="D7" s="677"/>
      <c r="E7" s="677"/>
      <c r="F7" s="677"/>
      <c r="G7" s="677"/>
      <c r="H7" s="677"/>
      <c r="I7" s="677"/>
      <c r="J7" s="677"/>
      <c r="K7" s="677"/>
      <c r="L7" s="677"/>
      <c r="M7" s="677"/>
      <c r="N7" s="677"/>
      <c r="AB7" s="1" t="s">
        <v>1316</v>
      </c>
    </row>
    <row r="8" spans="2:30" x14ac:dyDescent="0.2">
      <c r="B8" s="667"/>
      <c r="C8" s="193"/>
      <c r="D8" s="193"/>
      <c r="E8" s="193"/>
      <c r="F8" s="193"/>
      <c r="G8" s="193"/>
      <c r="H8" s="193"/>
      <c r="I8" s="193"/>
      <c r="J8" s="193"/>
      <c r="K8" s="193"/>
      <c r="L8" s="193"/>
      <c r="M8" s="193"/>
      <c r="N8" s="193"/>
      <c r="O8" s="694"/>
      <c r="P8" s="694"/>
      <c r="AB8" s="1" t="s">
        <v>1313</v>
      </c>
    </row>
    <row r="9" spans="2:30" s="702" customFormat="1" ht="33" customHeight="1" x14ac:dyDescent="0.2">
      <c r="B9" s="705"/>
      <c r="C9" s="704"/>
      <c r="D9" s="703"/>
      <c r="E9" s="703"/>
      <c r="F9" s="703"/>
      <c r="G9" s="703"/>
      <c r="H9" s="703"/>
      <c r="I9" s="703"/>
      <c r="J9" s="703"/>
      <c r="K9" s="703"/>
      <c r="L9" s="703"/>
      <c r="M9" s="703"/>
      <c r="N9" s="703"/>
      <c r="AD9" s="700" t="s">
        <v>1135</v>
      </c>
    </row>
    <row r="10" spans="2:30" x14ac:dyDescent="0.2">
      <c r="B10" s="661"/>
      <c r="C10" s="660"/>
      <c r="D10" s="658"/>
      <c r="E10" s="658"/>
      <c r="F10" s="658" t="s">
        <v>594</v>
      </c>
      <c r="G10" s="658" t="s">
        <v>594</v>
      </c>
      <c r="H10" s="658" t="s">
        <v>594</v>
      </c>
      <c r="I10" s="658" t="s">
        <v>594</v>
      </c>
      <c r="J10" s="658"/>
      <c r="K10" s="658"/>
      <c r="L10" s="658"/>
      <c r="M10" s="658"/>
      <c r="N10" s="658"/>
      <c r="O10" s="658" t="s">
        <v>596</v>
      </c>
      <c r="P10" s="658" t="s">
        <v>593</v>
      </c>
      <c r="Q10" s="658" t="s">
        <v>593</v>
      </c>
      <c r="R10" s="658" t="s">
        <v>593</v>
      </c>
      <c r="S10" s="658" t="s">
        <v>593</v>
      </c>
      <c r="T10" s="658" t="s">
        <v>593</v>
      </c>
      <c r="U10" s="658" t="s">
        <v>593</v>
      </c>
      <c r="V10" s="658" t="s">
        <v>592</v>
      </c>
      <c r="W10" s="658" t="s">
        <v>592</v>
      </c>
      <c r="X10" s="658" t="s">
        <v>592</v>
      </c>
      <c r="Y10" s="658" t="s">
        <v>592</v>
      </c>
      <c r="AB10" s="700">
        <v>6</v>
      </c>
      <c r="AC10" s="634"/>
    </row>
    <row r="11" spans="2:30" ht="18" x14ac:dyDescent="0.25">
      <c r="B11" s="655" t="s">
        <v>1134</v>
      </c>
      <c r="C11" s="701"/>
      <c r="D11" s="651"/>
      <c r="E11" s="651"/>
      <c r="F11" s="651"/>
      <c r="G11" s="651"/>
      <c r="H11" s="651"/>
      <c r="I11" s="651"/>
      <c r="J11" s="651"/>
      <c r="K11" s="651"/>
      <c r="L11" s="651"/>
      <c r="M11" s="651"/>
      <c r="N11" s="651"/>
      <c r="O11" s="1"/>
      <c r="P11" s="1"/>
      <c r="AB11" s="700" t="s">
        <v>1132</v>
      </c>
      <c r="AC11" s="634"/>
    </row>
    <row r="12" spans="2:30" x14ac:dyDescent="0.2">
      <c r="D12" s="648"/>
      <c r="E12" s="648" t="s">
        <v>1040</v>
      </c>
      <c r="F12" s="648"/>
      <c r="G12" s="648"/>
      <c r="H12" s="648"/>
      <c r="O12" s="1"/>
      <c r="P12" s="1"/>
      <c r="AB12" s="700">
        <v>13</v>
      </c>
      <c r="AC12" s="634"/>
    </row>
    <row r="13" spans="2:30" x14ac:dyDescent="0.2">
      <c r="D13" s="648"/>
      <c r="E13" s="1" t="s">
        <v>1039</v>
      </c>
      <c r="J13" s="648"/>
      <c r="K13" s="648"/>
      <c r="L13" s="648"/>
      <c r="M13" s="648"/>
      <c r="N13" s="648"/>
      <c r="O13" s="1"/>
      <c r="P13" s="1"/>
      <c r="AB13" s="699">
        <v>2018</v>
      </c>
      <c r="AC13" s="634"/>
    </row>
    <row r="14" spans="2:30" ht="25.5" x14ac:dyDescent="0.2">
      <c r="B14" s="647" t="s">
        <v>1038</v>
      </c>
      <c r="C14" s="647" t="s">
        <v>1037</v>
      </c>
      <c r="D14" s="647" t="s">
        <v>1036</v>
      </c>
      <c r="E14" s="647" t="s">
        <v>1035</v>
      </c>
      <c r="F14" s="647" t="str">
        <f>"EFF"&amp;$E$12&amp;F15</f>
        <v>EFF~2020</v>
      </c>
      <c r="G14" s="647" t="str">
        <f>"EFF"&amp;$E$12&amp;G15</f>
        <v>EFF~2030</v>
      </c>
      <c r="H14" s="647" t="str">
        <f>"EFF"&amp;$E$12&amp;H15</f>
        <v>EFF~2040</v>
      </c>
      <c r="I14" s="647" t="str">
        <f>"EFF"&amp;$E$12&amp;I15</f>
        <v>EFF~2050</v>
      </c>
      <c r="J14" s="647" t="str">
        <f>"NCAP_AF"&amp;$E$12&amp;J15</f>
        <v>NCAP_AF~2012</v>
      </c>
      <c r="K14" s="647" t="str">
        <f t="shared" ref="K14:N14" si="0">"NCAP_AF"&amp;$E$12&amp;K15</f>
        <v>NCAP_AF~2020</v>
      </c>
      <c r="L14" s="647" t="str">
        <f t="shared" si="0"/>
        <v>NCAP_AF~2030</v>
      </c>
      <c r="M14" s="647" t="str">
        <f t="shared" si="0"/>
        <v>NCAP_AF~2040</v>
      </c>
      <c r="N14" s="647" t="str">
        <f t="shared" si="0"/>
        <v>NCAP_AF~2050</v>
      </c>
      <c r="O14" s="647" t="s">
        <v>596</v>
      </c>
      <c r="P14" s="647" t="str">
        <f t="shared" ref="P14:U14" si="1">"INVCOST"&amp;$E$12&amp;P15</f>
        <v>INVCOST~2020</v>
      </c>
      <c r="Q14" s="647" t="str">
        <f t="shared" si="1"/>
        <v>INVCOST~2025</v>
      </c>
      <c r="R14" s="647" t="str">
        <f t="shared" si="1"/>
        <v>INVCOST~2030</v>
      </c>
      <c r="S14" s="647" t="str">
        <f t="shared" si="1"/>
        <v>INVCOST~2035</v>
      </c>
      <c r="T14" s="647" t="str">
        <f t="shared" si="1"/>
        <v>INVCOST~2040</v>
      </c>
      <c r="U14" s="647" t="str">
        <f t="shared" si="1"/>
        <v>INVCOST~2050</v>
      </c>
      <c r="V14" s="647" t="str">
        <f t="shared" ref="V14:Y14" si="2">"FIXOM"&amp;$E$12&amp;V15</f>
        <v>FIXOM~2020</v>
      </c>
      <c r="W14" s="647" t="str">
        <f t="shared" si="2"/>
        <v>FIXOM~2030</v>
      </c>
      <c r="X14" s="647" t="str">
        <f t="shared" si="2"/>
        <v>FIXOM~2040</v>
      </c>
      <c r="Y14" s="647" t="str">
        <f t="shared" si="2"/>
        <v>FIXOM~2050</v>
      </c>
      <c r="Z14" s="647" t="s">
        <v>1252</v>
      </c>
      <c r="AA14" s="647" t="s">
        <v>1253</v>
      </c>
      <c r="AB14" s="647" t="s">
        <v>1133</v>
      </c>
      <c r="AC14" s="634"/>
    </row>
    <row r="15" spans="2:30" s="634" customFormat="1" ht="39.75" thickBot="1" x14ac:dyDescent="0.3">
      <c r="B15" s="646" t="s">
        <v>1034</v>
      </c>
      <c r="C15" s="643" t="s">
        <v>1033</v>
      </c>
      <c r="D15" s="644" t="s">
        <v>1032</v>
      </c>
      <c r="E15" s="644" t="s">
        <v>1031</v>
      </c>
      <c r="F15" s="644">
        <v>2020</v>
      </c>
      <c r="G15" s="644">
        <v>2030</v>
      </c>
      <c r="H15" s="644">
        <v>2040</v>
      </c>
      <c r="I15" s="644">
        <v>2050</v>
      </c>
      <c r="J15" s="644">
        <v>2012</v>
      </c>
      <c r="K15" s="644">
        <v>2020</v>
      </c>
      <c r="L15" s="644">
        <v>2030</v>
      </c>
      <c r="M15" s="644">
        <v>2040</v>
      </c>
      <c r="N15" s="644">
        <v>2050</v>
      </c>
      <c r="O15" s="644" t="str">
        <f>TRP!O59</f>
        <v>CapAct</v>
      </c>
      <c r="P15" s="644">
        <v>2020</v>
      </c>
      <c r="Q15" s="644">
        <v>2025</v>
      </c>
      <c r="R15" s="644">
        <v>2030</v>
      </c>
      <c r="S15" s="644">
        <v>2035</v>
      </c>
      <c r="T15" s="644">
        <v>2040</v>
      </c>
      <c r="U15" s="644">
        <v>2050</v>
      </c>
      <c r="V15" s="644">
        <v>2020</v>
      </c>
      <c r="W15" s="644">
        <v>2030</v>
      </c>
      <c r="X15" s="644">
        <v>2040</v>
      </c>
      <c r="Y15" s="644">
        <v>2050</v>
      </c>
      <c r="Z15" s="644">
        <v>2012</v>
      </c>
      <c r="AA15" s="644">
        <v>2012</v>
      </c>
      <c r="AB15" s="644"/>
      <c r="AC15" s="643" t="s">
        <v>1030</v>
      </c>
      <c r="AD15" s="643" t="s">
        <v>1132</v>
      </c>
    </row>
    <row r="16" spans="2:30" s="634" customFormat="1" x14ac:dyDescent="0.2">
      <c r="B16" s="688" t="s">
        <v>1026</v>
      </c>
      <c r="C16" s="698"/>
      <c r="D16" s="621"/>
      <c r="E16" s="621"/>
      <c r="F16" s="641"/>
      <c r="G16" s="641"/>
      <c r="H16" s="641"/>
      <c r="I16" s="641"/>
      <c r="J16" s="641"/>
      <c r="K16" s="641"/>
      <c r="L16" s="641"/>
      <c r="M16" s="641"/>
      <c r="N16" s="641"/>
      <c r="O16" s="640" t="s">
        <v>1025</v>
      </c>
      <c r="P16" s="657" t="s">
        <v>572</v>
      </c>
      <c r="Q16" s="657" t="s">
        <v>572</v>
      </c>
      <c r="R16" s="657" t="s">
        <v>572</v>
      </c>
      <c r="S16" s="657" t="s">
        <v>572</v>
      </c>
      <c r="T16" s="657" t="s">
        <v>572</v>
      </c>
      <c r="U16" s="657" t="s">
        <v>572</v>
      </c>
      <c r="V16" s="657"/>
      <c r="W16" s="657"/>
      <c r="X16" s="657"/>
      <c r="Y16" s="657"/>
      <c r="Z16" s="639"/>
      <c r="AA16" s="639"/>
      <c r="AB16" s="639"/>
    </row>
    <row r="17" spans="1:30" x14ac:dyDescent="0.2">
      <c r="B17" s="622" t="s">
        <v>1019</v>
      </c>
      <c r="C17" s="621"/>
      <c r="O17" s="633"/>
      <c r="P17" s="1"/>
      <c r="AC17" s="634"/>
    </row>
    <row r="18" spans="1:30" x14ac:dyDescent="0.2">
      <c r="A18" s="1" t="str">
        <f>IF(AB18=2080,"*","")</f>
        <v/>
      </c>
      <c r="B18" s="190" t="str">
        <f>ITEMS_nTech!C9</f>
        <v>Transport Passenger SUV Priv.Veh. Oil Diesel-N</v>
      </c>
      <c r="C18" s="190" t="str">
        <f>E18&amp;RIGHT(D18,3)&amp;"-N"</f>
        <v>TPPRSUVODS-N</v>
      </c>
      <c r="D18" s="611" t="str">
        <f>$E$6</f>
        <v>TRAODS</v>
      </c>
      <c r="E18" s="611" t="str">
        <f>TRP!$B$21</f>
        <v>TPPRSUV</v>
      </c>
      <c r="F18" s="692">
        <f t="array" ref="F18">IFERROR(INDEX(Analytica!$F$59:$AY$138,MATCH($C18,Analytica!$B$59:$B$168,0),MATCH(F$15&amp;F$10,Analytica!$F$58:$AY$58&amp;Analytica!$F$51:'Analytica'!$AY$51,0)),"")</f>
        <v>0.23658855771912971</v>
      </c>
      <c r="G18" s="692">
        <f t="array" ref="G18">IFERROR(INDEX(Analytica!$F$59:$AY$138,MATCH($C18,Analytica!$B$59:$B$168,0),MATCH(G$15&amp;G$10,Analytica!$F$58:$AY$58&amp;Analytica!$F$51:'Analytica'!$AY$51,0)),"")</f>
        <v>0.25508715046378805</v>
      </c>
      <c r="H18" s="692">
        <f t="array" ref="H18">IFERROR(INDEX(Analytica!$F$59:$AY$138,MATCH($C18,Analytica!$B$59:$B$168,0),MATCH(H$15&amp;H$10,Analytica!$F$58:$AY$58&amp;Analytica!$F$51:'Analytica'!$AY$51,0)),"")</f>
        <v>0.28205684025891897</v>
      </c>
      <c r="I18" s="692" cm="1">
        <f t="array" ref="I18">IFERROR(INDEX(Analytica!$F$59:$AY$138,MATCH($C18,Analytica!$B$59:$B$168,0),MATCH(I$15&amp;I$10,Analytica!$F$58:$AY$58&amp;Analytica!$F$51:'Analytica'!$AY$51,0)),"")</f>
        <v>0.31187796402994067</v>
      </c>
      <c r="J18" s="1001">
        <v>1</v>
      </c>
      <c r="K18" s="1001">
        <v>1</v>
      </c>
      <c r="L18" s="1001">
        <v>1</v>
      </c>
      <c r="M18" s="1001">
        <v>1</v>
      </c>
      <c r="N18" s="1001">
        <v>1</v>
      </c>
      <c r="O18" s="692">
        <f t="array" ref="O18">IFERROR(INDEX(Analytica!$F$59:$AY$138,MATCH($C18,Analytica!$B$59:$B$168,0),MATCH(O$15&amp;O$10,Analytica!$F$58:$AY$58&amp;Analytica!$F$51:'Analytica'!$AY$51,0)),"")</f>
        <v>2.4E-2</v>
      </c>
      <c r="P18" s="619">
        <f>INDEX(CostProjections!$Q$9:$W$91,MATCH($C18,CostProjections!$N$9:$N$91,0),MATCH(P$15,CostProjections!$Q$8:$W$8,0))*0.001</f>
        <v>440.55264716666665</v>
      </c>
      <c r="Q18" s="619">
        <f>INDEX(CostProjections!$Q$9:$W$91,MATCH($C18,CostProjections!$N$9:$N$91,0),MATCH(Q$15,CostProjections!$Q$8:$W$8,0))*0.001</f>
        <v>451.65694279166661</v>
      </c>
      <c r="R18" s="619">
        <f>INDEX(CostProjections!$Q$9:$W$91,MATCH($C18,CostProjections!$N$9:$N$91,0),MATCH(R$15,CostProjections!$Q$8:$W$8,0))*0.001</f>
        <v>462.76123841666663</v>
      </c>
      <c r="S18" s="619">
        <f>INDEX(CostProjections!$Q$9:$W$91,MATCH($C18,CostProjections!$N$9:$N$91,0),MATCH(S$15,CostProjections!$Q$8:$W$8,0))*0.001</f>
        <v>473.86553404166665</v>
      </c>
      <c r="T18" s="619">
        <f>INDEX(CostProjections!$Q$9:$W$91,MATCH($C18,CostProjections!$N$9:$N$91,0),MATCH(T$15,CostProjections!$Q$8:$W$8,0))*0.001</f>
        <v>484.96982966666661</v>
      </c>
      <c r="U18" s="619">
        <f>INDEX(CostProjections!$Q$9:$W$91,MATCH($C18,CostProjections!$N$9:$N$91,0),MATCH(U$15,CostProjections!$Q$8:$W$8,0))*0.001</f>
        <v>507.17842091666665</v>
      </c>
      <c r="V18" s="619">
        <f>INDEX(CostProjections!$Z$9:$AF$91,MATCH($C18,CostProjections!$N$9:$N$91,0),MATCH(V$15,CostProjections!$Z$8:$AF$8,0))*0.001</f>
        <v>4.8859812994454703</v>
      </c>
      <c r="W18" s="619">
        <f>INDEX(CostProjections!$Z$9:$AF$91,MATCH($C18,CostProjections!$N$9:$N$91,0),MATCH(W$15,CostProjections!$Z$8:$AF$8,0))*0.001</f>
        <v>5.1322873022181144</v>
      </c>
      <c r="X18" s="619">
        <f>INDEX(CostProjections!$Z$9:$AF$91,MATCH($C18,CostProjections!$N$9:$N$91,0),MATCH(X$15,CostProjections!$Z$8:$AF$8,0))*0.001</f>
        <v>5.3785933049907575</v>
      </c>
      <c r="Y18" s="619">
        <f>INDEX(CostProjections!$Z$9:$AF$91,MATCH($C18,CostProjections!$N$9:$N$91,0),MATCH(Y$15,CostProjections!$Z$8:$AF$8,0))*0.001</f>
        <v>5.6248993077634006</v>
      </c>
      <c r="Z18" s="689">
        <v>20</v>
      </c>
      <c r="AA18" s="689">
        <f t="shared" ref="AA18:AA49" si="3">Z18</f>
        <v>20</v>
      </c>
      <c r="AB18" s="689">
        <v>2018</v>
      </c>
      <c r="AC18" s="1">
        <f t="shared" ref="AC18:AC49" ca="1" si="4">OFFSET(AC18,-1,0)+1</f>
        <v>1</v>
      </c>
    </row>
    <row r="19" spans="1:30" x14ac:dyDescent="0.2">
      <c r="A19" s="1" t="str">
        <f t="shared" ref="A19:A82" si="5">IF(AB19=2080,"*","")</f>
        <v/>
      </c>
      <c r="B19" s="190" t="str">
        <f>ITEMS_nTech!C10</f>
        <v>Transport Passenger SUV Priv.Veh. Oil Gasoline-N</v>
      </c>
      <c r="C19" s="190" t="str">
        <f>E19&amp;RIGHT(D19,3)&amp;"-N"</f>
        <v>TPPRSUVOGS-N</v>
      </c>
      <c r="D19" s="611" t="str">
        <f>$H$6</f>
        <v>TRAOGS</v>
      </c>
      <c r="E19" s="611" t="str">
        <f>TRP!$B$21</f>
        <v>TPPRSUV</v>
      </c>
      <c r="F19" s="692">
        <f t="array" ref="F19">IFERROR(INDEX(Analytica!$F$59:$AY$138,MATCH($C19,Analytica!$B$59:$B$168,0),MATCH(F$15&amp;F$10,Analytica!$F$58:$AY$58&amp;Analytica!$F$51:'Analytica'!$AY$51,0)),"")</f>
        <v>0.43407150834094715</v>
      </c>
      <c r="G19" s="692">
        <f t="array" ref="G19">IFERROR(INDEX(Analytica!$F$59:$AY$138,MATCH($C19,Analytica!$B$59:$B$168,0),MATCH(G$15&amp;G$10,Analytica!$F$58:$AY$58&amp;Analytica!$F$51:'Analytica'!$AY$51,0)),"")</f>
        <v>0.46801107047476492</v>
      </c>
      <c r="H19" s="692">
        <f t="array" ref="H19">IFERROR(INDEX(Analytica!$F$59:$AY$138,MATCH($C19,Analytica!$B$59:$B$168,0),MATCH(H$15&amp;H$10,Analytica!$F$58:$AY$58&amp;Analytica!$F$51:'Analytica'!$AY$51,0)),"")</f>
        <v>0.51749264321742416</v>
      </c>
      <c r="I19" s="692">
        <f t="array" ref="I19">IFERROR(INDEX(Analytica!$F$59:$AY$138,MATCH($C19,Analytica!$B$59:$B$168,0),MATCH(I$15&amp;I$10,Analytica!$F$58:$AY$58&amp;Analytica!$F$51:'Analytica'!$AY$51,0)),"")</f>
        <v>0.57220577178333198</v>
      </c>
      <c r="J19" s="1001">
        <v>1</v>
      </c>
      <c r="K19" s="1001">
        <v>1</v>
      </c>
      <c r="L19" s="1001">
        <v>1</v>
      </c>
      <c r="M19" s="1001">
        <v>1</v>
      </c>
      <c r="N19" s="1001">
        <v>1</v>
      </c>
      <c r="O19" s="692">
        <f t="array" ref="O19">IFERROR(INDEX(Analytica!$F$59:$AY$138,MATCH($C19,Analytica!$B$59:$B$168,0),MATCH(O$15&amp;O$10,Analytica!$F$58:$AY$58&amp;Analytica!$F$51:'Analytica'!$AY$51,0)),"")</f>
        <v>2.4E-2</v>
      </c>
      <c r="P19" s="619">
        <f>INDEX(CostProjections!$Q$9:$W$91,MATCH($C19,CostProjections!$N$9:$N$91,0),MATCH(P$15,CostProjections!$Q$8:$W$8,0))*0.001</f>
        <v>419.49561249999994</v>
      </c>
      <c r="Q19" s="619">
        <f>INDEX(CostProjections!$Q$9:$W$91,MATCH($C19,CostProjections!$N$9:$N$91,0),MATCH(Q$15,CostProjections!$Q$8:$W$8,0))*0.001</f>
        <v>423.60831458333325</v>
      </c>
      <c r="R19" s="619">
        <f>INDEX(CostProjections!$Q$9:$W$91,MATCH($C19,CostProjections!$N$9:$N$91,0),MATCH(R$15,CostProjections!$Q$8:$W$8,0))*0.001</f>
        <v>427.72101666666663</v>
      </c>
      <c r="S19" s="619">
        <f>INDEX(CostProjections!$Q$9:$W$91,MATCH($C19,CostProjections!$N$9:$N$91,0),MATCH(S$15,CostProjections!$Q$8:$W$8,0))*0.001</f>
        <v>431.83371874999995</v>
      </c>
      <c r="T19" s="619">
        <f>INDEX(CostProjections!$Q$9:$W$91,MATCH($C19,CostProjections!$N$9:$N$91,0),MATCH(T$15,CostProjections!$Q$8:$W$8,0))*0.001</f>
        <v>435.94642083333326</v>
      </c>
      <c r="U19" s="619">
        <f>INDEX(CostProjections!$Q$9:$W$91,MATCH($C19,CostProjections!$N$9:$N$91,0),MATCH(U$15,CostProjections!$Q$8:$W$8,0))*0.001</f>
        <v>444.17182499999996</v>
      </c>
      <c r="V19" s="619">
        <f>INDEX(CostProjections!$Z$9:$AF$91,MATCH($C19,CostProjections!$N$9:$N$91,0),MATCH(V$15,CostProjections!$Z$8:$AF$8,0))*0.001</f>
        <v>4.0966368408203113</v>
      </c>
      <c r="W19" s="619">
        <f>INDEX(CostProjections!$Z$9:$AF$91,MATCH($C19,CostProjections!$N$9:$N$91,0),MATCH(W$15,CostProjections!$Z$8:$AF$8,0))*0.001</f>
        <v>4.1769630533854158</v>
      </c>
      <c r="X19" s="619">
        <f>INDEX(CostProjections!$Z$9:$AF$91,MATCH($C19,CostProjections!$N$9:$N$91,0),MATCH(X$15,CostProjections!$Z$8:$AF$8,0))*0.001</f>
        <v>4.2572892659505204</v>
      </c>
      <c r="Y19" s="619">
        <f>INDEX(CostProjections!$Z$9:$AF$91,MATCH($C19,CostProjections!$N$9:$N$91,0),MATCH(Y$15,CostProjections!$Z$8:$AF$8,0))*0.001</f>
        <v>4.3376154785156249</v>
      </c>
      <c r="Z19" s="689">
        <f>Z18</f>
        <v>20</v>
      </c>
      <c r="AA19" s="689">
        <f t="shared" si="3"/>
        <v>20</v>
      </c>
      <c r="AB19" s="689">
        <v>2018</v>
      </c>
      <c r="AC19" s="1">
        <f t="shared" ca="1" si="4"/>
        <v>2</v>
      </c>
    </row>
    <row r="20" spans="1:30" x14ac:dyDescent="0.2">
      <c r="A20" s="1" t="str">
        <f t="shared" si="5"/>
        <v>*</v>
      </c>
      <c r="B20" s="190" t="str">
        <f>ITEMS_nTech!C11</f>
        <v>Transport Passenger SUV Priv.Veh. Oil Diesel Hybrid-N</v>
      </c>
      <c r="C20" s="190" t="str">
        <f>E20&amp;RIGHT(D20,3)&amp;"H-N"</f>
        <v>TPPRSUVODSH-N</v>
      </c>
      <c r="D20" s="611" t="str">
        <f>$E$6</f>
        <v>TRAODS</v>
      </c>
      <c r="E20" s="611" t="str">
        <f>TRP!$B$21</f>
        <v>TPPRSUV</v>
      </c>
      <c r="F20" s="692">
        <f t="array" ref="F20">IFERROR(INDEX(Analytica!$F$59:$AY$138,MATCH($C20,Analytica!$B$59:$B$168,0),MATCH(F$15&amp;F$10,Analytica!$F$58:$AY$58&amp;Analytica!$F$51:'Analytica'!$AY$51,0)),"")</f>
        <v>0.50926334545412344</v>
      </c>
      <c r="G20" s="692">
        <f t="array" ref="G20">IFERROR(INDEX(Analytica!$F$59:$AY$138,MATCH($C20,Analytica!$B$59:$B$168,0),MATCH(G$15&amp;G$10,Analytica!$F$58:$AY$58&amp;Analytica!$F$51:'Analytica'!$AY$51,0)),"")</f>
        <v>0.54908207260711606</v>
      </c>
      <c r="H20" s="692">
        <f t="array" ref="H20">IFERROR(INDEX(Analytica!$F$59:$AY$138,MATCH($C20,Analytica!$B$59:$B$168,0),MATCH(H$15&amp;H$10,Analytica!$F$58:$AY$58&amp;Analytica!$F$51:'Analytica'!$AY$51,0)),"")</f>
        <v>0.60713506799852335</v>
      </c>
      <c r="I20" s="692">
        <f t="array" ref="I20">IFERROR(INDEX(Analytica!$F$59:$AY$138,MATCH($C20,Analytica!$B$59:$B$168,0),MATCH(I$15&amp;I$10,Analytica!$F$58:$AY$58&amp;Analytica!$F$51:'Analytica'!$AY$51,0)),"")</f>
        <v>0.67132585306117754</v>
      </c>
      <c r="J20" s="1001">
        <v>1</v>
      </c>
      <c r="K20" s="1001">
        <v>1</v>
      </c>
      <c r="L20" s="1001">
        <v>1</v>
      </c>
      <c r="M20" s="1001">
        <v>1</v>
      </c>
      <c r="N20" s="1001">
        <v>1</v>
      </c>
      <c r="O20" s="692">
        <f t="array" ref="O20">IFERROR(INDEX(Analytica!$F$59:$AY$138,MATCH($C20,Analytica!$B$59:$B$168,0),MATCH(O$15&amp;O$10,Analytica!$F$58:$AY$58&amp;Analytica!$F$51:'Analytica'!$AY$51,0)),"")</f>
        <v>2.4E-2</v>
      </c>
      <c r="P20" s="619">
        <f>INDEX(CostProjections!$Q$9:$W$91,MATCH($C20,CostProjections!$N$9:$N$91,0),MATCH(P$15,CostProjections!$Q$8:$W$8,0))*0.001</f>
        <v>561.02406464457817</v>
      </c>
      <c r="Q20" s="619">
        <f>INDEX(CostProjections!$Q$9:$W$91,MATCH($C20,CostProjections!$N$9:$N$91,0),MATCH(Q$15,CostProjections!$Q$8:$W$8,0))*0.001</f>
        <v>517.42984817664717</v>
      </c>
      <c r="R20" s="619">
        <f>INDEX(CostProjections!$Q$9:$W$91,MATCH($C20,CostProjections!$N$9:$N$91,0),MATCH(R$15,CostProjections!$Q$8:$W$8,0))*0.001</f>
        <v>487.37251476795632</v>
      </c>
      <c r="S20" s="619">
        <f>INDEX(CostProjections!$Q$9:$W$91,MATCH($C20,CostProjections!$N$9:$N$91,0),MATCH(S$15,CostProjections!$Q$8:$W$8,0))*0.001</f>
        <v>488.12858988041552</v>
      </c>
      <c r="T20" s="619">
        <f>INDEX(CostProjections!$Q$9:$W$91,MATCH($C20,CostProjections!$N$9:$N$91,0),MATCH(T$15,CostProjections!$Q$8:$W$8,0))*0.001</f>
        <v>488.88526235594236</v>
      </c>
      <c r="U20" s="619">
        <f>INDEX(CostProjections!$Q$9:$W$91,MATCH($C20,CostProjections!$N$9:$N$91,0),MATCH(U$15,CostProjections!$Q$8:$W$8,0))*0.001</f>
        <v>490.23725458797793</v>
      </c>
      <c r="V20" s="619">
        <f>INDEX(CostProjections!$Z$9:$AF$91,MATCH($C20,CostProjections!$N$9:$N$91,0),MATCH(V$15,CostProjections!$Z$8:$AF$8,0))*0.001</f>
        <v>15.147649745403609</v>
      </c>
      <c r="W20" s="619">
        <f>INDEX(CostProjections!$Z$9:$AF$91,MATCH($C20,CostProjections!$N$9:$N$91,0),MATCH(W$15,CostProjections!$Z$8:$AF$8,0))*0.001</f>
        <v>13.159057898734821</v>
      </c>
      <c r="X20" s="619">
        <f>INDEX(CostProjections!$Z$9:$AF$91,MATCH($C20,CostProjections!$N$9:$N$91,0),MATCH(X$15,CostProjections!$Z$8:$AF$8,0))*0.001</f>
        <v>13.199902083610443</v>
      </c>
      <c r="Y20" s="619">
        <f>INDEX(CostProjections!$Z$9:$AF$91,MATCH($C20,CostProjections!$N$9:$N$91,0),MATCH(Y$15,CostProjections!$Z$8:$AF$8,0))*0.001</f>
        <v>13.236405873875404</v>
      </c>
      <c r="Z20" s="689">
        <f>Z19</f>
        <v>20</v>
      </c>
      <c r="AA20" s="689">
        <f t="shared" si="3"/>
        <v>20</v>
      </c>
      <c r="AB20" s="855">
        <v>2080</v>
      </c>
      <c r="AC20" s="1">
        <f t="shared" ca="1" si="4"/>
        <v>3</v>
      </c>
      <c r="AD20" s="1">
        <v>1</v>
      </c>
    </row>
    <row r="21" spans="1:30" x14ac:dyDescent="0.2">
      <c r="A21" s="1" t="str">
        <f t="shared" si="5"/>
        <v/>
      </c>
      <c r="B21" s="190" t="str">
        <f>ITEMS_nTech!C12</f>
        <v>Transport Passenger SUV Priv.Veh. Oil Gasoline Hybrid-N</v>
      </c>
      <c r="C21" s="190" t="str">
        <f>E21&amp;RIGHT(D21,3)&amp;"H-N"</f>
        <v>TPPRSUVOGSH-N</v>
      </c>
      <c r="D21" s="611" t="str">
        <f>$H$6</f>
        <v>TRAOGS</v>
      </c>
      <c r="E21" s="611" t="str">
        <f>TRP!$B$21</f>
        <v>TPPRSUV</v>
      </c>
      <c r="F21" s="692">
        <f t="array" ref="F21">IFERROR(INDEX(Analytica!$F$59:$AY$138,MATCH($C21,Analytica!$B$59:$B$168,0),MATCH(F$15&amp;F$10,Analytica!$F$58:$AY$58&amp;Analytica!$F$51:'Analytica'!$AY$51,0)),"")</f>
        <v>0.56808553818966034</v>
      </c>
      <c r="G21" s="692">
        <f t="array" ref="G21">IFERROR(INDEX(Analytica!$F$59:$AY$138,MATCH($C21,Analytica!$B$59:$B$168,0),MATCH(G$15&amp;G$10,Analytica!$F$58:$AY$58&amp;Analytica!$F$51:'Analytica'!$AY$51,0)),"")</f>
        <v>0.61250350631293804</v>
      </c>
      <c r="H21" s="692">
        <f t="array" ref="H21">IFERROR(INDEX(Analytica!$F$59:$AY$138,MATCH($C21,Analytica!$B$59:$B$168,0),MATCH(H$15&amp;H$10,Analytica!$F$58:$AY$58&amp;Analytica!$F$51:'Analytica'!$AY$51,0)),"")</f>
        <v>0.67726188216078398</v>
      </c>
      <c r="I21" s="692">
        <f t="array" ref="I21">IFERROR(INDEX(Analytica!$F$59:$AY$138,MATCH($C21,Analytica!$B$59:$B$168,0),MATCH(I$15&amp;I$10,Analytica!$F$58:$AY$58&amp;Analytica!$F$51:'Analytica'!$AY$51,0)),"")</f>
        <v>0.74886698982196298</v>
      </c>
      <c r="J21" s="1001">
        <v>1</v>
      </c>
      <c r="K21" s="1001">
        <v>1</v>
      </c>
      <c r="L21" s="1001">
        <v>1</v>
      </c>
      <c r="M21" s="1001">
        <v>1</v>
      </c>
      <c r="N21" s="1001">
        <v>1</v>
      </c>
      <c r="O21" s="692">
        <f t="array" ref="O21">IFERROR(INDEX(Analytica!$F$59:$AY$138,MATCH($C21,Analytica!$B$59:$B$168,0),MATCH(O$15&amp;O$10,Analytica!$F$58:$AY$58&amp;Analytica!$F$51:'Analytica'!$AY$51,0)),"")</f>
        <v>2.4E-2</v>
      </c>
      <c r="P21" s="619">
        <f>INDEX(CostProjections!$Q$9:$W$91,MATCH($C21,CostProjections!$N$9:$N$91,0),MATCH(P$15,CostProjections!$Q$8:$W$8,0))*0.001</f>
        <v>523.46472116666666</v>
      </c>
      <c r="Q21" s="619">
        <f>INDEX(CostProjections!$Q$9:$W$91,MATCH($C21,CostProjections!$N$9:$N$91,0),MATCH(Q$15,CostProjections!$Q$8:$W$8,0))*0.001</f>
        <v>482.96759078620323</v>
      </c>
      <c r="R21" s="619">
        <f>INDEX(CostProjections!$Q$9:$W$91,MATCH($C21,CostProjections!$N$9:$N$91,0),MATCH(R$15,CostProjections!$Q$8:$W$8,0))*0.001</f>
        <v>455.08262596021092</v>
      </c>
      <c r="S21" s="619">
        <f>INDEX(CostProjections!$Q$9:$W$91,MATCH($C21,CostProjections!$N$9:$N$91,0),MATCH(S$15,CostProjections!$Q$8:$W$8,0))*0.001</f>
        <v>455.82622502223791</v>
      </c>
      <c r="T21" s="619">
        <f>INDEX(CostProjections!$Q$9:$W$91,MATCH($C21,CostProjections!$N$9:$N$91,0),MATCH(T$15,CostProjections!$Q$8:$W$8,0))*0.001</f>
        <v>456.56982408426438</v>
      </c>
      <c r="U21" s="619">
        <f>INDEX(CostProjections!$Q$9:$W$91,MATCH($C21,CostProjections!$N$9:$N$91,0),MATCH(U$15,CostProjections!$Q$8:$W$8,0))*0.001</f>
        <v>458.05702220831739</v>
      </c>
      <c r="V21" s="619">
        <f>INDEX(CostProjections!$Z$9:$AF$91,MATCH($C21,CostProjections!$N$9:$N$91,0),MATCH(V$15,CostProjections!$Z$8:$AF$8,0))*0.001</f>
        <v>4.1944288555021361</v>
      </c>
      <c r="W21" s="619">
        <f>INDEX(CostProjections!$Z$9:$AF$91,MATCH($C21,CostProjections!$N$9:$N$91,0),MATCH(W$15,CostProjections!$Z$8:$AF$8,0))*0.001</f>
        <v>3.6464954003222023</v>
      </c>
      <c r="X21" s="619">
        <f>INDEX(CostProjections!$Z$9:$AF$91,MATCH($C21,CostProjections!$N$9:$N$91,0),MATCH(X$15,CostProjections!$Z$8:$AF$8,0))*0.001</f>
        <v>3.6584120519572467</v>
      </c>
      <c r="Y21" s="619">
        <f>INDEX(CostProjections!$Z$9:$AF$91,MATCH($C21,CostProjections!$N$9:$N$91,0),MATCH(Y$15,CostProjections!$Z$8:$AF$8,0))*0.001</f>
        <v>3.6703287035922862</v>
      </c>
      <c r="Z21" s="689">
        <f>Z20</f>
        <v>20</v>
      </c>
      <c r="AA21" s="689">
        <f t="shared" si="3"/>
        <v>20</v>
      </c>
      <c r="AB21" s="689">
        <v>2018</v>
      </c>
      <c r="AC21" s="1">
        <f t="shared" ca="1" si="4"/>
        <v>4</v>
      </c>
    </row>
    <row r="22" spans="1:30" x14ac:dyDescent="0.2">
      <c r="A22" s="1" t="str">
        <f t="shared" si="5"/>
        <v>*</v>
      </c>
      <c r="B22" s="190" t="str">
        <f>ITEMS_nTech!C13</f>
        <v>Transport Passenger SUV Priv.Veh. Gas-N</v>
      </c>
      <c r="C22" s="190" t="str">
        <f>E22&amp;RIGHT(D22,3)&amp;"-N"</f>
        <v>TPPRSUVGAS-N</v>
      </c>
      <c r="D22" s="611" t="str">
        <f>G6</f>
        <v>TRAGAS</v>
      </c>
      <c r="E22" s="611" t="str">
        <f>TRP!$B$21</f>
        <v>TPPRSUV</v>
      </c>
      <c r="F22" s="692">
        <f t="array" ref="F22">IFERROR(INDEX(Analytica!$F$59:$AY$138,MATCH($C22,Analytica!$B$59:$B$168,0),MATCH(F$15&amp;F$10,Analytica!$F$58:$AY$58&amp;Analytica!$F$51:'Analytica'!$AY$51,0)),"")</f>
        <v>0.36995143331622149</v>
      </c>
      <c r="G22" s="692">
        <f t="array" ref="G22">IFERROR(INDEX(Analytica!$F$59:$AY$138,MATCH($C22,Analytica!$B$59:$B$168,0),MATCH(G$15&amp;G$10,Analytica!$F$58:$AY$58&amp;Analytica!$F$51:'Analytica'!$AY$51,0)),"")</f>
        <v>0.39887751903311353</v>
      </c>
      <c r="H22" s="692">
        <f t="array" ref="H22">IFERROR(INDEX(Analytica!$F$59:$AY$138,MATCH($C22,Analytica!$B$59:$B$168,0),MATCH(H$15&amp;H$10,Analytica!$F$58:$AY$58&amp;Analytica!$F$51:'Analytica'!$AY$51,0)),"")</f>
        <v>0.4410497842178378</v>
      </c>
      <c r="I22" s="692">
        <f t="array" ref="I22">IFERROR(INDEX(Analytica!$F$59:$AY$138,MATCH($C22,Analytica!$B$59:$B$168,0),MATCH(I$15&amp;I$10,Analytica!$F$58:$AY$58&amp;Analytica!$F$51:'Analytica'!$AY$51,0)),"")</f>
        <v>0.48768081146847597</v>
      </c>
      <c r="J22" s="1001">
        <v>1</v>
      </c>
      <c r="K22" s="1001">
        <v>1</v>
      </c>
      <c r="L22" s="1001">
        <v>1</v>
      </c>
      <c r="M22" s="1001">
        <v>1</v>
      </c>
      <c r="N22" s="1001">
        <v>1</v>
      </c>
      <c r="O22" s="692">
        <f t="array" ref="O22">IFERROR(INDEX(Analytica!$F$59:$AY$138,MATCH($C22,Analytica!$B$59:$B$168,0),MATCH(O$15&amp;O$10,Analytica!$F$58:$AY$58&amp;Analytica!$F$51:'Analytica'!$AY$51,0)),"")</f>
        <v>2.4E-2</v>
      </c>
      <c r="P22" s="619">
        <f>INDEX(CostProjections!$Q$9:$W$91,MATCH($C22,CostProjections!$N$9:$N$91,0),MATCH(P$15,CostProjections!$Q$8:$W$8,0))*0.001</f>
        <v>540.54190588077324</v>
      </c>
      <c r="Q22" s="619">
        <f>INDEX(CostProjections!$Q$9:$W$91,MATCH($C22,CostProjections!$N$9:$N$91,0),MATCH(Q$15,CostProjections!$Q$8:$W$8,0))*0.001</f>
        <v>507.19523603349688</v>
      </c>
      <c r="R22" s="619">
        <f>INDEX(CostProjections!$Q$9:$W$91,MATCH($C22,CostProjections!$N$9:$N$91,0),MATCH(R$15,CostProjections!$Q$8:$W$8,0))*0.001</f>
        <v>485.99665904886371</v>
      </c>
      <c r="S22" s="619">
        <f>INDEX(CostProjections!$Q$9:$W$91,MATCH($C22,CostProjections!$N$9:$N$91,0),MATCH(S$15,CostProjections!$Q$8:$W$8,0))*0.001</f>
        <v>489.48156615182955</v>
      </c>
      <c r="T22" s="619">
        <f>INDEX(CostProjections!$Q$9:$W$91,MATCH($C22,CostProjections!$N$9:$N$91,0),MATCH(T$15,CostProjections!$Q$8:$W$8,0))*0.001</f>
        <v>492.92657321024433</v>
      </c>
      <c r="U22" s="619">
        <f>INDEX(CostProjections!$Q$9:$W$91,MATCH($C22,CostProjections!$N$9:$N$91,0),MATCH(U$15,CostProjections!$Q$8:$W$8,0))*0.001</f>
        <v>497.11598765966369</v>
      </c>
      <c r="V22" s="619">
        <f>INDEX(CostProjections!$Z$9:$AF$91,MATCH($C22,CostProjections!$N$9:$N$91,0),MATCH(V$15,CostProjections!$Z$8:$AF$8,0))*0.001</f>
        <v>14.594631458780876</v>
      </c>
      <c r="W22" s="619">
        <f>INDEX(CostProjections!$Z$9:$AF$91,MATCH($C22,CostProjections!$N$9:$N$91,0),MATCH(W$15,CostProjections!$Z$8:$AF$8,0))*0.001</f>
        <v>13.12190979431932</v>
      </c>
      <c r="X22" s="619">
        <f>INDEX(CostProjections!$Z$9:$AF$91,MATCH($C22,CostProjections!$N$9:$N$91,0),MATCH(X$15,CostProjections!$Z$8:$AF$8,0))*0.001</f>
        <v>13.309017476676596</v>
      </c>
      <c r="Y22" s="619">
        <f>INDEX(CostProjections!$Z$9:$AF$91,MATCH($C22,CostProjections!$N$9:$N$91,0),MATCH(Y$15,CostProjections!$Z$8:$AF$8,0))*0.001</f>
        <v>13.42213166681092</v>
      </c>
      <c r="Z22" s="689">
        <f>Z19</f>
        <v>20</v>
      </c>
      <c r="AA22" s="689">
        <f t="shared" si="3"/>
        <v>20</v>
      </c>
      <c r="AB22" s="855">
        <v>2080</v>
      </c>
      <c r="AC22" s="1">
        <f t="shared" ca="1" si="4"/>
        <v>5</v>
      </c>
      <c r="AD22" s="1">
        <v>1</v>
      </c>
    </row>
    <row r="23" spans="1:30" x14ac:dyDescent="0.2">
      <c r="A23" s="1" t="str">
        <f t="shared" si="5"/>
        <v/>
      </c>
      <c r="B23" s="190" t="str">
        <f>ITEMS_nTech!C14</f>
        <v>Transport Passenger SUV Priv.Veh. Hydrogen Fuel Cell-N</v>
      </c>
      <c r="C23" s="190" t="str">
        <f>E23&amp;RIGHT(D23,3)&amp;"F-N"</f>
        <v>TPPRSUVHGNF-N</v>
      </c>
      <c r="D23" s="611" t="str">
        <f>$L$6</f>
        <v>TRAHGN</v>
      </c>
      <c r="E23" s="611" t="str">
        <f>TRP!$B$21</f>
        <v>TPPRSUV</v>
      </c>
      <c r="F23" s="692">
        <f t="array" ref="F23">IFERROR(INDEX(Analytica!$F$59:$AY$138,MATCH($C23,Analytica!$B$59:$B$168,0),MATCH(F$15&amp;F$10,Analytica!$F$58:$AY$58&amp;Analytica!$F$51:'Analytica'!$AY$51,0)),"")</f>
        <v>0.88097451731554877</v>
      </c>
      <c r="G23" s="692">
        <f t="array" ref="G23">IFERROR(INDEX(Analytica!$F$59:$AY$138,MATCH($C23,Analytica!$B$59:$B$168,0),MATCH(G$15&amp;G$10,Analytica!$F$58:$AY$58&amp;Analytica!$F$51:'Analytica'!$AY$51,0)),"")</f>
        <v>0.94985692215944351</v>
      </c>
      <c r="H23" s="692">
        <f t="array" ref="H23">IFERROR(INDEX(Analytica!$F$59:$AY$138,MATCH($C23,Analytica!$B$59:$B$168,0),MATCH(H$15&amp;H$10,Analytica!$F$58:$AY$58&amp;Analytica!$F$51:'Analytica'!$AY$51,0)),"")</f>
        <v>1.050282782473543</v>
      </c>
      <c r="I23" s="692">
        <f t="array" ref="I23">IFERROR(INDEX(Analytica!$F$59:$AY$138,MATCH($C23,Analytica!$B$59:$B$168,0),MATCH(I$15&amp;I$10,Analytica!$F$58:$AY$58&amp;Analytica!$F$51:'Analytica'!$AY$51,0)),"")</f>
        <v>1.1613264034045769</v>
      </c>
      <c r="J23" s="1001">
        <v>1</v>
      </c>
      <c r="K23" s="1001">
        <v>1</v>
      </c>
      <c r="L23" s="1001">
        <v>1</v>
      </c>
      <c r="M23" s="1001">
        <v>1</v>
      </c>
      <c r="N23" s="1001">
        <v>1</v>
      </c>
      <c r="O23" s="692">
        <f t="array" ref="O23">IFERROR(INDEX(Analytica!$F$59:$AY$138,MATCH($C23,Analytica!$B$59:$B$168,0),MATCH(O$15&amp;O$10,Analytica!$F$58:$AY$58&amp;Analytica!$F$51:'Analytica'!$AY$51,0)),"")</f>
        <v>2.4E-2</v>
      </c>
      <c r="P23" s="619">
        <f>INDEX(CostProjections!$Q$9:$W$91,MATCH($C23,CostProjections!$N$9:$N$91,0),MATCH(P$15,CostProjections!$Q$8:$W$8,0))*0.001</f>
        <v>643.48820564585776</v>
      </c>
      <c r="Q23" s="619">
        <f>INDEX(CostProjections!$Q$9:$W$91,MATCH($C23,CostProjections!$N$9:$N$91,0),MATCH(Q$15,CostProjections!$Q$8:$W$8,0))*0.001</f>
        <v>605.24692079536214</v>
      </c>
      <c r="R23" s="619">
        <f>INDEX(CostProjections!$Q$9:$W$91,MATCH($C23,CostProjections!$N$9:$N$91,0),MATCH(R$15,CostProjections!$Q$8:$W$8,0))*0.001</f>
        <v>567.00563594486653</v>
      </c>
      <c r="S23" s="619">
        <f>INDEX(CostProjections!$Q$9:$W$91,MATCH($C23,CostProjections!$N$9:$N$91,0),MATCH(S$15,CostProjections!$Q$8:$W$8,0))*0.001</f>
        <v>531.04421653524355</v>
      </c>
      <c r="T23" s="619">
        <f>INDEX(CostProjections!$Q$9:$W$91,MATCH($C23,CostProjections!$N$9:$N$91,0),MATCH(T$15,CostProjections!$Q$8:$W$8,0))*0.001</f>
        <v>521.6391288761281</v>
      </c>
      <c r="U23" s="619">
        <f>INDEX(CostProjections!$Q$9:$W$91,MATCH($C23,CostProjections!$N$9:$N$91,0),MATCH(U$15,CostProjections!$Q$8:$W$8,0))*0.001</f>
        <v>492.40412426398677</v>
      </c>
      <c r="V23" s="619">
        <f>INDEX(CostProjections!$Z$9:$AF$91,MATCH($C23,CostProjections!$N$9:$N$91,0),MATCH(V$15,CostProjections!$Z$8:$AF$8,0))*0.001</f>
        <v>17.374181552438159</v>
      </c>
      <c r="W23" s="619">
        <f>INDEX(CostProjections!$Z$9:$AF$91,MATCH($C23,CostProjections!$N$9:$N$91,0),MATCH(W$15,CostProjections!$Z$8:$AF$8,0))*0.001</f>
        <v>15.309152170511394</v>
      </c>
      <c r="X23" s="619">
        <f>INDEX(CostProjections!$Z$9:$AF$91,MATCH($C23,CostProjections!$N$9:$N$91,0),MATCH(X$15,CostProjections!$Z$8:$AF$8,0))*0.001</f>
        <v>14.084256479655458</v>
      </c>
      <c r="Y23" s="619">
        <f>INDEX(CostProjections!$Z$9:$AF$91,MATCH($C23,CostProjections!$N$9:$N$91,0),MATCH(Y$15,CostProjections!$Z$8:$AF$8,0))*0.001</f>
        <v>13.294911355127642</v>
      </c>
      <c r="Z23" s="689">
        <f>Z22</f>
        <v>20</v>
      </c>
      <c r="AA23" s="689">
        <f t="shared" si="3"/>
        <v>20</v>
      </c>
      <c r="AB23" s="689">
        <v>2025</v>
      </c>
      <c r="AC23" s="1">
        <f t="shared" ca="1" si="4"/>
        <v>6</v>
      </c>
      <c r="AD23" s="1">
        <v>1</v>
      </c>
    </row>
    <row r="24" spans="1:30" x14ac:dyDescent="0.2">
      <c r="A24" s="1" t="str">
        <f t="shared" si="5"/>
        <v>*</v>
      </c>
      <c r="B24" s="190" t="str">
        <f>ITEMS_nTech!C15</f>
        <v>Transport Passenger SUV Priv.Veh. Oil Blended Gasoline-Ethanol-E85-N</v>
      </c>
      <c r="C24" s="190" t="str">
        <f>E24&amp;RIGHT(D24,3)&amp;"-N"</f>
        <v>TPPRSUVBGS-N</v>
      </c>
      <c r="D24" s="611" t="str">
        <f>$M$6</f>
        <v>TRABGS</v>
      </c>
      <c r="E24" s="611" t="str">
        <f>TRP!$B$21</f>
        <v>TPPRSUV</v>
      </c>
      <c r="F24" s="692">
        <f t="array" ref="F24">IFERROR(INDEX(Analytica!$F$59:$AY$138,MATCH($C24,Analytica!$B$59:$B$168,0),MATCH(F$15&amp;F$10,Analytica!$F$58:$AY$58&amp;Analytica!$F$51:'Analytica'!$AY$51,0)),"")</f>
        <v>0.43407150834094715</v>
      </c>
      <c r="G24" s="692">
        <f t="array" ref="G24">IFERROR(INDEX(Analytica!$F$59:$AY$138,MATCH($C24,Analytica!$B$59:$B$168,0),MATCH(G$15&amp;G$10,Analytica!$F$58:$AY$58&amp;Analytica!$F$51:'Analytica'!$AY$51,0)),"")</f>
        <v>0.46801107047476492</v>
      </c>
      <c r="H24" s="692">
        <f t="array" ref="H24">IFERROR(INDEX(Analytica!$F$59:$AY$138,MATCH($C24,Analytica!$B$59:$B$168,0),MATCH(H$15&amp;H$10,Analytica!$F$58:$AY$58&amp;Analytica!$F$51:'Analytica'!$AY$51,0)),"")</f>
        <v>0.51749264321742416</v>
      </c>
      <c r="I24" s="692">
        <f t="array" ref="I24">IFERROR(INDEX(Analytica!$F$59:$AY$138,MATCH($C24,Analytica!$B$59:$B$168,0),MATCH(I$15&amp;I$10,Analytica!$F$58:$AY$58&amp;Analytica!$F$51:'Analytica'!$AY$51,0)),"")</f>
        <v>0.57220577178333198</v>
      </c>
      <c r="J24" s="1001">
        <v>1</v>
      </c>
      <c r="K24" s="1001">
        <v>1</v>
      </c>
      <c r="L24" s="1001">
        <v>1</v>
      </c>
      <c r="M24" s="1001">
        <v>1</v>
      </c>
      <c r="N24" s="1001">
        <v>1</v>
      </c>
      <c r="O24" s="692">
        <f t="array" ref="O24">IFERROR(INDEX(Analytica!$F$59:$AY$138,MATCH($C24,Analytica!$B$59:$B$168,0),MATCH(O$15&amp;O$10,Analytica!$F$58:$AY$58&amp;Analytica!$F$51:'Analytica'!$AY$51,0)),"")</f>
        <v>2.4E-2</v>
      </c>
      <c r="P24" s="619">
        <f>INDEX(CostProjections!$Q$9:$W$91,MATCH($C24,CostProjections!$N$9:$N$91,0),MATCH(P$15,CostProjections!$Q$8:$W$8,0))*0.001</f>
        <v>523.46472116666666</v>
      </c>
      <c r="Q24" s="619">
        <f>INDEX(CostProjections!$Q$9:$W$91,MATCH($C24,CostProjections!$N$9:$N$91,0),MATCH(Q$15,CostProjections!$Q$8:$W$8,0))*0.001</f>
        <v>482.96759078620323</v>
      </c>
      <c r="R24" s="619">
        <f>INDEX(CostProjections!$Q$9:$W$91,MATCH($C24,CostProjections!$N$9:$N$91,0),MATCH(R$15,CostProjections!$Q$8:$W$8,0))*0.001</f>
        <v>455.08262596021092</v>
      </c>
      <c r="S24" s="619">
        <f>INDEX(CostProjections!$Q$9:$W$91,MATCH($C24,CostProjections!$N$9:$N$91,0),MATCH(S$15,CostProjections!$Q$8:$W$8,0))*0.001</f>
        <v>455.82622502223791</v>
      </c>
      <c r="T24" s="619">
        <f>INDEX(CostProjections!$Q$9:$W$91,MATCH($C24,CostProjections!$N$9:$N$91,0),MATCH(T$15,CostProjections!$Q$8:$W$8,0))*0.001</f>
        <v>456.56982408426438</v>
      </c>
      <c r="U24" s="619">
        <f>INDEX(CostProjections!$Q$9:$W$91,MATCH($C24,CostProjections!$N$9:$N$91,0),MATCH(U$15,CostProjections!$Q$8:$W$8,0))*0.001</f>
        <v>458.05702220831739</v>
      </c>
      <c r="V24" s="619">
        <f>INDEX(CostProjections!$Z$9:$AF$91,MATCH($C24,CostProjections!$N$9:$N$91,0),MATCH(V$15,CostProjections!$Z$8:$AF$8,0))*0.001</f>
        <v>14.133547471499998</v>
      </c>
      <c r="W24" s="619">
        <f>INDEX(CostProjections!$Z$9:$AF$91,MATCH($C24,CostProjections!$N$9:$N$91,0),MATCH(W$15,CostProjections!$Z$8:$AF$8,0))*0.001</f>
        <v>12.287230900925696</v>
      </c>
      <c r="X24" s="619">
        <f>INDEX(CostProjections!$Z$9:$AF$91,MATCH($C24,CostProjections!$N$9:$N$91,0),MATCH(X$15,CostProjections!$Z$8:$AF$8,0))*0.001</f>
        <v>12.327385250275139</v>
      </c>
      <c r="Y24" s="619">
        <f>INDEX(CostProjections!$Z$9:$AF$91,MATCH($C24,CostProjections!$N$9:$N$91,0),MATCH(Y$15,CostProjections!$Z$8:$AF$8,0))*0.001</f>
        <v>12.367539599624568</v>
      </c>
      <c r="Z24" s="689">
        <f>Z23</f>
        <v>20</v>
      </c>
      <c r="AA24" s="689">
        <f t="shared" si="3"/>
        <v>20</v>
      </c>
      <c r="AB24" s="855">
        <v>2080</v>
      </c>
      <c r="AC24" s="1">
        <f t="shared" ca="1" si="4"/>
        <v>7</v>
      </c>
      <c r="AD24" s="1">
        <v>1</v>
      </c>
    </row>
    <row r="25" spans="1:30" x14ac:dyDescent="0.2">
      <c r="A25" s="1" t="str">
        <f t="shared" si="5"/>
        <v/>
      </c>
      <c r="B25" s="190" t="str">
        <f>ITEMS_nTech!C16</f>
        <v>Transport Passenger SUV Priv.Veh. Electricity-N</v>
      </c>
      <c r="C25" s="190" t="str">
        <f>E25&amp;RIGHT(D25,3)&amp;"-N"</f>
        <v>TPPRSUVELC-N</v>
      </c>
      <c r="D25" s="611" t="str">
        <f>$F$6</f>
        <v>TRAELC</v>
      </c>
      <c r="E25" s="611" t="str">
        <f>TRP!$B$21</f>
        <v>TPPRSUV</v>
      </c>
      <c r="F25" s="692">
        <f t="array" ref="F25">IFERROR(INDEX(Analytica!$F$59:$AY$138,MATCH($C25,Analytica!$B$59:$B$168,0),MATCH(F$15&amp;F$10,Analytica!$F$58:$AY$58&amp;Analytica!$F$51:'Analytica'!$AY$51,0)),"")</f>
        <v>1.4993784101944536</v>
      </c>
      <c r="G25" s="692">
        <f t="array" ref="G25">IFERROR(INDEX(Analytica!$F$59:$AY$138,MATCH($C25,Analytica!$B$59:$B$168,0),MATCH(G$15&amp;G$10,Analytica!$F$58:$AY$58&amp;Analytica!$F$51:'Analytica'!$AY$51,0)),"")</f>
        <v>1.6166131186170316</v>
      </c>
      <c r="H25" s="692">
        <f t="array" ref="H25">IFERROR(INDEX(Analytica!$F$59:$AY$138,MATCH($C25,Analytica!$B$59:$B$168,0),MATCH(H$15&amp;H$10,Analytica!$F$58:$AY$58&amp;Analytica!$F$51:'Analytica'!$AY$51,0)),"")</f>
        <v>1.7875333482270686</v>
      </c>
      <c r="I25" s="692">
        <f t="array" ref="I25">IFERROR(INDEX(Analytica!$F$59:$AY$138,MATCH($C25,Analytica!$B$59:$B$168,0),MATCH(I$15&amp;I$10,Analytica!$F$58:$AY$58&amp;Analytica!$F$51:'Analytica'!$AY$51,0)),"")</f>
        <v>1.9765245216847829</v>
      </c>
      <c r="J25" s="1001">
        <v>1</v>
      </c>
      <c r="K25" s="1001">
        <v>1</v>
      </c>
      <c r="L25" s="1001">
        <v>1</v>
      </c>
      <c r="M25" s="1001">
        <v>1</v>
      </c>
      <c r="N25" s="1001">
        <v>1</v>
      </c>
      <c r="O25" s="692">
        <f t="array" ref="O25">IFERROR(INDEX(Analytica!$F$59:$AY$138,MATCH($C25,Analytica!$B$59:$B$168,0),MATCH(O$15&amp;O$10,Analytica!$F$58:$AY$58&amp;Analytica!$F$51:'Analytica'!$AY$51,0)),"")</f>
        <v>2.4E-2</v>
      </c>
      <c r="P25" s="619">
        <f>INDEX(CostProjections!$Q$9:$W$91,MATCH($C25,CostProjections!$N$9:$N$91,0),MATCH(P$15,CostProjections!$Q$8:$W$8,0))*0.001</f>
        <v>597.16434249999998</v>
      </c>
      <c r="Q25" s="619">
        <f>INDEX(CostProjections!$Q$9:$W$91,MATCH($C25,CostProjections!$N$9:$N$91,0),MATCH(Q$15,CostProjections!$Q$8:$W$8,0))*0.001</f>
        <v>529.38375647700889</v>
      </c>
      <c r="R25" s="619">
        <f>INDEX(CostProjections!$Q$9:$W$91,MATCH($C25,CostProjections!$N$9:$N$91,0),MATCH(R$15,CostProjections!$Q$8:$W$8,0))*0.001</f>
        <v>461.60317045401791</v>
      </c>
      <c r="S25" s="619">
        <f>INDEX(CostProjections!$Q$9:$W$91,MATCH($C25,CostProjections!$N$9:$N$91,0),MATCH(S$15,CostProjections!$Q$8:$W$8,0))*0.001</f>
        <v>448.3946459982543</v>
      </c>
      <c r="T25" s="619">
        <f>INDEX(CostProjections!$Q$9:$W$91,MATCH($C25,CostProjections!$N$9:$N$91,0),MATCH(T$15,CostProjections!$Q$8:$W$8,0))*0.001</f>
        <v>435.18612154249161</v>
      </c>
      <c r="U25" s="619">
        <f>INDEX(CostProjections!$Q$9:$W$91,MATCH($C25,CostProjections!$N$9:$N$91,0),MATCH(U$15,CostProjections!$Q$8:$W$8,0))*0.001</f>
        <v>408.76907263096626</v>
      </c>
      <c r="V25" s="619">
        <f>INDEX(CostProjections!$Z$9:$AF$91,MATCH($C25,CostProjections!$N$9:$N$91,0),MATCH(V$15,CostProjections!$Z$8:$AF$8,0))*0.001</f>
        <v>4.358863813868612</v>
      </c>
      <c r="W25" s="619">
        <f>INDEX(CostProjections!$Z$9:$AF$91,MATCH($C25,CostProjections!$N$9:$N$91,0),MATCH(W$15,CostProjections!$Z$8:$AF$8,0))*0.001</f>
        <v>3.3693662076935613</v>
      </c>
      <c r="X25" s="619">
        <f>INDEX(CostProjections!$Z$9:$AF$91,MATCH($C25,CostProjections!$N$9:$N$91,0),MATCH(X$15,CostProjections!$Z$8:$AF$8,0))*0.001</f>
        <v>3.1765410331568731</v>
      </c>
      <c r="Y25" s="619">
        <f>INDEX(CostProjections!$Z$9:$AF$91,MATCH($C25,CostProjections!$N$9:$N$91,0),MATCH(Y$15,CostProjections!$Z$8:$AF$8,0))*0.001</f>
        <v>2.983715858620192</v>
      </c>
      <c r="Z25" s="689">
        <f>Z24</f>
        <v>20</v>
      </c>
      <c r="AA25" s="689">
        <f t="shared" si="3"/>
        <v>20</v>
      </c>
      <c r="AB25" s="689">
        <v>2018</v>
      </c>
      <c r="AC25" s="1">
        <f t="shared" ca="1" si="4"/>
        <v>8</v>
      </c>
    </row>
    <row r="26" spans="1:30" x14ac:dyDescent="0.2">
      <c r="A26" s="1" t="str">
        <f t="shared" si="5"/>
        <v/>
      </c>
      <c r="B26" s="190" t="s">
        <v>1124</v>
      </c>
      <c r="C26" s="190"/>
      <c r="D26" s="611"/>
      <c r="E26" s="611"/>
      <c r="F26" s="692" t="str">
        <f t="array" ref="F26">IFERROR(INDEX(Analytica!$F$59:$AY$138,MATCH($C26,Analytica!$B$59:$B$168,0),MATCH(F$15&amp;F$10,Analytica!$F$58:$AY$58&amp;Analytica!$F$51:'Analytica'!$AY$51,0)),"")</f>
        <v/>
      </c>
      <c r="G26" s="692"/>
      <c r="H26" s="692"/>
      <c r="I26" s="692"/>
      <c r="J26" s="1001"/>
      <c r="K26" s="1001"/>
      <c r="L26" s="1001"/>
      <c r="M26" s="1001"/>
      <c r="N26" s="1001"/>
      <c r="O26" s="692" t="str">
        <f t="array" ref="O26">IFERROR(INDEX(Analytica!$F$59:$AY$138,MATCH($C26,Analytica!$B$59:$B$168,0),MATCH(O$15&amp;O$10,Analytica!$F$58:$AY$58&amp;Analytica!$F$51:'Analytica'!$AY$51,0)),"")</f>
        <v/>
      </c>
      <c r="P26" s="619" t="str">
        <f t="array" ref="P26">IFERROR(INDEX(Analytica!$F$59:$AY$138,MATCH($C26,Analytica!$B$59:$B$168,0),MATCH(P$15&amp;P$10,Analytica!$F$58:$AY$58&amp;Analytica!$F$51:'Analytica'!$AY$51,0)),"")</f>
        <v/>
      </c>
      <c r="Q26" s="619" t="str">
        <f t="array" ref="Q26">IFERROR(INDEX(Analytica!$F$59:$AY$138,MATCH($C26,Analytica!$B$59:$B$168,0),MATCH(Q$15&amp;Q$10,Analytica!$F$58:$AY$58&amp;Analytica!$F$51:'Analytica'!$AY$51,0)),"")</f>
        <v/>
      </c>
      <c r="R26" s="619" t="str">
        <f t="array" ref="R26">IFERROR(INDEX(Analytica!$F$59:$AY$138,MATCH($C26,Analytica!$B$59:$B$168,0),MATCH(R$15&amp;R$10,Analytica!$F$58:$AY$58&amp;Analytica!$F$51:'Analytica'!$AY$51,0)),"")</f>
        <v/>
      </c>
      <c r="S26" s="619" t="str">
        <f t="array" ref="S26">IFERROR(INDEX(Analytica!$F$59:$AY$138,MATCH($C26,Analytica!$B$59:$B$168,0),MATCH(S$15&amp;S$10,Analytica!$F$58:$AY$58&amp;Analytica!$F$51:'Analytica'!$AY$51,0)),"")</f>
        <v/>
      </c>
      <c r="T26" s="619" t="str">
        <f t="array" ref="T26">IFERROR(INDEX(Analytica!$F$59:$AY$138,MATCH($C26,Analytica!$B$59:$B$168,0),MATCH(T$15&amp;T$10,Analytica!$F$58:$AY$58&amp;Analytica!$F$51:'Analytica'!$AY$51,0)),"")</f>
        <v/>
      </c>
      <c r="U26" s="619" t="str">
        <f t="array" ref="U26">IFERROR(INDEX(Analytica!$F$59:$AY$138,MATCH($C26,Analytica!$B$59:$B$168,0),MATCH(U$15&amp;U$10,Analytica!$F$58:$AY$58&amp;Analytica!$F$51:'Analytica'!$AY$51,0)),"")</f>
        <v/>
      </c>
      <c r="V26" s="619" t="str">
        <f t="array" ref="V26">IFERROR(INDEX(Analytica!$F$59:$AY$138,MATCH($C26,Analytica!$B$59:$B$168,0),MATCH(V$15&amp;V$10,Analytica!$F$58:$AY$58&amp;Analytica!$F$51:'Analytica'!$AY$51,0)),"")</f>
        <v/>
      </c>
      <c r="W26" s="619" t="str">
        <f t="array" ref="W26">IFERROR(INDEX(Analytica!$F$59:$AY$138,MATCH($C26,Analytica!$B$59:$B$168,0),MATCH(W$15&amp;W$10,Analytica!$F$58:$AY$58&amp;Analytica!$F$51:'Analytica'!$AY$51,0)),"")</f>
        <v/>
      </c>
      <c r="X26" s="619" t="str">
        <f t="array" ref="X26">IFERROR(INDEX(Analytica!$F$59:$AY$138,MATCH($C26,Analytica!$B$59:$B$168,0),MATCH(X$15&amp;X$10,Analytica!$F$58:$AY$58&amp;Analytica!$F$51:'Analytica'!$AY$51,0)),"")</f>
        <v/>
      </c>
      <c r="Y26" s="619" t="str">
        <f t="array" ref="Y26">IFERROR(INDEX(Analytica!$F$59:$AY$138,MATCH($C26,Analytica!$B$59:$B$168,0),MATCH(Y$15&amp;Y$10,Analytica!$F$58:$AY$58&amp;Analytica!$F$51:'Analytica'!$AY$51,0)),"")</f>
        <v/>
      </c>
      <c r="Z26" s="696"/>
      <c r="AA26" s="689">
        <f t="shared" si="3"/>
        <v>0</v>
      </c>
      <c r="AB26" s="689">
        <v>2018</v>
      </c>
      <c r="AC26" s="1">
        <f t="shared" ca="1" si="4"/>
        <v>9</v>
      </c>
    </row>
    <row r="27" spans="1:30" x14ac:dyDescent="0.2">
      <c r="A27" s="1" t="str">
        <f t="shared" si="5"/>
        <v/>
      </c>
      <c r="B27" s="190" t="str">
        <f>ITEMS_nTech!C18</f>
        <v>Transport Passenger Car Priv.Veh. Oil Diesel-N</v>
      </c>
      <c r="C27" s="190" t="str">
        <f>E27&amp;RIGHT(D27,3)&amp;"-N"</f>
        <v>TPPRCARODS-N</v>
      </c>
      <c r="D27" s="611" t="str">
        <f>$E$6</f>
        <v>TRAODS</v>
      </c>
      <c r="E27" s="611" t="str">
        <f>TRP!$B$22</f>
        <v>TPPRCAR</v>
      </c>
      <c r="F27" s="692">
        <f t="array" ref="F27">IFERROR(INDEX(Analytica!$F$59:$AY$138,MATCH($C27,Analytica!$B$59:$B$168,0),MATCH(F$15&amp;F$10,Analytica!$F$58:$AY$58&amp;Analytica!$F$51:'Analytica'!$AY$51,0)),"")</f>
        <v>0.33703202380466663</v>
      </c>
      <c r="G27" s="692">
        <f t="array" ref="G27">IFERROR(INDEX(Analytica!$F$59:$AY$138,MATCH($C27,Analytica!$B$59:$B$168,0),MATCH(G$15&amp;G$10,Analytica!$F$58:$AY$58&amp;Analytica!$F$51:'Analytica'!$AY$51,0)),"")</f>
        <v>0.36338417798480266</v>
      </c>
      <c r="H27" s="692">
        <f t="array" ref="H27">IFERROR(INDEX(Analytica!$F$59:$AY$138,MATCH($C27,Analytica!$B$59:$B$168,0),MATCH(H$15&amp;H$10,Analytica!$F$58:$AY$58&amp;Analytica!$F$51:'Analytica'!$AY$51,0)),"")</f>
        <v>0.40180382608895143</v>
      </c>
      <c r="I27" s="692">
        <f t="array" ref="I27">IFERROR(INDEX(Analytica!$F$59:$AY$138,MATCH($C27,Analytica!$B$59:$B$168,0),MATCH(I$15&amp;I$10,Analytica!$F$58:$AY$58&amp;Analytica!$F$51:'Analytica'!$AY$51,0)),"")</f>
        <v>0.4442854819795492</v>
      </c>
      <c r="J27" s="1001">
        <v>1</v>
      </c>
      <c r="K27" s="1001">
        <v>1</v>
      </c>
      <c r="L27" s="1001">
        <v>1</v>
      </c>
      <c r="M27" s="1001">
        <v>1</v>
      </c>
      <c r="N27" s="1001">
        <v>1</v>
      </c>
      <c r="O27" s="692">
        <f t="array" ref="O27">IFERROR(INDEX(Analytica!$F$59:$AY$138,MATCH($C27,Analytica!$B$59:$B$168,0),MATCH(O$15&amp;O$10,Analytica!$F$58:$AY$58&amp;Analytica!$F$51:'Analytica'!$AY$51,0)),"")</f>
        <v>2.2499999999999999E-2</v>
      </c>
      <c r="P27" s="619">
        <f>INDEX(CostProjections!$Q$9:$W$91,MATCH($C27,CostProjections!$N$9:$N$91,0),MATCH(P$15,CostProjections!$Q$8:$W$8,0))*0.001</f>
        <v>250.87482708333332</v>
      </c>
      <c r="Q27" s="619">
        <f>INDEX(CostProjections!$Q$9:$W$91,MATCH($C27,CostProjections!$N$9:$N$91,0),MATCH(Q$15,CostProjections!$Q$8:$W$8,0))*0.001</f>
        <v>257.04388020833329</v>
      </c>
      <c r="R27" s="619">
        <f>INDEX(CostProjections!$Q$9:$W$91,MATCH($C27,CostProjections!$N$9:$N$91,0),MATCH(R$15,CostProjections!$Q$8:$W$8,0))*0.001</f>
        <v>263.2129333333333</v>
      </c>
      <c r="S27" s="619">
        <f>INDEX(CostProjections!$Q$9:$W$91,MATCH($C27,CostProjections!$N$9:$N$91,0),MATCH(S$15,CostProjections!$Q$8:$W$8,0))*0.001</f>
        <v>269.38198645833324</v>
      </c>
      <c r="T27" s="619">
        <f>INDEX(CostProjections!$Q$9:$W$91,MATCH($C27,CostProjections!$N$9:$N$91,0),MATCH(T$15,CostProjections!$Q$8:$W$8,0))*0.001</f>
        <v>275.55103958333331</v>
      </c>
      <c r="U27" s="619">
        <f>INDEX(CostProjections!$Q$9:$W$91,MATCH($C27,CostProjections!$N$9:$N$91,0),MATCH(U$15,CostProjections!$Q$8:$W$8,0))*0.001</f>
        <v>287.88914583333326</v>
      </c>
      <c r="V27" s="619">
        <f>INDEX(CostProjections!$Z$9:$AF$91,MATCH($C27,CostProjections!$N$9:$N$91,0),MATCH(V$15,CostProjections!$Z$8:$AF$8,0))*0.001</f>
        <v>7.3786713848039209</v>
      </c>
      <c r="W27" s="619">
        <f>INDEX(CostProjections!$Z$9:$AF$91,MATCH($C27,CostProjections!$N$9:$N$91,0),MATCH(W$15,CostProjections!$Z$8:$AF$8,0))*0.001</f>
        <v>7.7415568627450968</v>
      </c>
      <c r="X27" s="619">
        <f>INDEX(CostProjections!$Z$9:$AF$91,MATCH($C27,CostProjections!$N$9:$N$91,0),MATCH(X$15,CostProjections!$Z$8:$AF$8,0))*0.001</f>
        <v>8.1044423406862727</v>
      </c>
      <c r="Y27" s="619">
        <f>INDEX(CostProjections!$Z$9:$AF$91,MATCH($C27,CostProjections!$N$9:$N$91,0),MATCH(Y$15,CostProjections!$Z$8:$AF$8,0))*0.001</f>
        <v>8.4673278186274494</v>
      </c>
      <c r="Z27" s="689">
        <v>23</v>
      </c>
      <c r="AA27" s="689">
        <f t="shared" si="3"/>
        <v>23</v>
      </c>
      <c r="AB27" s="689">
        <v>2018</v>
      </c>
      <c r="AC27" s="1">
        <f t="shared" ca="1" si="4"/>
        <v>10</v>
      </c>
    </row>
    <row r="28" spans="1:30" x14ac:dyDescent="0.2">
      <c r="A28" s="1" t="str">
        <f t="shared" si="5"/>
        <v/>
      </c>
      <c r="B28" s="190" t="str">
        <f>ITEMS_nTech!C19</f>
        <v>Transport Passenger Car Priv.Veh. Oil Gasoline-N</v>
      </c>
      <c r="C28" s="190" t="str">
        <f>E28&amp;RIGHT(D28,3)&amp;"-N"</f>
        <v>TPPRCAROGS-N</v>
      </c>
      <c r="D28" s="611" t="str">
        <f>$H$6</f>
        <v>TRAOGS</v>
      </c>
      <c r="E28" s="611" t="str">
        <f>TRP!$B$22</f>
        <v>TPPRCAR</v>
      </c>
      <c r="F28" s="692">
        <f t="array" ref="F28">IFERROR(INDEX(Analytica!$F$59:$AY$138,MATCH($C28,Analytica!$B$59:$B$168,0),MATCH(F$15&amp;F$10,Analytica!$F$58:$AY$58&amp;Analytica!$F$51:'Analytica'!$AY$51,0)),"")</f>
        <v>0.36226864396574021</v>
      </c>
      <c r="G28" s="692">
        <f t="array" ref="G28">IFERROR(INDEX(Analytica!$F$59:$AY$138,MATCH($C28,Analytica!$B$59:$B$168,0),MATCH(G$15&amp;G$10,Analytica!$F$58:$AY$58&amp;Analytica!$F$51:'Analytica'!$AY$51,0)),"")</f>
        <v>0.39059402104013624</v>
      </c>
      <c r="H28" s="692">
        <f t="array" ref="H28">IFERROR(INDEX(Analytica!$F$59:$AY$138,MATCH($C28,Analytica!$B$59:$B$168,0),MATCH(H$15&amp;H$10,Analytica!$F$58:$AY$58&amp;Analytica!$F$51:'Analytica'!$AY$51,0)),"")</f>
        <v>0.43189049388924888</v>
      </c>
      <c r="I28" s="692">
        <f t="array" ref="I28">IFERROR(INDEX(Analytica!$F$59:$AY$138,MATCH($C28,Analytica!$B$59:$B$168,0),MATCH(I$15&amp;I$10,Analytica!$F$58:$AY$58&amp;Analytica!$F$51:'Analytica'!$AY$51,0)),"")</f>
        <v>0.47755313359682011</v>
      </c>
      <c r="J28" s="1001">
        <v>1</v>
      </c>
      <c r="K28" s="1001">
        <v>1</v>
      </c>
      <c r="L28" s="1001">
        <v>1</v>
      </c>
      <c r="M28" s="1001">
        <v>1</v>
      </c>
      <c r="N28" s="1001">
        <v>1</v>
      </c>
      <c r="O28" s="692">
        <f t="array" ref="O28">IFERROR(INDEX(Analytica!$F$59:$AY$138,MATCH($C28,Analytica!$B$59:$B$168,0),MATCH(O$15&amp;O$10,Analytica!$F$58:$AY$58&amp;Analytica!$F$51:'Analytica'!$AY$51,0)),"")</f>
        <v>1.9099999999999999E-2</v>
      </c>
      <c r="P28" s="619">
        <f>INDEX(CostProjections!$Q$9:$W$91,MATCH($C28,CostProjections!$N$9:$N$91,0),MATCH(P$15,CostProjections!$Q$8:$W$8,0))*0.001</f>
        <v>226.85664691666662</v>
      </c>
      <c r="Q28" s="619">
        <f>INDEX(CostProjections!$Q$9:$W$91,MATCH($C28,CostProjections!$N$9:$N$91,0),MATCH(Q$15,CostProjections!$Q$8:$W$8,0))*0.001</f>
        <v>229.32426816666666</v>
      </c>
      <c r="R28" s="619">
        <f>INDEX(CostProjections!$Q$9:$W$91,MATCH($C28,CostProjections!$N$9:$N$91,0),MATCH(R$15,CostProjections!$Q$8:$W$8,0))*0.001</f>
        <v>231.79188941666663</v>
      </c>
      <c r="S28" s="619">
        <f>INDEX(CostProjections!$Q$9:$W$91,MATCH($C28,CostProjections!$N$9:$N$91,0),MATCH(S$15,CostProjections!$Q$8:$W$8,0))*0.001</f>
        <v>234.25951066666667</v>
      </c>
      <c r="T28" s="619">
        <f>INDEX(CostProjections!$Q$9:$W$91,MATCH($C28,CostProjections!$N$9:$N$91,0),MATCH(T$15,CostProjections!$Q$8:$W$8,0))*0.001</f>
        <v>236.72713191666668</v>
      </c>
      <c r="U28" s="619">
        <f>INDEX(CostProjections!$Q$9:$W$91,MATCH($C28,CostProjections!$N$9:$N$91,0),MATCH(U$15,CostProjections!$Q$8:$W$8,0))*0.001</f>
        <v>241.66237441666669</v>
      </c>
      <c r="V28" s="619">
        <f>INDEX(CostProjections!$Z$9:$AF$91,MATCH($C28,CostProjections!$N$9:$N$91,0),MATCH(V$15,CostProjections!$Z$8:$AF$8,0))*0.001</f>
        <v>6.0014985956790108</v>
      </c>
      <c r="W28" s="619">
        <f>INDEX(CostProjections!$Z$9:$AF$91,MATCH($C28,CostProjections!$N$9:$N$91,0),MATCH(W$15,CostProjections!$Z$8:$AF$8,0))*0.001</f>
        <v>6.1320605665784829</v>
      </c>
      <c r="X28" s="619">
        <f>INDEX(CostProjections!$Z$9:$AF$91,MATCH($C28,CostProjections!$N$9:$N$91,0),MATCH(X$15,CostProjections!$Z$8:$AF$8,0))*0.001</f>
        <v>6.2626225374779541</v>
      </c>
      <c r="Y28" s="619">
        <f>INDEX(CostProjections!$Z$9:$AF$91,MATCH($C28,CostProjections!$N$9:$N$91,0),MATCH(Y$15,CostProjections!$Z$8:$AF$8,0))*0.001</f>
        <v>6.3931845083774252</v>
      </c>
      <c r="Z28" s="689">
        <f>Z27</f>
        <v>23</v>
      </c>
      <c r="AA28" s="689">
        <f t="shared" si="3"/>
        <v>23</v>
      </c>
      <c r="AB28" s="689">
        <v>2018</v>
      </c>
      <c r="AC28" s="1">
        <f t="shared" ca="1" si="4"/>
        <v>11</v>
      </c>
    </row>
    <row r="29" spans="1:30" x14ac:dyDescent="0.2">
      <c r="A29" s="1" t="str">
        <f t="shared" si="5"/>
        <v>*</v>
      </c>
      <c r="B29" s="190" t="str">
        <f>ITEMS_nTech!C20</f>
        <v>Transport Passenger Car Priv.Veh. Oil Diesel Hybrid-N</v>
      </c>
      <c r="C29" s="190" t="str">
        <f>E29&amp;RIGHT(D29,3)&amp;"H-N"</f>
        <v>TPPRCARODSH-N</v>
      </c>
      <c r="D29" s="611" t="str">
        <f>$E$6</f>
        <v>TRAODS</v>
      </c>
      <c r="E29" s="611" t="str">
        <f>TRP!$B$22</f>
        <v>TPPRCAR</v>
      </c>
      <c r="F29" s="692">
        <f t="array" ref="F29">IFERROR(INDEX(Analytica!$F$59:$AY$138,MATCH($C29,Analytica!$B$59:$B$168,0),MATCH(F$15&amp;F$10,Analytica!$F$58:$AY$58&amp;Analytica!$F$51:'Analytica'!$AY$51,0)),"")</f>
        <v>0.56781069109610705</v>
      </c>
      <c r="G29" s="692">
        <f t="array" ref="G29">IFERROR(INDEX(Analytica!$F$59:$AY$138,MATCH($C29,Analytica!$B$59:$B$168,0),MATCH(G$15&amp;G$10,Analytica!$F$58:$AY$58&amp;Analytica!$F$51:'Analytica'!$AY$51,0)),"")</f>
        <v>0.61220716923483232</v>
      </c>
      <c r="H29" s="692">
        <f t="array" ref="H29">IFERROR(INDEX(Analytica!$F$59:$AY$138,MATCH($C29,Analytica!$B$59:$B$168,0),MATCH(H$15&amp;H$10,Analytica!$F$58:$AY$58&amp;Analytica!$F$51:'Analytica'!$AY$51,0)),"")</f>
        <v>0.67693421414712618</v>
      </c>
      <c r="I29" s="692">
        <f t="array" ref="I29">IFERROR(INDEX(Analytica!$F$59:$AY$138,MATCH($C29,Analytica!$B$59:$B$168,0),MATCH(I$15&amp;I$10,Analytica!$F$58:$AY$58&amp;Analytica!$F$51:'Analytica'!$AY$51,0)),"")</f>
        <v>0.74850467833579759</v>
      </c>
      <c r="J29" s="1001">
        <v>1</v>
      </c>
      <c r="K29" s="1001">
        <v>1</v>
      </c>
      <c r="L29" s="1001">
        <v>1</v>
      </c>
      <c r="M29" s="1001">
        <v>1</v>
      </c>
      <c r="N29" s="1001">
        <v>1</v>
      </c>
      <c r="O29" s="692">
        <f t="array" ref="O29">IFERROR(INDEX(Analytica!$F$59:$AY$138,MATCH($C29,Analytica!$B$59:$B$168,0),MATCH(O$15&amp;O$10,Analytica!$F$58:$AY$58&amp;Analytica!$F$51:'Analytica'!$AY$51,0)),"")</f>
        <v>2.2499999999999999E-2</v>
      </c>
      <c r="P29" s="619">
        <f>INDEX(CostProjections!$Q$9:$W$91,MATCH($C29,CostProjections!$N$9:$N$91,0),MATCH(P$15,CostProjections!$Q$8:$W$8,0))*0.001</f>
        <v>319.93304964209</v>
      </c>
      <c r="Q29" s="619">
        <f>INDEX(CostProjections!$Q$9:$W$91,MATCH($C29,CostProjections!$N$9:$N$91,0),MATCH(Q$15,CostProjections!$Q$8:$W$8,0))*0.001</f>
        <v>248.99706162269038</v>
      </c>
      <c r="R29" s="619">
        <f>INDEX(CostProjections!$Q$9:$W$91,MATCH($C29,CostProjections!$N$9:$N$91,0),MATCH(R$15,CostProjections!$Q$8:$W$8,0))*0.001</f>
        <v>245.55673836026401</v>
      </c>
      <c r="S29" s="619">
        <f>INDEX(CostProjections!$Q$9:$W$91,MATCH($C29,CostProjections!$N$9:$N$91,0),MATCH(S$15,CostProjections!$Q$8:$W$8,0))*0.001</f>
        <v>245.97254513507983</v>
      </c>
      <c r="T29" s="619">
        <f>INDEX(CostProjections!$Q$9:$W$91,MATCH($C29,CostProjections!$N$9:$N$91,0),MATCH(T$15,CostProjections!$Q$8:$W$8,0))*0.001</f>
        <v>246.38968020301769</v>
      </c>
      <c r="U29" s="619">
        <f>INDEX(CostProjections!$Q$9:$W$91,MATCH($C29,CostProjections!$N$9:$N$91,0),MATCH(U$15,CostProjections!$Q$8:$W$8,0))*0.001</f>
        <v>248.74676486872451</v>
      </c>
      <c r="V29" s="619">
        <f>INDEX(CostProjections!$Z$9:$AF$91,MATCH($C29,CostProjections!$N$9:$N$91,0),MATCH(V$15,CostProjections!$Z$8:$AF$8,0))*0.001</f>
        <v>8.6381923403364294</v>
      </c>
      <c r="W29" s="619">
        <f>INDEX(CostProjections!$Z$9:$AF$91,MATCH($C29,CostProjections!$N$9:$N$91,0),MATCH(W$15,CostProjections!$Z$8:$AF$8,0))*0.001</f>
        <v>6.6300319357271276</v>
      </c>
      <c r="X29" s="619">
        <f>INDEX(CostProjections!$Z$9:$AF$91,MATCH($C29,CostProjections!$N$9:$N$91,0),MATCH(X$15,CostProjections!$Z$8:$AF$8,0))*0.001</f>
        <v>6.6525213654814781</v>
      </c>
      <c r="Y29" s="619">
        <f>INDEX(CostProjections!$Z$9:$AF$91,MATCH($C29,CostProjections!$N$9:$N$91,0),MATCH(Y$15,CostProjections!$Z$8:$AF$8,0))*0.001</f>
        <v>6.7161626514555621</v>
      </c>
      <c r="Z29" s="689">
        <f t="shared" ref="Z29:Z34" si="6">Z27</f>
        <v>23</v>
      </c>
      <c r="AA29" s="689">
        <f t="shared" si="3"/>
        <v>23</v>
      </c>
      <c r="AB29" s="855">
        <v>2080</v>
      </c>
      <c r="AC29" s="1">
        <f t="shared" ca="1" si="4"/>
        <v>12</v>
      </c>
      <c r="AD29" s="1">
        <v>1</v>
      </c>
    </row>
    <row r="30" spans="1:30" x14ac:dyDescent="0.2">
      <c r="A30" s="1" t="str">
        <f t="shared" si="5"/>
        <v/>
      </c>
      <c r="B30" s="190" t="str">
        <f>ITEMS_nTech!C21</f>
        <v>Transport Passenger Car Priv.Veh. Oil Gasoline Hybrid-N</v>
      </c>
      <c r="C30" s="190" t="str">
        <f>E30&amp;RIGHT(D30,3)&amp;"H-N"</f>
        <v>TPPRCAROGSH-N</v>
      </c>
      <c r="D30" s="611" t="str">
        <f>$H$6</f>
        <v>TRAOGS</v>
      </c>
      <c r="E30" s="611" t="str">
        <f>TRP!$B$22</f>
        <v>TPPRCAR</v>
      </c>
      <c r="F30" s="692">
        <f t="array" ref="F30">IFERROR(INDEX(Analytica!$F$59:$AY$138,MATCH($C30,Analytica!$B$59:$B$168,0),MATCH(F$15&amp;F$10,Analytica!$F$58:$AY$58&amp;Analytica!$F$51:'Analytica'!$AY$51,0)),"")</f>
        <v>0.47411445723101459</v>
      </c>
      <c r="G30" s="692">
        <f t="array" ref="G30">IFERROR(INDEX(Analytica!$F$59:$AY$138,MATCH($C30,Analytica!$B$59:$B$168,0),MATCH(G$15&amp;G$10,Analytica!$F$58:$AY$58&amp;Analytica!$F$51:'Analytica'!$AY$51,0)),"")</f>
        <v>0.51118493241892826</v>
      </c>
      <c r="H30" s="692">
        <f t="array" ref="H30">IFERROR(INDEX(Analytica!$F$59:$AY$138,MATCH($C30,Analytica!$B$59:$B$168,0),MATCH(H$15&amp;H$10,Analytica!$F$58:$AY$58&amp;Analytica!$F$51:'Analytica'!$AY$51,0)),"")</f>
        <v>0.56523116340397583</v>
      </c>
      <c r="I30" s="692">
        <f t="array" ref="I30">IFERROR(INDEX(Analytica!$F$59:$AY$138,MATCH($C30,Analytica!$B$59:$B$168,0),MATCH(I$15&amp;I$10,Analytica!$F$58:$AY$58&amp;Analytica!$F$51:'Analytica'!$AY$51,0)),"")</f>
        <v>0.62499155945618812</v>
      </c>
      <c r="J30" s="1001">
        <v>1</v>
      </c>
      <c r="K30" s="1001">
        <v>1</v>
      </c>
      <c r="L30" s="1001">
        <v>1</v>
      </c>
      <c r="M30" s="1001">
        <v>1</v>
      </c>
      <c r="N30" s="1001">
        <v>1</v>
      </c>
      <c r="O30" s="692">
        <f t="array" ref="O30">IFERROR(INDEX(Analytica!$F$59:$AY$138,MATCH($C30,Analytica!$B$59:$B$168,0),MATCH(O$15&amp;O$10,Analytica!$F$58:$AY$58&amp;Analytica!$F$51:'Analytica'!$AY$51,0)),"")</f>
        <v>0.02</v>
      </c>
      <c r="P30" s="619">
        <f>INDEX(CostProjections!$Q$9:$W$91,MATCH($C30,CostProjections!$N$9:$N$91,0),MATCH(P$15,CostProjections!$Q$8:$W$8,0))*0.001</f>
        <v>310.42675324999993</v>
      </c>
      <c r="Q30" s="619">
        <f>INDEX(CostProjections!$Q$9:$W$91,MATCH($C30,CostProjections!$N$9:$N$91,0),MATCH(Q$15,CostProjections!$Q$8:$W$8,0))*0.001</f>
        <v>286.41101314065543</v>
      </c>
      <c r="R30" s="619">
        <f>INDEX(CostProjections!$Q$9:$W$91,MATCH($C30,CostProjections!$N$9:$N$91,0),MATCH(R$15,CostProjections!$Q$8:$W$8,0))*0.001</f>
        <v>269.87458051128783</v>
      </c>
      <c r="S30" s="619">
        <f>INDEX(CostProjections!$Q$9:$W$91,MATCH($C30,CostProjections!$N$9:$N$91,0),MATCH(S$15,CostProjections!$Q$8:$W$8,0))*0.001</f>
        <v>270.31555204807131</v>
      </c>
      <c r="T30" s="619">
        <f>INDEX(CostProjections!$Q$9:$W$91,MATCH($C30,CostProjections!$N$9:$N$91,0),MATCH(T$15,CostProjections!$Q$8:$W$8,0))*0.001</f>
        <v>270.75652358485445</v>
      </c>
      <c r="U30" s="619">
        <f>INDEX(CostProjections!$Q$9:$W$91,MATCH($C30,CostProjections!$N$9:$N$91,0),MATCH(U$15,CostProjections!$Q$8:$W$8,0))*0.001</f>
        <v>271.63846665842073</v>
      </c>
      <c r="V30" s="619">
        <f>INDEX(CostProjections!$Z$9:$AF$91,MATCH($C30,CostProjections!$N$9:$N$91,0),MATCH(V$15,CostProjections!$Z$8:$AF$8,0))*0.001</f>
        <v>6.2839423734817803</v>
      </c>
      <c r="W30" s="619">
        <f>INDEX(CostProjections!$Z$9:$AF$91,MATCH($C30,CostProjections!$N$9:$N$91,0),MATCH(W$15,CostProjections!$Z$8:$AF$8,0))*0.001</f>
        <v>5.4630481884876083</v>
      </c>
      <c r="X30" s="619">
        <f>INDEX(CostProjections!$Z$9:$AF$91,MATCH($C30,CostProjections!$N$9:$N$91,0),MATCH(X$15,CostProjections!$Z$8:$AF$8,0))*0.001</f>
        <v>5.4809012871428022</v>
      </c>
      <c r="Y30" s="619">
        <f>INDEX(CostProjections!$Z$9:$AF$91,MATCH($C30,CostProjections!$N$9:$N$91,0),MATCH(Y$15,CostProjections!$Z$8:$AF$8,0))*0.001</f>
        <v>5.4987543857979908</v>
      </c>
      <c r="Z30" s="689">
        <f t="shared" si="6"/>
        <v>23</v>
      </c>
      <c r="AA30" s="689">
        <f t="shared" si="3"/>
        <v>23</v>
      </c>
      <c r="AB30" s="689">
        <v>2018</v>
      </c>
      <c r="AC30" s="1">
        <f t="shared" ca="1" si="4"/>
        <v>13</v>
      </c>
    </row>
    <row r="31" spans="1:30" x14ac:dyDescent="0.2">
      <c r="A31" s="1" t="str">
        <f t="shared" si="5"/>
        <v/>
      </c>
      <c r="B31" s="190" t="str">
        <f>ITEMS_nTech!C22</f>
        <v>Transport Passenger Car Priv.Veh. Electricity-N</v>
      </c>
      <c r="C31" s="190" t="str">
        <f>E31&amp;RIGHT(D31,3)&amp;"-N"</f>
        <v>TPPRCARELC-N</v>
      </c>
      <c r="D31" s="611" t="str">
        <f>$F$6</f>
        <v>TRAELC</v>
      </c>
      <c r="E31" s="611" t="str">
        <f>TRP!$B$22</f>
        <v>TPPRCAR</v>
      </c>
      <c r="F31" s="692">
        <f t="array" ref="F31">IFERROR(INDEX(Analytica!$F$59:$AY$138,MATCH($C31,Analytica!$B$59:$B$168,0),MATCH(F$15&amp;F$10,Analytica!$F$58:$AY$58&amp;Analytica!$F$51:'Analytica'!$AY$51,0)),"")</f>
        <v>1.7847244364294399</v>
      </c>
      <c r="G31" s="692">
        <f t="array" ref="G31">IFERROR(INDEX(Analytica!$F$59:$AY$138,MATCH($C31,Analytica!$B$59:$B$168,0),MATCH(G$15&amp;G$10,Analytica!$F$58:$AY$58&amp;Analytica!$F$51:'Analytica'!$AY$51,0)),"")</f>
        <v>1.9242700291209607</v>
      </c>
      <c r="H31" s="692">
        <f t="array" ref="H31">IFERROR(INDEX(Analytica!$F$59:$AY$138,MATCH($C31,Analytica!$B$59:$B$168,0),MATCH(H$15&amp;H$10,Analytica!$F$58:$AY$58&amp;Analytica!$F$51:'Analytica'!$AY$51,0)),"")</f>
        <v>2.1277180102250783</v>
      </c>
      <c r="I31" s="692">
        <f t="array" ref="I31">IFERROR(INDEX(Analytica!$F$59:$AY$138,MATCH($C31,Analytica!$B$59:$B$168,0),MATCH(I$15&amp;I$10,Analytica!$F$58:$AY$58&amp;Analytica!$F$51:'Analytica'!$AY$51,0)),"")</f>
        <v>2.3526760083169105</v>
      </c>
      <c r="J31" s="1001">
        <v>1</v>
      </c>
      <c r="K31" s="1001">
        <v>1</v>
      </c>
      <c r="L31" s="1001">
        <v>1</v>
      </c>
      <c r="M31" s="1001">
        <v>1</v>
      </c>
      <c r="N31" s="1001">
        <v>1</v>
      </c>
      <c r="O31" s="692">
        <f t="array" ref="O31">IFERROR(INDEX(Analytica!$F$59:$AY$138,MATCH($C31,Analytica!$B$59:$B$168,0),MATCH(O$15&amp;O$10,Analytica!$F$58:$AY$58&amp;Analytica!$F$51:'Analytica'!$AY$51,0)),"")</f>
        <v>1.9099999999999999E-2</v>
      </c>
      <c r="P31" s="619">
        <f>INDEX(CostProjections!$Q$9:$W$91,MATCH($C31,CostProjections!$N$9:$N$91,0),MATCH(P$15,CostProjections!$Q$8:$W$8,0))*0.001</f>
        <v>365.37487552089215</v>
      </c>
      <c r="Q31" s="619">
        <f>INDEX(CostProjections!$Q$9:$W$91,MATCH($C31,CostProjections!$N$9:$N$91,0),MATCH(Q$15,CostProjections!$Q$8:$W$8,0))*0.001</f>
        <v>323.90333842742706</v>
      </c>
      <c r="R31" s="619">
        <f>INDEX(CostProjections!$Q$9:$W$91,MATCH($C31,CostProjections!$N$9:$N$91,0),MATCH(R$15,CostProjections!$Q$8:$W$8,0))*0.001</f>
        <v>282.43180133396191</v>
      </c>
      <c r="S31" s="619">
        <f>INDEX(CostProjections!$Q$9:$W$91,MATCH($C31,CostProjections!$N$9:$N$91,0),MATCH(S$15,CostProjections!$Q$8:$W$8,0))*0.001</f>
        <v>274.35016846446536</v>
      </c>
      <c r="T31" s="619">
        <f>INDEX(CostProjections!$Q$9:$W$91,MATCH($C31,CostProjections!$N$9:$N$91,0),MATCH(T$15,CostProjections!$Q$8:$W$8,0))*0.001</f>
        <v>266.26853559496936</v>
      </c>
      <c r="U31" s="619">
        <f>INDEX(CostProjections!$Q$9:$W$91,MATCH($C31,CostProjections!$N$9:$N$91,0),MATCH(U$15,CostProjections!$Q$8:$W$8,0))*0.001</f>
        <v>250.10526985597747</v>
      </c>
      <c r="V31" s="619">
        <f>INDEX(CostProjections!$Z$9:$AF$91,MATCH($C31,CostProjections!$N$9:$N$91,0),MATCH(V$15,CostProjections!$Z$8:$AF$8,0))*0.001</f>
        <v>7.2495014984303996</v>
      </c>
      <c r="W31" s="619">
        <f>INDEX(CostProjections!$Z$9:$AF$91,MATCH($C31,CostProjections!$N$9:$N$91,0),MATCH(W$15,CostProjections!$Z$8:$AF$8,0))*0.001</f>
        <v>5.6038055820230532</v>
      </c>
      <c r="X31" s="619">
        <f>INDEX(CostProjections!$Z$9:$AF$91,MATCH($C31,CostProjections!$N$9:$N$91,0),MATCH(X$15,CostProjections!$Z$8:$AF$8,0))*0.001</f>
        <v>5.2831058649795501</v>
      </c>
      <c r="Y31" s="619">
        <f>INDEX(CostProjections!$Z$9:$AF$91,MATCH($C31,CostProjections!$N$9:$N$91,0),MATCH(Y$15,CostProjections!$Z$8:$AF$8,0))*0.001</f>
        <v>4.9624061479360613</v>
      </c>
      <c r="Z31" s="689">
        <f t="shared" si="6"/>
        <v>23</v>
      </c>
      <c r="AA31" s="689">
        <f t="shared" si="3"/>
        <v>23</v>
      </c>
      <c r="AB31" s="689">
        <v>2018</v>
      </c>
      <c r="AC31" s="1">
        <f t="shared" ca="1" si="4"/>
        <v>14</v>
      </c>
    </row>
    <row r="32" spans="1:30" x14ac:dyDescent="0.2">
      <c r="A32" s="1" t="str">
        <f t="shared" si="5"/>
        <v>*</v>
      </c>
      <c r="B32" s="190" t="str">
        <f>ITEMS_nTech!C23</f>
        <v>Transport Passenger Car Priv.Veh. Gas-N</v>
      </c>
      <c r="C32" s="190" t="str">
        <f>E32&amp;RIGHT(D32,3)&amp;"-N"</f>
        <v>TPPRCARGAS-N</v>
      </c>
      <c r="D32" s="611" t="str">
        <f>$G$6</f>
        <v>TRAGAS</v>
      </c>
      <c r="E32" s="611" t="str">
        <f>TRP!$B$22</f>
        <v>TPPRCAR</v>
      </c>
      <c r="F32" s="692">
        <f t="array" ref="F32">IFERROR(INDEX(Analytica!$F$59:$AY$138,MATCH($C32,Analytica!$B$59:$B$168,0),MATCH(F$15&amp;F$10,Analytica!$F$58:$AY$58&amp;Analytica!$F$51:'Analytica'!$AY$51,0)),"")</f>
        <v>0.36226864396574021</v>
      </c>
      <c r="G32" s="692">
        <f t="array" ref="G32">IFERROR(INDEX(Analytica!$F$59:$AY$138,MATCH($C32,Analytica!$B$59:$B$168,0),MATCH(G$15&amp;G$10,Analytica!$F$58:$AY$58&amp;Analytica!$F$51:'Analytica'!$AY$51,0)),"")</f>
        <v>0.39059402104013624</v>
      </c>
      <c r="H32" s="692">
        <f t="array" ref="H32">IFERROR(INDEX(Analytica!$F$59:$AY$138,MATCH($C32,Analytica!$B$59:$B$168,0),MATCH(H$15&amp;H$10,Analytica!$F$58:$AY$58&amp;Analytica!$F$51:'Analytica'!$AY$51,0)),"")</f>
        <v>0.43189049388924888</v>
      </c>
      <c r="I32" s="692">
        <f t="array" ref="I32">IFERROR(INDEX(Analytica!$F$59:$AY$138,MATCH($C32,Analytica!$B$59:$B$168,0),MATCH(I$15&amp;I$10,Analytica!$F$58:$AY$58&amp;Analytica!$F$51:'Analytica'!$AY$51,0)),"")</f>
        <v>0.47755313359682011</v>
      </c>
      <c r="J32" s="1001">
        <v>1</v>
      </c>
      <c r="K32" s="1001">
        <v>1</v>
      </c>
      <c r="L32" s="1001">
        <v>1</v>
      </c>
      <c r="M32" s="1001">
        <v>1</v>
      </c>
      <c r="N32" s="1001">
        <v>1</v>
      </c>
      <c r="O32" s="692">
        <f t="array" ref="O32">IFERROR(INDEX(Analytica!$F$59:$AY$138,MATCH($C32,Analytica!$B$59:$B$168,0),MATCH(O$15&amp;O$10,Analytica!$F$58:$AY$58&amp;Analytica!$F$51:'Analytica'!$AY$51,0)),"")</f>
        <v>1.9099999999999999E-2</v>
      </c>
      <c r="P32" s="619">
        <f>INDEX(CostProjections!$Q$9:$W$91,MATCH($C32,CostProjections!$N$9:$N$91,0),MATCH(P$15,CostProjections!$Q$8:$W$8,0))*0.001</f>
        <v>436.20983759539098</v>
      </c>
      <c r="Q32" s="619">
        <f>INDEX(CostProjections!$Q$9:$W$91,MATCH($C32,CostProjections!$N$9:$N$91,0),MATCH(Q$15,CostProjections!$Q$8:$W$8,0))*0.001</f>
        <v>436.94114645643725</v>
      </c>
      <c r="R32" s="619">
        <f>INDEX(CostProjections!$Q$9:$W$91,MATCH($C32,CostProjections!$N$9:$N$91,0),MATCH(R$15,CostProjections!$Q$8:$W$8,0))*0.001</f>
        <v>437.67245531748353</v>
      </c>
      <c r="S32" s="619">
        <f>INDEX(CostProjections!$Q$9:$W$91,MATCH($C32,CostProjections!$N$9:$N$91,0),MATCH(S$15,CostProjections!$Q$8:$W$8,0))*0.001</f>
        <v>438.4037641785298</v>
      </c>
      <c r="T32" s="619">
        <f>INDEX(CostProjections!$Q$9:$W$91,MATCH($C32,CostProjections!$N$9:$N$91,0),MATCH(T$15,CostProjections!$Q$8:$W$8,0))*0.001</f>
        <v>439.13507303957607</v>
      </c>
      <c r="U32" s="619">
        <f>INDEX(CostProjections!$Q$9:$W$91,MATCH($C32,CostProjections!$N$9:$N$91,0),MATCH(U$15,CostProjections!$Q$8:$W$8,0))*0.001</f>
        <v>440.59769076166862</v>
      </c>
      <c r="V32" s="619">
        <f>INDEX(CostProjections!$Z$9:$AF$91,MATCH($C32,CostProjections!$N$9:$N$91,0),MATCH(V$15,CostProjections!$Z$8:$AF$8,0))*0.001</f>
        <v>11.777665615075556</v>
      </c>
      <c r="W32" s="619">
        <f>INDEX(CostProjections!$Z$9:$AF$91,MATCH($C32,CostProjections!$N$9:$N$91,0),MATCH(W$15,CostProjections!$Z$8:$AF$8,0))*0.001</f>
        <v>11.817156293572054</v>
      </c>
      <c r="X32" s="619">
        <f>INDEX(CostProjections!$Z$9:$AF$91,MATCH($C32,CostProjections!$N$9:$N$91,0),MATCH(X$15,CostProjections!$Z$8:$AF$8,0))*0.001</f>
        <v>11.856646972068553</v>
      </c>
      <c r="Y32" s="619">
        <f>INDEX(CostProjections!$Z$9:$AF$91,MATCH($C32,CostProjections!$N$9:$N$91,0),MATCH(Y$15,CostProjections!$Z$8:$AF$8,0))*0.001</f>
        <v>11.896137650565052</v>
      </c>
      <c r="Z32" s="689">
        <f t="shared" si="6"/>
        <v>23</v>
      </c>
      <c r="AA32" s="689">
        <f t="shared" si="3"/>
        <v>23</v>
      </c>
      <c r="AB32" s="855">
        <v>2080</v>
      </c>
      <c r="AC32" s="1">
        <f t="shared" ca="1" si="4"/>
        <v>15</v>
      </c>
      <c r="AD32" s="1">
        <v>1</v>
      </c>
    </row>
    <row r="33" spans="1:30" x14ac:dyDescent="0.2">
      <c r="A33" s="1" t="str">
        <f t="shared" si="5"/>
        <v/>
      </c>
      <c r="B33" s="190" t="str">
        <f>ITEMS_nTech!C24</f>
        <v>Transport Passenger Car Priv.Veh. Hydrogen Fuel Cell-N</v>
      </c>
      <c r="C33" s="190" t="str">
        <f>E33&amp;RIGHT(D33,3)&amp;"F-N"</f>
        <v>TPPRCARHGNF-N</v>
      </c>
      <c r="D33" s="611" t="str">
        <f>L6</f>
        <v>TRAHGN</v>
      </c>
      <c r="E33" s="611" t="str">
        <f>TRP!$B$22</f>
        <v>TPPRCAR</v>
      </c>
      <c r="F33" s="692">
        <f t="array" ref="F33">IFERROR(INDEX(Analytica!$F$59:$AY$138,MATCH($C33,Analytica!$B$59:$B$168,0),MATCH(F$15&amp;F$10,Analytica!$F$58:$AY$58&amp;Analytica!$F$51:'Analytica'!$AY$51,0)),"")</f>
        <v>0.93434064891574875</v>
      </c>
      <c r="G33" s="692">
        <f t="array" ref="G33">IFERROR(INDEX(Analytica!$F$59:$AY$138,MATCH($C33,Analytica!$B$59:$B$168,0),MATCH(G$15&amp;G$10,Analytica!$F$58:$AY$58&amp;Analytica!$F$51:'Analytica'!$AY$51,0)),"")</f>
        <v>1.0073956914575406</v>
      </c>
      <c r="H33" s="692">
        <f t="array" ref="H33">IFERROR(INDEX(Analytica!$F$59:$AY$138,MATCH($C33,Analytica!$B$59:$B$168,0),MATCH(H$15&amp;H$10,Analytica!$F$58:$AY$58&amp;Analytica!$F$51:'Analytica'!$AY$51,0)),"")</f>
        <v>1.1139049736780038</v>
      </c>
      <c r="I33" s="692">
        <f t="array" ref="I33">IFERROR(INDEX(Analytica!$F$59:$AY$138,MATCH($C33,Analytica!$B$59:$B$168,0),MATCH(I$15&amp;I$10,Analytica!$F$58:$AY$58&amp;Analytica!$F$51:'Analytica'!$AY$51,0)),"")</f>
        <v>1.2316752006248683</v>
      </c>
      <c r="J33" s="1001">
        <v>1</v>
      </c>
      <c r="K33" s="1001">
        <v>1</v>
      </c>
      <c r="L33" s="1001">
        <v>1</v>
      </c>
      <c r="M33" s="1001">
        <v>1</v>
      </c>
      <c r="N33" s="1001">
        <v>1</v>
      </c>
      <c r="O33" s="692">
        <f t="array" ref="O33">IFERROR(INDEX(Analytica!$F$59:$AY$138,MATCH($C33,Analytica!$B$59:$B$168,0),MATCH(O$15&amp;O$10,Analytica!$F$58:$AY$58&amp;Analytica!$F$51:'Analytica'!$AY$51,0)),"")</f>
        <v>1.9099999999999999E-2</v>
      </c>
      <c r="P33" s="619">
        <f>INDEX(CostProjections!$Q$9:$W$91,MATCH($C33,CostProjections!$N$9:$N$91,0),MATCH(P$15,CostProjections!$Q$8:$W$8,0))*0.001</f>
        <v>457.5808335693963</v>
      </c>
      <c r="Q33" s="619">
        <f>INDEX(CostProjections!$Q$9:$W$91,MATCH($C33,CostProjections!$N$9:$N$91,0),MATCH(Q$15,CostProjections!$Q$8:$W$8,0))*0.001</f>
        <v>423.72989290144886</v>
      </c>
      <c r="R33" s="619">
        <f>INDEX(CostProjections!$Q$9:$W$91,MATCH($C33,CostProjections!$N$9:$N$91,0),MATCH(R$15,CostProjections!$Q$8:$W$8,0))*0.001</f>
        <v>388.08665635265606</v>
      </c>
      <c r="S33" s="619">
        <f>INDEX(CostProjections!$Q$9:$W$91,MATCH($C33,CostProjections!$N$9:$N$91,0),MATCH(S$15,CostProjections!$Q$8:$W$8,0))*0.001</f>
        <v>355.13186362513278</v>
      </c>
      <c r="T33" s="619">
        <f>INDEX(CostProjections!$Q$9:$W$91,MATCH($C33,CostProjections!$N$9:$N$91,0),MATCH(T$15,CostProjections!$Q$8:$W$8,0))*0.001</f>
        <v>342.29231434550684</v>
      </c>
      <c r="U33" s="619">
        <f>INDEX(CostProjections!$Q$9:$W$91,MATCH($C33,CostProjections!$N$9:$N$91,0),MATCH(U$15,CostProjections!$Q$8:$W$8,0))*0.001</f>
        <v>342.07766876375928</v>
      </c>
      <c r="V33" s="619">
        <f>INDEX(CostProjections!$Z$9:$AF$91,MATCH($C33,CostProjections!$N$9:$N$91,0),MATCH(V$15,CostProjections!$Z$8:$AF$8,0))*0.001</f>
        <v>12.354682506373701</v>
      </c>
      <c r="W33" s="619">
        <f>INDEX(CostProjections!$Z$9:$AF$91,MATCH($C33,CostProjections!$N$9:$N$91,0),MATCH(W$15,CostProjections!$Z$8:$AF$8,0))*0.001</f>
        <v>10.478339721521714</v>
      </c>
      <c r="X33" s="619">
        <f>INDEX(CostProjections!$Z$9:$AF$91,MATCH($C33,CostProjections!$N$9:$N$91,0),MATCH(X$15,CostProjections!$Z$8:$AF$8,0))*0.001</f>
        <v>9.2418924873286858</v>
      </c>
      <c r="Y33" s="619">
        <f>INDEX(CostProjections!$Z$9:$AF$91,MATCH($C33,CostProjections!$N$9:$N$91,0),MATCH(Y$15,CostProjections!$Z$8:$AF$8,0))*0.001</f>
        <v>9.2360970566214995</v>
      </c>
      <c r="Z33" s="689">
        <f t="shared" si="6"/>
        <v>23</v>
      </c>
      <c r="AA33" s="689">
        <f t="shared" si="3"/>
        <v>23</v>
      </c>
      <c r="AB33" s="689">
        <v>2025</v>
      </c>
      <c r="AC33" s="1">
        <f t="shared" ca="1" si="4"/>
        <v>16</v>
      </c>
      <c r="AD33" s="1">
        <v>1</v>
      </c>
    </row>
    <row r="34" spans="1:30" x14ac:dyDescent="0.2">
      <c r="A34" s="1" t="str">
        <f t="shared" si="5"/>
        <v>*</v>
      </c>
      <c r="B34" s="190" t="str">
        <f>ITEMS_nTech!C25</f>
        <v>Transport Passenger Car Priv.Veh. Oil Blended Gasoline-Ethanol-E85-N</v>
      </c>
      <c r="C34" s="190" t="str">
        <f>E34&amp;RIGHT(D34,3)&amp;"-N"</f>
        <v>TPPRCARBGS-N</v>
      </c>
      <c r="D34" s="611" t="str">
        <f>$M$6</f>
        <v>TRABGS</v>
      </c>
      <c r="E34" s="611" t="str">
        <f>TRP!$B$22</f>
        <v>TPPRCAR</v>
      </c>
      <c r="F34" s="692">
        <f t="array" ref="F34">IFERROR(INDEX(Analytica!$F$59:$AY$138,MATCH($C34,Analytica!$B$59:$B$168,0),MATCH(F$15&amp;F$10,Analytica!$F$58:$AY$58&amp;Analytica!$F$51:'Analytica'!$AY$51,0)),"")</f>
        <v>0.36226864396574021</v>
      </c>
      <c r="G34" s="692">
        <f t="array" ref="G34">IFERROR(INDEX(Analytica!$F$59:$AY$138,MATCH($C34,Analytica!$B$59:$B$168,0),MATCH(G$15&amp;G$10,Analytica!$F$58:$AY$58&amp;Analytica!$F$51:'Analytica'!$AY$51,0)),"")</f>
        <v>0.39059402104013624</v>
      </c>
      <c r="H34" s="692">
        <f t="array" ref="H34">IFERROR(INDEX(Analytica!$F$59:$AY$138,MATCH($C34,Analytica!$B$59:$B$168,0),MATCH(H$15&amp;H$10,Analytica!$F$58:$AY$58&amp;Analytica!$F$51:'Analytica'!$AY$51,0)),"")</f>
        <v>0.43189049388924888</v>
      </c>
      <c r="I34" s="692">
        <f t="array" ref="I34">IFERROR(INDEX(Analytica!$F$59:$AY$138,MATCH($C34,Analytica!$B$59:$B$168,0),MATCH(I$15&amp;I$10,Analytica!$F$58:$AY$58&amp;Analytica!$F$51:'Analytica'!$AY$51,0)),"")</f>
        <v>0.47755313359682011</v>
      </c>
      <c r="J34" s="1001">
        <v>1</v>
      </c>
      <c r="K34" s="1001">
        <v>1</v>
      </c>
      <c r="L34" s="1001">
        <v>1</v>
      </c>
      <c r="M34" s="1001">
        <v>1</v>
      </c>
      <c r="N34" s="1001">
        <v>1</v>
      </c>
      <c r="O34" s="692">
        <f t="array" ref="O34">IFERROR(INDEX(Analytica!$F$59:$AY$138,MATCH($C34,Analytica!$B$59:$B$168,0),MATCH(O$15&amp;O$10,Analytica!$F$58:$AY$58&amp;Analytica!$F$51:'Analytica'!$AY$51,0)),"")</f>
        <v>1.9099999999999999E-2</v>
      </c>
      <c r="P34" s="619">
        <f>INDEX(CostProjections!$Q$9:$W$91,MATCH($C34,CostProjections!$N$9:$N$91,0),MATCH(P$15,CostProjections!$Q$8:$W$8,0))*0.001</f>
        <v>226.85664691666662</v>
      </c>
      <c r="Q34" s="619">
        <f>INDEX(CostProjections!$Q$9:$W$91,MATCH($C34,CostProjections!$N$9:$N$91,0),MATCH(Q$15,CostProjections!$Q$8:$W$8,0))*0.001</f>
        <v>229.32426816666666</v>
      </c>
      <c r="R34" s="619">
        <f>INDEX(CostProjections!$Q$9:$W$91,MATCH($C34,CostProjections!$N$9:$N$91,0),MATCH(R$15,CostProjections!$Q$8:$W$8,0))*0.001</f>
        <v>231.79188941666663</v>
      </c>
      <c r="S34" s="619">
        <f>INDEX(CostProjections!$Q$9:$W$91,MATCH($C34,CostProjections!$N$9:$N$91,0),MATCH(S$15,CostProjections!$Q$8:$W$8,0))*0.001</f>
        <v>234.25951066666667</v>
      </c>
      <c r="T34" s="619">
        <f>INDEX(CostProjections!$Q$9:$W$91,MATCH($C34,CostProjections!$N$9:$N$91,0),MATCH(T$15,CostProjections!$Q$8:$W$8,0))*0.001</f>
        <v>236.72713191666668</v>
      </c>
      <c r="U34" s="619">
        <f>INDEX(CostProjections!$Q$9:$W$91,MATCH($C34,CostProjections!$N$9:$N$91,0),MATCH(U$15,CostProjections!$Q$8:$W$8,0))*0.001</f>
        <v>241.66237441666669</v>
      </c>
      <c r="V34" s="619">
        <f>INDEX(CostProjections!$Z$9:$AF$91,MATCH($C34,CostProjections!$N$9:$N$91,0),MATCH(V$15,CostProjections!$Z$8:$AF$8,0))*0.001</f>
        <v>6.1251294667499989</v>
      </c>
      <c r="W34" s="619">
        <f>INDEX(CostProjections!$Z$9:$AF$91,MATCH($C34,CostProjections!$N$9:$N$91,0),MATCH(W$15,CostProjections!$Z$8:$AF$8,0))*0.001</f>
        <v>6.2583810142499994</v>
      </c>
      <c r="X34" s="619">
        <f>INDEX(CostProjections!$Z$9:$AF$91,MATCH($C34,CostProjections!$N$9:$N$91,0),MATCH(X$15,CostProjections!$Z$8:$AF$8,0))*0.001</f>
        <v>6.3916325617499998</v>
      </c>
      <c r="Y34" s="619">
        <f>INDEX(CostProjections!$Z$9:$AF$91,MATCH($C34,CostProjections!$N$9:$N$91,0),MATCH(Y$15,CostProjections!$Z$8:$AF$8,0))*0.001</f>
        <v>6.5248841092500012</v>
      </c>
      <c r="Z34" s="689">
        <f t="shared" si="6"/>
        <v>23</v>
      </c>
      <c r="AA34" s="689">
        <f t="shared" si="3"/>
        <v>23</v>
      </c>
      <c r="AB34" s="855">
        <v>2080</v>
      </c>
      <c r="AC34" s="1">
        <f t="shared" ca="1" si="4"/>
        <v>17</v>
      </c>
      <c r="AD34" s="1">
        <v>1</v>
      </c>
    </row>
    <row r="35" spans="1:30" x14ac:dyDescent="0.2">
      <c r="A35" s="1" t="str">
        <f t="shared" si="5"/>
        <v/>
      </c>
      <c r="B35" s="190" t="s">
        <v>1124</v>
      </c>
      <c r="C35" s="190"/>
      <c r="D35" s="611"/>
      <c r="E35" s="611"/>
      <c r="F35" s="692" t="str">
        <f t="array" ref="F35">IFERROR(INDEX(Analytica!$F$59:$AY$138,MATCH($C35,Analytica!$B$59:$B$168,0),MATCH(F$15&amp;F$10,Analytica!$F$58:$AY$58&amp;Analytica!$F$51:'Analytica'!$AY$51,0)),"")</f>
        <v/>
      </c>
      <c r="G35" s="692" t="str">
        <f t="array" ref="G35">IFERROR(INDEX(Analytica!$F$59:$AY$138,MATCH($C35,Analytica!$B$59:$B$168,0),MATCH(G$15&amp;G$10,Analytica!$F$58:$AY$58&amp;Analytica!$F$51:'Analytica'!$AY$51,0)),"")</f>
        <v/>
      </c>
      <c r="H35" s="692" t="str">
        <f t="array" ref="H35">IFERROR(INDEX(Analytica!$F$59:$AY$138,MATCH($C35,Analytica!$B$59:$B$168,0),MATCH(H$15&amp;H$10,Analytica!$F$58:$AY$58&amp;Analytica!$F$51:'Analytica'!$AY$51,0)),"")</f>
        <v/>
      </c>
      <c r="I35" s="692" t="str">
        <f t="array" ref="I35">IFERROR(INDEX(Analytica!$F$59:$AY$138,MATCH($C35,Analytica!$B$59:$B$168,0),MATCH(I$15&amp;I$10,Analytica!$F$58:$AY$58&amp;Analytica!$F$51:'Analytica'!$AY$51,0)),"")</f>
        <v/>
      </c>
      <c r="J35" s="1001">
        <v>1</v>
      </c>
      <c r="K35" s="1001">
        <v>1</v>
      </c>
      <c r="L35" s="1001">
        <v>1</v>
      </c>
      <c r="M35" s="1001">
        <v>1</v>
      </c>
      <c r="N35" s="1001">
        <v>1</v>
      </c>
      <c r="O35" s="692" t="str">
        <f t="array" ref="O35">IFERROR(INDEX(Analytica!$F$59:$AY$138,MATCH($C35,Analytica!$B$59:$B$168,0),MATCH(O$15&amp;O$10,Analytica!$F$58:$AY$58&amp;Analytica!$F$51:'Analytica'!$AY$51,0)),"")</f>
        <v/>
      </c>
      <c r="P35" s="619" t="str">
        <f t="array" ref="P35">IFERROR(INDEX(Analytica!$F$59:$AY$138,MATCH($C35,Analytica!$B$59:$B$168,0),MATCH(P$15&amp;P$10,Analytica!$F$58:$AY$58&amp;Analytica!$F$51:'Analytica'!$AY$51,0)),"")</f>
        <v/>
      </c>
      <c r="Q35" s="619" t="str">
        <f t="array" ref="Q35">IFERROR(INDEX(Analytica!$F$59:$AY$138,MATCH($C35,Analytica!$B$59:$B$168,0),MATCH(Q$15&amp;Q$10,Analytica!$F$58:$AY$58&amp;Analytica!$F$51:'Analytica'!$AY$51,0)),"")</f>
        <v/>
      </c>
      <c r="R35" s="619" t="str">
        <f t="array" ref="R35">IFERROR(INDEX(Analytica!$F$59:$AY$138,MATCH($C35,Analytica!$B$59:$B$168,0),MATCH(R$15&amp;R$10,Analytica!$F$58:$AY$58&amp;Analytica!$F$51:'Analytica'!$AY$51,0)),"")</f>
        <v/>
      </c>
      <c r="S35" s="619" t="str">
        <f t="array" ref="S35">IFERROR(INDEX(Analytica!$F$59:$AY$138,MATCH($C35,Analytica!$B$59:$B$168,0),MATCH(S$15&amp;S$10,Analytica!$F$58:$AY$58&amp;Analytica!$F$51:'Analytica'!$AY$51,0)),"")</f>
        <v/>
      </c>
      <c r="T35" s="619" t="str">
        <f t="array" ref="T35">IFERROR(INDEX(Analytica!$F$59:$AY$138,MATCH($C35,Analytica!$B$59:$B$168,0),MATCH(T$15&amp;T$10,Analytica!$F$58:$AY$58&amp;Analytica!$F$51:'Analytica'!$AY$51,0)),"")</f>
        <v/>
      </c>
      <c r="U35" s="619" t="str">
        <f t="array" ref="U35">IFERROR(INDEX(Analytica!$F$59:$AY$138,MATCH($C35,Analytica!$B$59:$B$168,0),MATCH(U$15&amp;U$10,Analytica!$F$58:$AY$58&amp;Analytica!$F$51:'Analytica'!$AY$51,0)),"")</f>
        <v/>
      </c>
      <c r="V35" s="619" t="str">
        <f t="array" ref="V35">IFERROR(INDEX(Analytica!$F$59:$AY$138,MATCH($C35,Analytica!$B$59:$B$168,0),MATCH(V$15&amp;V$10,Analytica!$F$58:$AY$58&amp;Analytica!$F$51:'Analytica'!$AY$51,0)),"")</f>
        <v/>
      </c>
      <c r="W35" s="619" t="str">
        <f t="array" ref="W35">IFERROR(INDEX(Analytica!$F$59:$AY$138,MATCH($C35,Analytica!$B$59:$B$168,0),MATCH(W$15&amp;W$10,Analytica!$F$58:$AY$58&amp;Analytica!$F$51:'Analytica'!$AY$51,0)),"")</f>
        <v/>
      </c>
      <c r="X35" s="619" t="str">
        <f t="array" ref="X35">IFERROR(INDEX(Analytica!$F$59:$AY$138,MATCH($C35,Analytica!$B$59:$B$168,0),MATCH(X$15&amp;X$10,Analytica!$F$58:$AY$58&amp;Analytica!$F$51:'Analytica'!$AY$51,0)),"")</f>
        <v/>
      </c>
      <c r="Y35" s="619" t="str">
        <f t="array" ref="Y35">IFERROR(INDEX(Analytica!$F$59:$AY$138,MATCH($C35,Analytica!$B$59:$B$168,0),MATCH(Y$15&amp;Y$10,Analytica!$F$58:$AY$58&amp;Analytica!$F$51:'Analytica'!$AY$51,0)),"")</f>
        <v/>
      </c>
      <c r="Z35" s="689"/>
      <c r="AA35" s="689">
        <f t="shared" si="3"/>
        <v>0</v>
      </c>
      <c r="AB35" s="689">
        <f t="shared" ref="AB35:AB40" si="7">IF(AD35,base.year+$AB$12,base.year+$AB$10)</f>
        <v>2018</v>
      </c>
      <c r="AC35" s="1">
        <f t="shared" ca="1" si="4"/>
        <v>18</v>
      </c>
    </row>
    <row r="36" spans="1:30" x14ac:dyDescent="0.2">
      <c r="A36" s="1" t="str">
        <f t="shared" si="5"/>
        <v/>
      </c>
      <c r="B36" s="190" t="str">
        <f>ITEMS_nTech!C27</f>
        <v>Transport Passenger Moto Priv.Veh. Oil Gasoline-N</v>
      </c>
      <c r="C36" s="190" t="str">
        <f>E36&amp;RIGHT(D36,3)&amp;"-N"</f>
        <v>TPPRMOTOGS-N</v>
      </c>
      <c r="D36" s="611" t="str">
        <f>$H$6</f>
        <v>TRAOGS</v>
      </c>
      <c r="E36" s="611" t="str">
        <f>TRP!$B$23</f>
        <v>TPPRMOT</v>
      </c>
      <c r="F36" s="692">
        <f t="array" ref="F36">IFERROR(INDEX(Analytica!$F$59:$AY$138,MATCH($C36,Analytica!$B$59:$B$168,0),MATCH(F$15&amp;F$10,Analytica!$F$58:$AY$58&amp;Analytica!$F$51:'Analytica'!$AY$51,0)),"")</f>
        <v>0.59370801453640365</v>
      </c>
      <c r="G36" s="692">
        <f t="array" ref="G36">IFERROR(INDEX(Analytica!$F$59:$AY$138,MATCH($C36,Analytica!$B$59:$B$168,0),MATCH(G$15&amp;G$10,Analytica!$F$58:$AY$58&amp;Analytica!$F$51:'Analytica'!$AY$51,0)),"")</f>
        <v>0.64012937521432356</v>
      </c>
      <c r="H36" s="692">
        <f t="array" ref="H36">IFERROR(INDEX(Analytica!$F$59:$AY$138,MATCH($C36,Analytica!$B$59:$B$168,0),MATCH(H$15&amp;H$10,Analytica!$F$58:$AY$58&amp;Analytica!$F$51:'Analytica'!$AY$51,0)),"")</f>
        <v>0.7078085611195819</v>
      </c>
      <c r="I36" s="692">
        <f t="array" ref="I36">IFERROR(INDEX(Analytica!$F$59:$AY$138,MATCH($C36,Analytica!$B$59:$B$168,0),MATCH(I$15&amp;I$10,Analytica!$F$58:$AY$58&amp;Analytica!$F$51:'Analytica'!$AY$51,0)),"")</f>
        <v>0.7826432883609411</v>
      </c>
      <c r="J36" s="1001">
        <v>1</v>
      </c>
      <c r="K36" s="1001">
        <v>1</v>
      </c>
      <c r="L36" s="1001">
        <v>1</v>
      </c>
      <c r="M36" s="1001">
        <v>1</v>
      </c>
      <c r="N36" s="1001">
        <v>1</v>
      </c>
      <c r="O36" s="692">
        <f t="array" ref="O36">IFERROR(INDEX(Analytica!$F$59:$AY$138,MATCH($C36,Analytica!$B$59:$B$168,0),MATCH(O$15&amp;O$10,Analytica!$F$58:$AY$58&amp;Analytica!$F$51:'Analytica'!$AY$51,0)),"")</f>
        <v>1.4999999999999999E-2</v>
      </c>
      <c r="P36" s="619">
        <f>INDEX(CostProjections!$Q$9:$W$91,MATCH($C36,CostProjections!$N$9:$N$91,0),MATCH(P$15,CostProjections!$Q$8:$W$8,0))*0.001</f>
        <v>147.58409851654289</v>
      </c>
      <c r="Q36" s="619">
        <f>INDEX(CostProjections!$Q$9:$W$91,MATCH($C36,CostProjections!$N$9:$N$91,0),MATCH(Q$15,CostProjections!$Q$8:$W$8,0))*0.001</f>
        <v>149.64577435664484</v>
      </c>
      <c r="R36" s="619">
        <f>INDEX(CostProjections!$Q$9:$W$91,MATCH($C36,CostProjections!$N$9:$N$91,0),MATCH(R$15,CostProjections!$Q$8:$W$8,0))*0.001</f>
        <v>151.70745019674678</v>
      </c>
      <c r="S36" s="619">
        <f>INDEX(CostProjections!$Q$9:$W$91,MATCH($C36,CostProjections!$N$9:$N$91,0),MATCH(S$15,CostProjections!$Q$8:$W$8,0))*0.001</f>
        <v>154.05249969710866</v>
      </c>
      <c r="T36" s="619">
        <f>INDEX(CostProjections!$Q$9:$W$91,MATCH($C36,CostProjections!$N$9:$N$91,0),MATCH(T$15,CostProjections!$Q$8:$W$8,0))*0.001</f>
        <v>156.39754919747054</v>
      </c>
      <c r="U36" s="619">
        <f>INDEX(CostProjections!$Q$9:$W$91,MATCH($C36,CostProjections!$N$9:$N$91,0),MATCH(U$15,CostProjections!$Q$8:$W$8,0))*0.001</f>
        <v>158.56563810663752</v>
      </c>
      <c r="V36" s="619">
        <f>INDEX(CostProjections!$Z$9:$AF$91,MATCH($C36,CostProjections!$N$9:$N$91,0),MATCH(V$15,CostProjections!$Z$8:$AF$8,0))*0.001</f>
        <v>3.9847706599466584</v>
      </c>
      <c r="W36" s="619">
        <f>INDEX(CostProjections!$Z$9:$AF$91,MATCH($C36,CostProjections!$N$9:$N$91,0),MATCH(W$15,CostProjections!$Z$8:$AF$8,0))*0.001</f>
        <v>4.0961011553121622</v>
      </c>
      <c r="X36" s="619">
        <f>INDEX(CostProjections!$Z$9:$AF$91,MATCH($C36,CostProjections!$N$9:$N$91,0),MATCH(X$15,CostProjections!$Z$8:$AF$8,0))*0.001</f>
        <v>4.2227338283317044</v>
      </c>
      <c r="Y36" s="619">
        <f>INDEX(CostProjections!$Z$9:$AF$91,MATCH($C36,CostProjections!$N$9:$N$91,0),MATCH(Y$15,CostProjections!$Z$8:$AF$8,0))*0.001</f>
        <v>4.2812722288792129</v>
      </c>
      <c r="Z36" s="689">
        <v>8</v>
      </c>
      <c r="AA36" s="689">
        <f t="shared" si="3"/>
        <v>8</v>
      </c>
      <c r="AB36" s="689">
        <f t="shared" si="7"/>
        <v>2018</v>
      </c>
      <c r="AC36" s="1">
        <f t="shared" ca="1" si="4"/>
        <v>19</v>
      </c>
    </row>
    <row r="37" spans="1:30" x14ac:dyDescent="0.2">
      <c r="A37" s="1" t="str">
        <f t="shared" si="5"/>
        <v/>
      </c>
      <c r="B37" s="190" t="str">
        <f>ITEMS_nTech!C28</f>
        <v>Transport Passenger Moto Priv.Veh. Electricity-N</v>
      </c>
      <c r="C37" s="190" t="str">
        <f>E37&amp;RIGHT(D37,3)&amp;"-N"</f>
        <v>TPPRMOTELC-N</v>
      </c>
      <c r="D37" s="611" t="str">
        <f>$F$6</f>
        <v>TRAELC</v>
      </c>
      <c r="E37" s="611" t="str">
        <f>TRP!$B$23</f>
        <v>TPPRMOT</v>
      </c>
      <c r="F37" s="692">
        <f t="array" ref="F37">IFERROR(INDEX(Analytica!$F$59:$AY$138,MATCH($C37,Analytica!$B$59:$B$168,0),MATCH(F$15&amp;F$10,Analytica!$F$58:$AY$58&amp;Analytica!$F$51:'Analytica'!$AY$51,0)),"")</f>
        <v>2.9446103530770351</v>
      </c>
      <c r="G37" s="692">
        <f t="array" ref="G37">IFERROR(INDEX(Analytica!$F$59:$AY$138,MATCH($C37,Analytica!$B$59:$B$168,0),MATCH(G$15&amp;G$10,Analytica!$F$58:$AY$58&amp;Analytica!$F$51:'Analytica'!$AY$51,0)),"")</f>
        <v>3.1748461186542651</v>
      </c>
      <c r="H37" s="692">
        <f t="array" ref="H37">IFERROR(INDEX(Analytica!$F$59:$AY$138,MATCH($C37,Analytica!$B$59:$B$168,0),MATCH(H$15&amp;H$10,Analytica!$F$58:$AY$58&amp;Analytica!$F$51:'Analytica'!$AY$51,0)),"")</f>
        <v>3.510514202333519</v>
      </c>
      <c r="I37" s="692">
        <f t="array" ref="I37">IFERROR(INDEX(Analytica!$F$59:$AY$138,MATCH($C37,Analytica!$B$59:$B$168,0),MATCH(I$15&amp;I$10,Analytica!$F$58:$AY$58&amp;Analytica!$F$51:'Analytica'!$AY$51,0)),"")</f>
        <v>3.8816715847661438</v>
      </c>
      <c r="J37" s="1001">
        <v>1</v>
      </c>
      <c r="K37" s="1001">
        <v>1</v>
      </c>
      <c r="L37" s="1001">
        <v>1</v>
      </c>
      <c r="M37" s="1001">
        <v>1</v>
      </c>
      <c r="N37" s="1001">
        <v>1</v>
      </c>
      <c r="O37" s="692">
        <f t="array" ref="O37">IFERROR(INDEX(Analytica!$F$59:$AY$138,MATCH($C37,Analytica!$B$59:$B$168,0),MATCH(O$15&amp;O$10,Analytica!$F$58:$AY$58&amp;Analytica!$F$51:'Analytica'!$AY$51,0)),"")</f>
        <v>1.4999999999999999E-2</v>
      </c>
      <c r="P37" s="619">
        <f>INDEX(CostProjections!$Q$9:$W$91,MATCH($C37,CostProjections!$N$9:$N$91,0),MATCH(P$15,CostProjections!$Q$8:$W$8,0))*0.001</f>
        <v>181.46594491118924</v>
      </c>
      <c r="Q37" s="619">
        <f>INDEX(CostProjections!$Q$9:$W$91,MATCH($C37,CostProjections!$N$9:$N$91,0),MATCH(Q$15,CostProjections!$Q$8:$W$8,0))*0.001</f>
        <v>171.44500178036213</v>
      </c>
      <c r="R37" s="619">
        <f>INDEX(CostProjections!$Q$9:$W$91,MATCH($C37,CostProjections!$N$9:$N$91,0),MATCH(R$15,CostProjections!$Q$8:$W$8,0))*0.001</f>
        <v>161.424058649535</v>
      </c>
      <c r="S37" s="619">
        <f>INDEX(CostProjections!$Q$9:$W$91,MATCH($C37,CostProjections!$N$9:$N$91,0),MATCH(S$15,CostProjections!$Q$8:$W$8,0))*0.001</f>
        <v>163.89170354364614</v>
      </c>
      <c r="T37" s="619">
        <f>INDEX(CostProjections!$Q$9:$W$91,MATCH($C37,CostProjections!$N$9:$N$91,0),MATCH(T$15,CostProjections!$Q$8:$W$8,0))*0.001</f>
        <v>166.35934843775732</v>
      </c>
      <c r="U37" s="619">
        <f>INDEX(CostProjections!$Q$9:$W$91,MATCH($C37,CostProjections!$N$9:$N$91,0),MATCH(U$15,CostProjections!$Q$8:$W$8,0))*0.001</f>
        <v>171.23623685116002</v>
      </c>
      <c r="V37" s="619">
        <f>INDEX(CostProjections!$Z$9:$AF$91,MATCH($C37,CostProjections!$N$9:$N$91,0),MATCH(V$15,CostProjections!$Z$8:$AF$8,0))*0.001</f>
        <v>3.6746853844515823</v>
      </c>
      <c r="W37" s="619">
        <f>INDEX(CostProjections!$Z$9:$AF$91,MATCH($C37,CostProjections!$N$9:$N$91,0),MATCH(W$15,CostProjections!$Z$8:$AF$8,0))*0.001</f>
        <v>3.2688371876530837</v>
      </c>
      <c r="X37" s="619">
        <f>INDEX(CostProjections!$Z$9:$AF$91,MATCH($C37,CostProjections!$N$9:$N$91,0),MATCH(X$15,CostProjections!$Z$8:$AF$8,0))*0.001</f>
        <v>3.3687768058645857</v>
      </c>
      <c r="Y37" s="619">
        <f>INDEX(CostProjections!$Z$9:$AF$91,MATCH($C37,CostProjections!$N$9:$N$91,0),MATCH(Y$15,CostProjections!$Z$8:$AF$8,0))*0.001</f>
        <v>3.4675337962359905</v>
      </c>
      <c r="Z37" s="689">
        <v>8</v>
      </c>
      <c r="AA37" s="689">
        <f t="shared" si="3"/>
        <v>8</v>
      </c>
      <c r="AB37" s="689">
        <f t="shared" si="7"/>
        <v>2018</v>
      </c>
      <c r="AC37" s="1">
        <f t="shared" ca="1" si="4"/>
        <v>20</v>
      </c>
    </row>
    <row r="38" spans="1:30" x14ac:dyDescent="0.2">
      <c r="A38" s="1" t="str">
        <f t="shared" si="5"/>
        <v/>
      </c>
      <c r="B38" s="190" t="s">
        <v>1124</v>
      </c>
      <c r="C38" s="190"/>
      <c r="D38" s="611"/>
      <c r="E38" s="611"/>
      <c r="F38" s="692" t="str">
        <f t="array" ref="F38">IFERROR(INDEX(Analytica!$F$59:$AY$138,MATCH($C38,Analytica!$B$59:$B$168,0),MATCH(F$15&amp;F$10,Analytica!$F$58:$AY$58&amp;Analytica!$F$51:'Analytica'!$AY$51,0)),"")</f>
        <v/>
      </c>
      <c r="G38" s="692" t="str">
        <f t="array" ref="G38">IFERROR(INDEX(Analytica!$F$59:$AY$138,MATCH($C38,Analytica!$B$59:$B$168,0),MATCH(G$15&amp;G$10,Analytica!$F$58:$AY$58&amp;Analytica!$F$51:'Analytica'!$AY$51,0)),"")</f>
        <v/>
      </c>
      <c r="H38" s="692" t="str">
        <f t="array" ref="H38">IFERROR(INDEX(Analytica!$F$59:$AY$138,MATCH($C38,Analytica!$B$59:$B$168,0),MATCH(H$15&amp;H$10,Analytica!$F$58:$AY$58&amp;Analytica!$F$51:'Analytica'!$AY$51,0)),"")</f>
        <v/>
      </c>
      <c r="I38" s="692"/>
      <c r="J38" s="1001"/>
      <c r="K38" s="1001"/>
      <c r="L38" s="1001"/>
      <c r="M38" s="1001"/>
      <c r="N38" s="1001"/>
      <c r="O38" s="692"/>
      <c r="P38" s="619"/>
      <c r="Q38" s="619" t="str">
        <f t="array" ref="Q38">IFERROR(INDEX(Analytica!$F$59:$AY$138,MATCH($C38,Analytica!$B$59:$B$168,0),MATCH(Q$15&amp;Q$10,Analytica!$F$58:$AY$58&amp;Analytica!$F$51:'Analytica'!$AY$51,0)),"")</f>
        <v/>
      </c>
      <c r="R38" s="619" t="str">
        <f t="array" ref="R38">IFERROR(INDEX(Analytica!$F$59:$AY$138,MATCH($C38,Analytica!$B$59:$B$168,0),MATCH(R$15&amp;R$10,Analytica!$F$58:$AY$58&amp;Analytica!$F$51:'Analytica'!$AY$51,0)),"")</f>
        <v/>
      </c>
      <c r="S38" s="619" t="str">
        <f t="array" ref="S38">IFERROR(INDEX(Analytica!$F$59:$AY$138,MATCH($C38,Analytica!$B$59:$B$168,0),MATCH(S$15&amp;S$10,Analytica!$F$58:$AY$58&amp;Analytica!$F$51:'Analytica'!$AY$51,0)),"")</f>
        <v/>
      </c>
      <c r="T38" s="619"/>
      <c r="U38" s="619"/>
      <c r="V38" s="619"/>
      <c r="W38" s="619"/>
      <c r="X38" s="619"/>
      <c r="Y38" s="619"/>
      <c r="Z38" s="689"/>
      <c r="AA38" s="689">
        <f t="shared" si="3"/>
        <v>0</v>
      </c>
      <c r="AB38" s="689">
        <f t="shared" si="7"/>
        <v>2018</v>
      </c>
      <c r="AC38" s="1">
        <f t="shared" ca="1" si="4"/>
        <v>21</v>
      </c>
    </row>
    <row r="39" spans="1:30" x14ac:dyDescent="0.2">
      <c r="A39" s="1" t="str">
        <f t="shared" si="5"/>
        <v/>
      </c>
      <c r="B39" s="190" t="str">
        <f>ITEMS_nTech!C30</f>
        <v>Transport Passenger Bus Oil Diesel-N</v>
      </c>
      <c r="C39" s="190" t="str">
        <f>E39&amp;RIGHT(D39,3)&amp;"-N"</f>
        <v>TPPUBUSODS-N</v>
      </c>
      <c r="D39" s="611" t="str">
        <f>$E$6</f>
        <v>TRAODS</v>
      </c>
      <c r="E39" s="611" t="str">
        <f>TRP!$B$24</f>
        <v>TPPUBUS</v>
      </c>
      <c r="F39" s="692">
        <f t="array" ref="F39">IFERROR(INDEX(Analytica!$F$59:$AY$138,MATCH($C39,Analytica!$B$59:$B$168,0),MATCH(F$15&amp;F$10,Analytica!$F$58:$AY$58&amp;Analytica!$F$51:'Analytica'!$AY$51,0)),"")</f>
        <v>6.5323297732971908E-2</v>
      </c>
      <c r="G39" s="692">
        <f t="array" ref="G39">IFERROR(INDEX(Analytica!$F$59:$AY$138,MATCH($C39,Analytica!$B$59:$B$168,0),MATCH(G$15&amp;G$10,Analytica!$F$58:$AY$58&amp;Analytica!$F$51:'Analytica'!$AY$51,0)),"")</f>
        <v>7.043085277768743E-2</v>
      </c>
      <c r="H39" s="692">
        <f t="array" ref="H39">IFERROR(INDEX(Analytica!$F$59:$AY$138,MATCH($C39,Analytica!$B$59:$B$168,0),MATCH(H$15&amp;H$10,Analytica!$F$58:$AY$58&amp;Analytica!$F$51:'Analytica'!$AY$51,0)),"")</f>
        <v>7.7877320574937056E-2</v>
      </c>
      <c r="I39" s="692">
        <f t="array" ref="I39">IFERROR(INDEX(Analytica!$F$59:$AY$138,MATCH($C39,Analytica!$B$59:$B$168,0),MATCH(I$15&amp;I$10,Analytica!$F$58:$AY$58&amp;Analytica!$F$51:'Analytica'!$AY$51,0)),"")</f>
        <v>8.6111083718879447E-2</v>
      </c>
      <c r="J39" s="1001">
        <v>1</v>
      </c>
      <c r="K39" s="1001">
        <v>1</v>
      </c>
      <c r="L39" s="1001">
        <v>1</v>
      </c>
      <c r="M39" s="1001">
        <v>1</v>
      </c>
      <c r="N39" s="1001">
        <v>1</v>
      </c>
      <c r="O39" s="692">
        <f t="array" ref="O39">IFERROR(INDEX(Analytica!$F$59:$AY$138,MATCH($C39,Analytica!$B$59:$B$168,0),MATCH(O$15&amp;O$10,Analytica!$F$58:$AY$58&amp;Analytica!$F$51:'Analytica'!$AY$51,0)),"")</f>
        <v>0.06</v>
      </c>
      <c r="P39" s="619">
        <f>INDEX(CostProjections!$Q$9:$W$91,MATCH($C39,CostProjections!$N$9:$N$91,0),MATCH(P$15,CostProjections!$Q$8:$W$8,0))*0.001</f>
        <v>2567.69572134704</v>
      </c>
      <c r="Q39" s="619">
        <f>INDEX(CostProjections!$Q$9:$W$91,MATCH($C39,CostProjections!$N$9:$N$91,0),MATCH(Q$15,CostProjections!$Q$8:$W$8,0))*0.001</f>
        <v>2615.6384793717471</v>
      </c>
      <c r="R39" s="619">
        <f>INDEX(CostProjections!$Q$9:$W$91,MATCH($C39,CostProjections!$N$9:$N$91,0),MATCH(R$15,CostProjections!$Q$8:$W$8,0))*0.001</f>
        <v>2663.5812373964536</v>
      </c>
      <c r="S39" s="619">
        <f>INDEX(CostProjections!$Q$9:$W$91,MATCH($C39,CostProjections!$N$9:$N$91,0),MATCH(S$15,CostProjections!$Q$8:$W$8,0))*0.001</f>
        <v>2694.4055633458693</v>
      </c>
      <c r="T39" s="619">
        <f>INDEX(CostProjections!$Q$9:$W$91,MATCH($C39,CostProjections!$N$9:$N$91,0),MATCH(T$15,CostProjections!$Q$8:$W$8,0))*0.001</f>
        <v>2725.229889295284</v>
      </c>
      <c r="U39" s="619">
        <f>INDEX(CostProjections!$Q$9:$W$91,MATCH($C39,CostProjections!$N$9:$N$91,0),MATCH(U$15,CostProjections!$Q$8:$W$8,0))*0.001</f>
        <v>2795.6066649313984</v>
      </c>
      <c r="V39" s="619">
        <f>INDEX(CostProjections!$Z$9:$AF$91,MATCH($C39,CostProjections!$N$9:$N$91,0),MATCH(V$15,CostProjections!$Z$8:$AF$8,0))*0.001</f>
        <v>69.327784476370084</v>
      </c>
      <c r="W39" s="619">
        <f>INDEX(CostProjections!$Z$9:$AF$91,MATCH($C39,CostProjections!$N$9:$N$91,0),MATCH(W$15,CostProjections!$Z$8:$AF$8,0))*0.001</f>
        <v>71.916693409704237</v>
      </c>
      <c r="X39" s="619">
        <f>INDEX(CostProjections!$Z$9:$AF$91,MATCH($C39,CostProjections!$N$9:$N$91,0),MATCH(X$15,CostProjections!$Z$8:$AF$8,0))*0.001</f>
        <v>73.581207010972676</v>
      </c>
      <c r="Y39" s="619">
        <f>INDEX(CostProjections!$Z$9:$AF$91,MATCH($C39,CostProjections!$N$9:$N$91,0),MATCH(Y$15,CostProjections!$Z$8:$AF$8,0))*0.001</f>
        <v>75.481379953147751</v>
      </c>
      <c r="Z39" s="689">
        <v>20</v>
      </c>
      <c r="AA39" s="689">
        <f t="shared" si="3"/>
        <v>20</v>
      </c>
      <c r="AB39" s="689">
        <f t="shared" si="7"/>
        <v>2018</v>
      </c>
      <c r="AC39" s="1">
        <f t="shared" ca="1" si="4"/>
        <v>22</v>
      </c>
    </row>
    <row r="40" spans="1:30" x14ac:dyDescent="0.2">
      <c r="A40" s="1" t="str">
        <f t="shared" si="5"/>
        <v/>
      </c>
      <c r="B40" s="190" t="str">
        <f>ITEMS_nTech!C31</f>
        <v>Transport Passenger Bus Gas-N</v>
      </c>
      <c r="C40" s="190" t="str">
        <f>E40&amp;RIGHT(D40,3)&amp;"-N"</f>
        <v>TPPUBUSGAS-N</v>
      </c>
      <c r="D40" s="611" t="str">
        <f>$G$6</f>
        <v>TRAGAS</v>
      </c>
      <c r="E40" s="611" t="str">
        <f>TRP!$B$24</f>
        <v>TPPUBUS</v>
      </c>
      <c r="F40" s="692">
        <f t="array" ref="F40">IFERROR(INDEX(Analytica!$F$59:$AY$138,MATCH($C40,Analytica!$B$59:$B$168,0),MATCH(F$15&amp;F$10,Analytica!$F$58:$AY$58&amp;Analytica!$F$51:'Analytica'!$AY$51,0)),"")</f>
        <v>5.6802867593888626E-2</v>
      </c>
      <c r="G40" s="692">
        <f t="array" ref="G40">IFERROR(INDEX(Analytica!$F$59:$AY$138,MATCH($C40,Analytica!$B$59:$B$168,0),MATCH(G$15&amp;G$10,Analytica!$F$58:$AY$58&amp;Analytica!$F$51:'Analytica'!$AY$51,0)),"")</f>
        <v>6.1244219806684722E-2</v>
      </c>
      <c r="H40" s="692">
        <f t="array" ref="H40">IFERROR(INDEX(Analytica!$F$59:$AY$138,MATCH($C40,Analytica!$B$59:$B$168,0),MATCH(H$15&amp;H$10,Analytica!$F$58:$AY$58&amp;Analytica!$F$51:'Analytica'!$AY$51,0)),"")</f>
        <v>6.7719409195597449E-2</v>
      </c>
      <c r="I40" s="692">
        <f t="array" ref="I40">IFERROR(INDEX(Analytica!$F$59:$AY$138,MATCH($C40,Analytica!$B$59:$B$168,0),MATCH(I$15&amp;I$10,Analytica!$F$58:$AY$58&amp;Analytica!$F$51:'Analytica'!$AY$51,0)),"")</f>
        <v>7.4879203233808214E-2</v>
      </c>
      <c r="J40" s="1001">
        <v>1</v>
      </c>
      <c r="K40" s="1001">
        <v>1</v>
      </c>
      <c r="L40" s="1001">
        <v>1</v>
      </c>
      <c r="M40" s="1001">
        <v>1</v>
      </c>
      <c r="N40" s="1001">
        <v>1</v>
      </c>
      <c r="O40" s="692">
        <f t="array" ref="O40">IFERROR(INDEX(Analytica!$F$59:$AY$138,MATCH($C40,Analytica!$B$59:$B$168,0),MATCH(O$15&amp;O$10,Analytica!$F$58:$AY$58&amp;Analytica!$F$51:'Analytica'!$AY$51,0)),"")</f>
        <v>0.06</v>
      </c>
      <c r="P40" s="619">
        <f>INDEX(CostProjections!$Q$9:$W$91,MATCH($C40,CostProjections!$N$9:$N$91,0),MATCH(P$15,CostProjections!$Q$8:$W$8,0))*0.001</f>
        <v>2722.5068075861959</v>
      </c>
      <c r="Q40" s="619">
        <f>INDEX(CostProjections!$Q$9:$W$91,MATCH($C40,CostProjections!$N$9:$N$91,0),MATCH(Q$15,CostProjections!$Q$8:$W$8,0))*0.001</f>
        <v>2751.1133109205766</v>
      </c>
      <c r="R40" s="619">
        <f>INDEX(CostProjections!$Q$9:$W$91,MATCH($C40,CostProjections!$N$9:$N$91,0),MATCH(R$15,CostProjections!$Q$8:$W$8,0))*0.001</f>
        <v>2779.7198142549582</v>
      </c>
      <c r="S40" s="619">
        <f>INDEX(CostProjections!$Q$9:$W$91,MATCH($C40,CostProjections!$N$9:$N$91,0),MATCH(S$15,CostProjections!$Q$8:$W$8,0))*0.001</f>
        <v>2802.8973721842008</v>
      </c>
      <c r="T40" s="619">
        <f>INDEX(CostProjections!$Q$9:$W$91,MATCH($C40,CostProjections!$N$9:$N$91,0),MATCH(T$15,CostProjections!$Q$8:$W$8,0))*0.001</f>
        <v>2826.0749301134433</v>
      </c>
      <c r="U40" s="619">
        <f>INDEX(CostProjections!$Q$9:$W$91,MATCH($C40,CostProjections!$N$9:$N$91,0),MATCH(U$15,CostProjections!$Q$8:$W$8,0))*0.001</f>
        <v>2885.7020130336696</v>
      </c>
      <c r="V40" s="619">
        <f>INDEX(CostProjections!$Z$9:$AF$91,MATCH($C40,CostProjections!$N$9:$N$91,0),MATCH(V$15,CostProjections!$Z$8:$AF$8,0))*0.001</f>
        <v>73.507683804827295</v>
      </c>
      <c r="W40" s="619">
        <f>INDEX(CostProjections!$Z$9:$AF$91,MATCH($C40,CostProjections!$N$9:$N$91,0),MATCH(W$15,CostProjections!$Z$8:$AF$8,0))*0.001</f>
        <v>75.052434984883874</v>
      </c>
      <c r="X40" s="619">
        <f>INDEX(CostProjections!$Z$9:$AF$91,MATCH($C40,CostProjections!$N$9:$N$91,0),MATCH(X$15,CostProjections!$Z$8:$AF$8,0))*0.001</f>
        <v>76.304023113062968</v>
      </c>
      <c r="Y40" s="619">
        <f>INDEX(CostProjections!$Z$9:$AF$91,MATCH($C40,CostProjections!$N$9:$N$91,0),MATCH(Y$15,CostProjections!$Z$8:$AF$8,0))*0.001</f>
        <v>77.913954351909084</v>
      </c>
      <c r="Z40" s="689">
        <f>Z39</f>
        <v>20</v>
      </c>
      <c r="AA40" s="689">
        <f t="shared" si="3"/>
        <v>20</v>
      </c>
      <c r="AB40" s="689">
        <f t="shared" si="7"/>
        <v>2018</v>
      </c>
      <c r="AC40" s="1">
        <f t="shared" ca="1" si="4"/>
        <v>23</v>
      </c>
    </row>
    <row r="41" spans="1:30" x14ac:dyDescent="0.2">
      <c r="A41" s="1" t="str">
        <f t="shared" si="5"/>
        <v/>
      </c>
      <c r="B41" s="190" t="str">
        <f>ITEMS_nTech!C32</f>
        <v>Transport Passenger Bus Hydrogen Fuel Cell-N</v>
      </c>
      <c r="C41" s="190" t="str">
        <f>E41&amp;RIGHT(D41,3)&amp;"F-N"</f>
        <v>TPPUBUSHGNF-N</v>
      </c>
      <c r="D41" s="611" t="str">
        <f>L6</f>
        <v>TRAHGN</v>
      </c>
      <c r="E41" s="611" t="str">
        <f>TRP!$B$24</f>
        <v>TPPUBUS</v>
      </c>
      <c r="F41" s="692">
        <f t="array" ref="F41">IFERROR(INDEX(Analytica!$F$59:$AY$138,MATCH($C41,Analytica!$B$59:$B$168,0),MATCH(F$15&amp;F$10,Analytica!$F$58:$AY$58&amp;Analytica!$F$51:'Analytica'!$AY$51,0)),"")</f>
        <v>0.13780930986929765</v>
      </c>
      <c r="G41" s="692">
        <f t="array" ref="G41">IFERROR(INDEX(Analytica!$F$59:$AY$138,MATCH($C41,Analytica!$B$59:$B$168,0),MATCH(G$15&amp;G$10,Analytica!$F$58:$AY$58&amp;Analytica!$F$51:'Analytica'!$AY$51,0)),"")</f>
        <v>0.14858446452711918</v>
      </c>
      <c r="H41" s="692">
        <f t="array" ref="H41">IFERROR(INDEX(Analytica!$F$59:$AY$138,MATCH($C41,Analytica!$B$59:$B$168,0),MATCH(H$15&amp;H$10,Analytica!$F$58:$AY$58&amp;Analytica!$F$51:'Analytica'!$AY$51,0)),"")</f>
        <v>0.16429390700348931</v>
      </c>
      <c r="I41" s="692">
        <f t="array" ref="I41">IFERROR(INDEX(Analytica!$F$59:$AY$138,MATCH($C41,Analytica!$B$59:$B$168,0),MATCH(I$15&amp;I$10,Analytica!$F$58:$AY$58&amp;Analytica!$F$51:'Analytica'!$AY$51,0)),"")</f>
        <v>0.18166426728646726</v>
      </c>
      <c r="J41" s="1001">
        <v>1</v>
      </c>
      <c r="K41" s="1001">
        <v>1</v>
      </c>
      <c r="L41" s="1001">
        <v>1</v>
      </c>
      <c r="M41" s="1001">
        <v>1</v>
      </c>
      <c r="N41" s="1001">
        <v>1</v>
      </c>
      <c r="O41" s="692">
        <f t="array" ref="O41">IFERROR(INDEX(Analytica!$F$59:$AY$138,MATCH($C41,Analytica!$B$59:$B$168,0),MATCH(O$15&amp;O$10,Analytica!$F$58:$AY$58&amp;Analytica!$F$51:'Analytica'!$AY$51,0)),"")</f>
        <v>0.06</v>
      </c>
      <c r="P41" s="619">
        <f>INDEX(CostProjections!$Q$9:$W$91,MATCH($C41,CostProjections!$N$9:$N$91,0),MATCH(P$15,CostProjections!$Q$8:$W$8,0))*0.001</f>
        <v>4657.8789828369117</v>
      </c>
      <c r="Q41" s="619">
        <f>INDEX(CostProjections!$Q$9:$W$91,MATCH($C41,CostProjections!$N$9:$N$91,0),MATCH(Q$15,CostProjections!$Q$8:$W$8,0))*0.001</f>
        <v>4284.5633154619945</v>
      </c>
      <c r="R41" s="619">
        <f>INDEX(CostProjections!$Q$9:$W$91,MATCH($C41,CostProjections!$N$9:$N$91,0),MATCH(R$15,CostProjections!$Q$8:$W$8,0))*0.001</f>
        <v>3929.4544970450174</v>
      </c>
      <c r="S41" s="619">
        <f>INDEX(CostProjections!$Q$9:$W$91,MATCH($C41,CostProjections!$N$9:$N$91,0),MATCH(S$15,CostProjections!$Q$8:$W$8,0))*0.001</f>
        <v>3837.4898313890012</v>
      </c>
      <c r="T41" s="619">
        <f>INDEX(CostProjections!$Q$9:$W$91,MATCH($C41,CostProjections!$N$9:$N$91,0),MATCH(T$15,CostProjections!$Q$8:$W$8,0))*0.001</f>
        <v>3747.5065366250064</v>
      </c>
      <c r="U41" s="619">
        <f>INDEX(CostProjections!$Q$9:$W$91,MATCH($C41,CostProjections!$N$9:$N$91,0),MATCH(U$15,CostProjections!$Q$8:$W$8,0))*0.001</f>
        <v>3570.929202529675</v>
      </c>
      <c r="V41" s="619">
        <f>INDEX(CostProjections!$Z$9:$AF$91,MATCH($C41,CostProjections!$N$9:$N$91,0),MATCH(V$15,CostProjections!$Z$8:$AF$8,0))*0.001</f>
        <v>125.76273253659662</v>
      </c>
      <c r="W41" s="619">
        <f>INDEX(CostProjections!$Z$9:$AF$91,MATCH($C41,CostProjections!$N$9:$N$91,0),MATCH(W$15,CostProjections!$Z$8:$AF$8,0))*0.001</f>
        <v>106.09527142021547</v>
      </c>
      <c r="X41" s="619">
        <f>INDEX(CostProjections!$Z$9:$AF$91,MATCH($C41,CostProjections!$N$9:$N$91,0),MATCH(X$15,CostProjections!$Z$8:$AF$8,0))*0.001</f>
        <v>101.18267648887516</v>
      </c>
      <c r="Y41" s="619">
        <f>INDEX(CostProjections!$Z$9:$AF$91,MATCH($C41,CostProjections!$N$9:$N$91,0),MATCH(Y$15,CostProjections!$Z$8:$AF$8,0))*0.001</f>
        <v>96.415088468301235</v>
      </c>
      <c r="Z41" s="689">
        <f>Z40</f>
        <v>20</v>
      </c>
      <c r="AA41" s="689">
        <f t="shared" si="3"/>
        <v>20</v>
      </c>
      <c r="AB41" s="689">
        <v>2025</v>
      </c>
      <c r="AC41" s="1">
        <f t="shared" ca="1" si="4"/>
        <v>24</v>
      </c>
      <c r="AD41" s="1">
        <v>1</v>
      </c>
    </row>
    <row r="42" spans="1:30" x14ac:dyDescent="0.2">
      <c r="A42" s="1" t="str">
        <f t="shared" si="5"/>
        <v>*</v>
      </c>
      <c r="B42" s="190" t="str">
        <f>ITEMS_nTech!C33</f>
        <v>Transport Passenger Bus Oil Blended Gasoline-Ethanol-E85-N</v>
      </c>
      <c r="C42" s="190" t="str">
        <f>E42&amp;RIGHT(D42,3)&amp;"-N"</f>
        <v>TPPUBUSBGS-N</v>
      </c>
      <c r="D42" s="611" t="str">
        <f>$M$6</f>
        <v>TRABGS</v>
      </c>
      <c r="E42" s="611" t="str">
        <f>TRP!$B$24</f>
        <v>TPPUBUS</v>
      </c>
      <c r="F42" s="692">
        <f t="array" ref="F42">IFERROR(INDEX(Analytica!$F$59:$AY$138,MATCH($C42,Analytica!$B$59:$B$168,0),MATCH(F$15&amp;F$10,Analytica!$F$58:$AY$58&amp;Analytica!$F$51:'Analytica'!$AY$51,0)),"")</f>
        <v>6.5323297732971908E-2</v>
      </c>
      <c r="G42" s="692">
        <f t="array" ref="G42">IFERROR(INDEX(Analytica!$F$59:$AY$138,MATCH($C42,Analytica!$B$59:$B$168,0),MATCH(G$15&amp;G$10,Analytica!$F$58:$AY$58&amp;Analytica!$F$51:'Analytica'!$AY$51,0)),"")</f>
        <v>7.043085277768743E-2</v>
      </c>
      <c r="H42" s="692">
        <f t="array" ref="H42">IFERROR(INDEX(Analytica!$F$59:$AY$138,MATCH($C42,Analytica!$B$59:$B$168,0),MATCH(H$15&amp;H$10,Analytica!$F$58:$AY$58&amp;Analytica!$F$51:'Analytica'!$AY$51,0)),"")</f>
        <v>7.7877320574937056E-2</v>
      </c>
      <c r="I42" s="692">
        <f t="array" ref="I42">IFERROR(INDEX(Analytica!$F$59:$AY$138,MATCH($C42,Analytica!$B$59:$B$168,0),MATCH(I$15&amp;I$10,Analytica!$F$58:$AY$58&amp;Analytica!$F$51:'Analytica'!$AY$51,0)),"")</f>
        <v>8.6111083718879447E-2</v>
      </c>
      <c r="J42" s="1001">
        <v>1</v>
      </c>
      <c r="K42" s="1001">
        <v>1</v>
      </c>
      <c r="L42" s="1001">
        <v>1</v>
      </c>
      <c r="M42" s="1001">
        <v>1</v>
      </c>
      <c r="N42" s="1001">
        <v>1</v>
      </c>
      <c r="O42" s="692">
        <f t="array" ref="O42">IFERROR(INDEX(Analytica!$F$59:$AY$138,MATCH($C42,Analytica!$B$59:$B$168,0),MATCH(O$15&amp;O$10,Analytica!$F$58:$AY$58&amp;Analytica!$F$51:'Analytica'!$AY$51,0)),"")</f>
        <v>0.06</v>
      </c>
      <c r="P42" s="619">
        <f>INDEX(CostProjections!$Q$9:$W$91,MATCH($C42,CostProjections!$N$9:$N$91,0),MATCH(P$15,CostProjections!$Q$8:$W$8,0))*0.001</f>
        <v>2567.69572134704</v>
      </c>
      <c r="Q42" s="619">
        <f>INDEX(CostProjections!$Q$9:$W$91,MATCH($C42,CostProjections!$N$9:$N$91,0),MATCH(Q$15,CostProjections!$Q$8:$W$8,0))*0.001</f>
        <v>2615.6384793717471</v>
      </c>
      <c r="R42" s="619">
        <f>INDEX(CostProjections!$Q$9:$W$91,MATCH($C42,CostProjections!$N$9:$N$91,0),MATCH(R$15,CostProjections!$Q$8:$W$8,0))*0.001</f>
        <v>2663.5812373964536</v>
      </c>
      <c r="S42" s="619">
        <f>INDEX(CostProjections!$Q$9:$W$91,MATCH($C42,CostProjections!$N$9:$N$91,0),MATCH(S$15,CostProjections!$Q$8:$W$8,0))*0.001</f>
        <v>2694.4055633458693</v>
      </c>
      <c r="T42" s="619">
        <f>INDEX(CostProjections!$Q$9:$W$91,MATCH($C42,CostProjections!$N$9:$N$91,0),MATCH(T$15,CostProjections!$Q$8:$W$8,0))*0.001</f>
        <v>2725.229889295284</v>
      </c>
      <c r="U42" s="619">
        <f>INDEX(CostProjections!$Q$9:$W$91,MATCH($C42,CostProjections!$N$9:$N$91,0),MATCH(U$15,CostProjections!$Q$8:$W$8,0))*0.001</f>
        <v>2795.6066649313984</v>
      </c>
      <c r="V42" s="619">
        <f>INDEX(CostProjections!$Z$9:$AF$91,MATCH($C42,CostProjections!$N$9:$N$91,0),MATCH(V$15,CostProjections!$Z$8:$AF$8,0))*0.001</f>
        <v>69.327784476370084</v>
      </c>
      <c r="W42" s="619">
        <f>INDEX(CostProjections!$Z$9:$AF$91,MATCH($C42,CostProjections!$N$9:$N$91,0),MATCH(W$15,CostProjections!$Z$8:$AF$8,0))*0.001</f>
        <v>71.916693409704237</v>
      </c>
      <c r="X42" s="619">
        <f>INDEX(CostProjections!$Z$9:$AF$91,MATCH($C42,CostProjections!$N$9:$N$91,0),MATCH(X$15,CostProjections!$Z$8:$AF$8,0))*0.001</f>
        <v>73.581207010972676</v>
      </c>
      <c r="Y42" s="619">
        <f>INDEX(CostProjections!$Z$9:$AF$91,MATCH($C42,CostProjections!$N$9:$N$91,0),MATCH(Y$15,CostProjections!$Z$8:$AF$8,0))*0.001</f>
        <v>75.481379953147751</v>
      </c>
      <c r="Z42" s="689">
        <f>Z41</f>
        <v>20</v>
      </c>
      <c r="AA42" s="689">
        <f t="shared" si="3"/>
        <v>20</v>
      </c>
      <c r="AB42" s="855">
        <v>2080</v>
      </c>
      <c r="AC42" s="1">
        <f t="shared" ca="1" si="4"/>
        <v>25</v>
      </c>
      <c r="AD42" s="1">
        <v>1</v>
      </c>
    </row>
    <row r="43" spans="1:30" x14ac:dyDescent="0.2">
      <c r="A43" s="1" t="str">
        <f t="shared" si="5"/>
        <v/>
      </c>
      <c r="B43" s="190" t="str">
        <f>ITEMS_nTech!C34</f>
        <v>Transport Passenger Bus Electricity-N</v>
      </c>
      <c r="C43" s="190" t="str">
        <f>E43&amp;RIGHT(D43,3)&amp;"-N"</f>
        <v>TPPUBUSELC-N</v>
      </c>
      <c r="D43" s="611" t="str">
        <f>$F$6</f>
        <v>TRAELC</v>
      </c>
      <c r="E43" s="611" t="str">
        <f>TRP!$B$24</f>
        <v>TPPUBUS</v>
      </c>
      <c r="F43" s="692">
        <f t="array" ref="F43">IFERROR(INDEX(Analytica!$F$59:$AY$138,MATCH($C43,Analytica!$B$59:$B$168,0),MATCH(F$15&amp;F$10,Analytica!$F$58:$AY$58&amp;Analytica!$F$51:'Analytica'!$AY$51,0)),"")</f>
        <v>0.21275823278067008</v>
      </c>
      <c r="G43" s="692">
        <f t="array" ref="G43">IFERROR(INDEX(Analytica!$F$59:$AY$138,MATCH($C43,Analytica!$B$59:$B$168,0),MATCH(G$15&amp;G$10,Analytica!$F$58:$AY$58&amp;Analytica!$F$51:'Analytica'!$AY$51,0)),"")</f>
        <v>0.22939355926993843</v>
      </c>
      <c r="H43" s="692">
        <f t="array" ref="H43">IFERROR(INDEX(Analytica!$F$59:$AY$138,MATCH($C43,Analytica!$B$59:$B$168,0),MATCH(H$15&amp;H$10,Analytica!$F$58:$AY$58&amp;Analytica!$F$51:'Analytica'!$AY$51,0)),"")</f>
        <v>0.25364673361942214</v>
      </c>
      <c r="I43" s="692">
        <f t="array" ref="I43">IFERROR(INDEX(Analytica!$F$59:$AY$138,MATCH($C43,Analytica!$B$59:$B$168,0),MATCH(I$15&amp;I$10,Analytica!$F$58:$AY$58&amp;Analytica!$F$51:'Analytica'!$AY$51,0)),"")</f>
        <v>0.28046413195103725</v>
      </c>
      <c r="J43" s="1001">
        <v>1</v>
      </c>
      <c r="K43" s="1001">
        <v>1</v>
      </c>
      <c r="L43" s="1001">
        <v>1</v>
      </c>
      <c r="M43" s="1001">
        <v>1</v>
      </c>
      <c r="N43" s="1001">
        <v>1</v>
      </c>
      <c r="O43" s="692">
        <f t="array" ref="O43">IFERROR(INDEX(Analytica!$F$59:$AY$138,MATCH($C43,Analytica!$B$59:$B$168,0),MATCH(O$15&amp;O$10,Analytica!$F$58:$AY$58&amp;Analytica!$F$51:'Analytica'!$AY$51,0)),"")</f>
        <v>0.06</v>
      </c>
      <c r="P43" s="619">
        <f>INDEX(CostProjections!$Q$9:$W$91,MATCH($C43,CostProjections!$N$9:$N$91,0),MATCH(P$15,CostProjections!$Q$8:$W$8,0))*0.001</f>
        <v>3636.5363491432054</v>
      </c>
      <c r="Q43" s="619">
        <f>INDEX(CostProjections!$Q$9:$W$91,MATCH($C43,CostProjections!$N$9:$N$91,0),MATCH(Q$15,CostProjections!$Q$8:$W$8,0))*0.001</f>
        <v>3448.5344023535054</v>
      </c>
      <c r="R43" s="619">
        <f>INDEX(CostProjections!$Q$9:$W$91,MATCH($C43,CostProjections!$N$9:$N$91,0),MATCH(R$15,CostProjections!$Q$8:$W$8,0))*0.001</f>
        <v>3260.5324555638049</v>
      </c>
      <c r="S43" s="619">
        <f>INDEX(CostProjections!$Q$9:$W$91,MATCH($C43,CostProjections!$N$9:$N$91,0),MATCH(S$15,CostProjections!$Q$8:$W$8,0))*0.001</f>
        <v>3282.7043221061126</v>
      </c>
      <c r="T43" s="619">
        <f>INDEX(CostProjections!$Q$9:$W$91,MATCH($C43,CostProjections!$N$9:$N$91,0),MATCH(T$15,CostProjections!$Q$8:$W$8,0))*0.001</f>
        <v>3304.8761886484212</v>
      </c>
      <c r="U43" s="619">
        <f>INDEX(CostProjections!$Q$9:$W$91,MATCH($C43,CostProjections!$N$9:$N$91,0),MATCH(U$15,CostProjections!$Q$8:$W$8,0))*0.001</f>
        <v>3346.9603416326208</v>
      </c>
      <c r="V43" s="619">
        <f>INDEX(CostProjections!$Z$9:$AF$91,MATCH($C43,CostProjections!$N$9:$N$91,0),MATCH(V$15,CostProjections!$Z$8:$AF$8,0))*0.001</f>
        <v>73.639861070149919</v>
      </c>
      <c r="W43" s="619">
        <f>INDEX(CostProjections!$Z$9:$AF$91,MATCH($C43,CostProjections!$N$9:$N$91,0),MATCH(W$15,CostProjections!$Z$8:$AF$8,0))*0.001</f>
        <v>66.025782225167049</v>
      </c>
      <c r="X43" s="619">
        <f>INDEX(CostProjections!$Z$9:$AF$91,MATCH($C43,CostProjections!$N$9:$N$91,0),MATCH(X$15,CostProjections!$Z$8:$AF$8,0))*0.001</f>
        <v>66.923742820130528</v>
      </c>
      <c r="Y43" s="619">
        <f>INDEX(CostProjections!$Z$9:$AF$91,MATCH($C43,CostProjections!$N$9:$N$91,0),MATCH(Y$15,CostProjections!$Z$8:$AF$8,0))*0.001</f>
        <v>67.775946918060583</v>
      </c>
      <c r="Z43" s="689">
        <f>Z42</f>
        <v>20</v>
      </c>
      <c r="AA43" s="689">
        <f t="shared" si="3"/>
        <v>20</v>
      </c>
      <c r="AB43" s="689">
        <v>2025</v>
      </c>
      <c r="AC43" s="1">
        <f t="shared" ca="1" si="4"/>
        <v>26</v>
      </c>
      <c r="AD43" s="1">
        <v>1</v>
      </c>
    </row>
    <row r="44" spans="1:30" x14ac:dyDescent="0.2">
      <c r="A44" s="1" t="str">
        <f t="shared" si="5"/>
        <v/>
      </c>
      <c r="B44" s="190" t="s">
        <v>1124</v>
      </c>
      <c r="C44" s="190"/>
      <c r="D44" s="611"/>
      <c r="E44" s="611"/>
      <c r="F44" s="692" t="str">
        <f t="array" ref="F44">IFERROR(INDEX(Analytica!$F$59:$AY$138,MATCH($C44,Analytica!$B$59:$B$168,0),MATCH(F$15&amp;F$10,Analytica!$F$58:$AY$58&amp;Analytica!$F$51:'Analytica'!$AY$51,0)),"")</f>
        <v/>
      </c>
      <c r="G44" s="692" t="str">
        <f t="array" ref="G44">IFERROR(INDEX(Analytica!$F$59:$AY$138,MATCH($C44,Analytica!$B$59:$B$168,0),MATCH(G$15&amp;G$10,Analytica!$F$58:$AY$58&amp;Analytica!$F$51:'Analytica'!$AY$51,0)),"")</f>
        <v/>
      </c>
      <c r="H44" s="692" t="str">
        <f t="array" ref="H44">IFERROR(INDEX(Analytica!$F$59:$AY$138,MATCH($C44,Analytica!$B$59:$B$168,0),MATCH(H$15&amp;H$10,Analytica!$F$58:$AY$58&amp;Analytica!$F$51:'Analytica'!$AY$51,0)),"")</f>
        <v/>
      </c>
      <c r="I44" s="692"/>
      <c r="J44" s="1001"/>
      <c r="K44" s="1001"/>
      <c r="L44" s="1001"/>
      <c r="M44" s="1001"/>
      <c r="N44" s="1001"/>
      <c r="O44" s="692"/>
      <c r="P44" s="619"/>
      <c r="Q44" s="619" t="str">
        <f t="array" ref="Q44">IFERROR(INDEX(Analytica!$F$59:$AY$138,MATCH($C44,Analytica!$B$59:$B$168,0),MATCH(Q$15&amp;Q$10,Analytica!$F$58:$AY$58&amp;Analytica!$F$51:'Analytica'!$AY$51,0)),"")</f>
        <v/>
      </c>
      <c r="R44" s="619" t="str">
        <f t="array" ref="R44">IFERROR(INDEX(Analytica!$F$59:$AY$138,MATCH($C44,Analytica!$B$59:$B$168,0),MATCH(R$15&amp;R$10,Analytica!$F$58:$AY$58&amp;Analytica!$F$51:'Analytica'!$AY$51,0)),"")</f>
        <v/>
      </c>
      <c r="S44" s="619" t="str">
        <f t="array" ref="S44">IFERROR(INDEX(Analytica!$F$59:$AY$138,MATCH($C44,Analytica!$B$59:$B$168,0),MATCH(S$15&amp;S$10,Analytica!$F$58:$AY$58&amp;Analytica!$F$51:'Analytica'!$AY$51,0)),"")</f>
        <v/>
      </c>
      <c r="T44" s="619" t="str">
        <f t="array" ref="T44">IFERROR(INDEX(Analytica!$F$59:$AY$138,MATCH($C44,Analytica!$B$59:$B$168,0),MATCH(T$15&amp;T$10,Analytica!$F$58:$AY$58&amp;Analytica!$F$51:'Analytica'!$AY$51,0)),"")</f>
        <v/>
      </c>
      <c r="U44" s="619" t="str">
        <f t="array" ref="U44">IFERROR(INDEX(Analytica!$F$59:$AY$138,MATCH($C44,Analytica!$B$59:$B$168,0),MATCH(U$15&amp;U$10,Analytica!$F$58:$AY$58&amp;Analytica!$F$51:'Analytica'!$AY$51,0)),"")</f>
        <v/>
      </c>
      <c r="V44" s="619" t="str">
        <f t="array" ref="V44">IFERROR(INDEX(Analytica!$F$59:$AY$138,MATCH($C44,Analytica!$B$59:$B$168,0),MATCH(V$15&amp;V$10,Analytica!$F$58:$AY$58&amp;Analytica!$F$51:'Analytica'!$AY$51,0)),"")</f>
        <v/>
      </c>
      <c r="W44" s="619" t="str">
        <f t="array" ref="W44">IFERROR(INDEX(Analytica!$F$59:$AY$138,MATCH($C44,Analytica!$B$59:$B$168,0),MATCH(W$15&amp;W$10,Analytica!$F$58:$AY$58&amp;Analytica!$F$51:'Analytica'!$AY$51,0)),"")</f>
        <v/>
      </c>
      <c r="X44" s="619" t="str">
        <f t="array" ref="X44">IFERROR(INDEX(Analytica!$F$59:$AY$138,MATCH($C44,Analytica!$B$59:$B$168,0),MATCH(X$15&amp;X$10,Analytica!$F$58:$AY$58&amp;Analytica!$F$51:'Analytica'!$AY$51,0)),"")</f>
        <v/>
      </c>
      <c r="Y44" s="619" t="str">
        <f t="array" ref="Y44">IFERROR(INDEX(Analytica!$F$59:$AY$138,MATCH($C44,Analytica!$B$59:$B$168,0),MATCH(Y$15&amp;Y$10,Analytica!$F$58:$AY$58&amp;Analytica!$F$51:'Analytica'!$AY$51,0)),"")</f>
        <v/>
      </c>
      <c r="Z44" s="689"/>
      <c r="AA44" s="689">
        <f t="shared" si="3"/>
        <v>0</v>
      </c>
      <c r="AB44" s="689">
        <f t="shared" ref="AB44:AB46" si="8">IF(AD44,base.year+$AB$12,base.year+$AB$10)</f>
        <v>2018</v>
      </c>
      <c r="AC44" s="1">
        <f t="shared" ca="1" si="4"/>
        <v>27</v>
      </c>
    </row>
    <row r="45" spans="1:30" x14ac:dyDescent="0.2">
      <c r="A45" s="1" t="str">
        <f t="shared" si="5"/>
        <v/>
      </c>
      <c r="B45" s="190" t="str">
        <f>ITEMS_nTech!C36</f>
        <v>Transport Passenger Minibus Oil Diesel-N</v>
      </c>
      <c r="C45" s="190" t="str">
        <f>E45&amp;RIGHT(D45,3)&amp;"-N"</f>
        <v>TPPUMBTODS-N</v>
      </c>
      <c r="D45" s="611" t="str">
        <f>$E$6</f>
        <v>TRAODS</v>
      </c>
      <c r="E45" s="611" t="str">
        <f>TRP!$B$25</f>
        <v>TPPUMBT</v>
      </c>
      <c r="F45" s="692">
        <f t="array" ref="F45">IFERROR(INDEX(Analytica!$F$59:$AY$138,MATCH($C45,Analytica!$B$59:$B$168,0),MATCH(F$15&amp;F$10,Analytica!$F$58:$AY$58&amp;Analytica!$F$51:'Analytica'!$AY$51,0)),"")</f>
        <v>0.24052686742503102</v>
      </c>
      <c r="G45" s="692">
        <f t="array" ref="G45">IFERROR(INDEX(Analytica!$F$59:$AY$138,MATCH($C45,Analytica!$B$59:$B$168,0),MATCH(G$15&amp;G$10,Analytica!$F$58:$AY$58&amp;Analytica!$F$51:'Analytica'!$AY$51,0)),"")</f>
        <v>0.25933339216798273</v>
      </c>
      <c r="H45" s="692">
        <f t="array" ref="H45">IFERROR(INDEX(Analytica!$F$59:$AY$138,MATCH($C45,Analytica!$B$59:$B$168,0),MATCH(H$15&amp;H$10,Analytica!$F$58:$AY$58&amp;Analytica!$F$51:'Analytica'!$AY$51,0)),"")</f>
        <v>0.28675202586855569</v>
      </c>
      <c r="I45" s="692">
        <f t="array" ref="I45">IFERROR(INDEX(Analytica!$F$59:$AY$138,MATCH($C45,Analytica!$B$59:$B$168,0),MATCH(I$15&amp;I$10,Analytica!$F$58:$AY$58&amp;Analytica!$F$51:'Analytica'!$AY$51,0)),"")</f>
        <v>0.31706955919682966</v>
      </c>
      <c r="J45" s="1001">
        <v>1</v>
      </c>
      <c r="K45" s="1001">
        <v>1</v>
      </c>
      <c r="L45" s="1001">
        <v>1</v>
      </c>
      <c r="M45" s="1001">
        <v>1</v>
      </c>
      <c r="N45" s="1001">
        <v>1</v>
      </c>
      <c r="O45" s="692">
        <f t="array" ref="O45">IFERROR(INDEX(Analytica!$F$59:$AY$138,MATCH($C45,Analytica!$B$59:$B$168,0),MATCH(O$15&amp;O$10,Analytica!$F$58:$AY$58&amp;Analytica!$F$51:'Analytica'!$AY$51,0)),"")</f>
        <v>3.4999999999999996E-2</v>
      </c>
      <c r="P45" s="619">
        <f>INDEX(CostProjections!$Q$9:$W$91,MATCH($C45,CostProjections!$N$9:$N$91,0),MATCH(P$15,CostProjections!$Q$8:$W$8,0))*0.001</f>
        <v>440.55264716666665</v>
      </c>
      <c r="Q45" s="619">
        <f>INDEX(CostProjections!$Q$9:$W$91,MATCH($C45,CostProjections!$N$9:$N$91,0),MATCH(Q$15,CostProjections!$Q$8:$W$8,0))*0.001</f>
        <v>451.65694279166661</v>
      </c>
      <c r="R45" s="619">
        <f>INDEX(CostProjections!$Q$9:$W$91,MATCH($C45,CostProjections!$N$9:$N$91,0),MATCH(R$15,CostProjections!$Q$8:$W$8,0))*0.001</f>
        <v>462.76123841666663</v>
      </c>
      <c r="S45" s="619">
        <f>INDEX(CostProjections!$Q$9:$W$91,MATCH($C45,CostProjections!$N$9:$N$91,0),MATCH(S$15,CostProjections!$Q$8:$W$8,0))*0.001</f>
        <v>473.86553404166665</v>
      </c>
      <c r="T45" s="619">
        <f>INDEX(CostProjections!$Q$9:$W$91,MATCH($C45,CostProjections!$N$9:$N$91,0),MATCH(T$15,CostProjections!$Q$8:$W$8,0))*0.001</f>
        <v>484.96982966666661</v>
      </c>
      <c r="U45" s="619">
        <f>INDEX(CostProjections!$Q$9:$W$91,MATCH($C45,CostProjections!$N$9:$N$91,0),MATCH(U$15,CostProjections!$Q$8:$W$8,0))*0.001</f>
        <v>507.17842091666665</v>
      </c>
      <c r="V45" s="619">
        <f>INDEX(CostProjections!$Z$9:$AF$91,MATCH($C45,CostProjections!$N$9:$N$91,0),MATCH(V$15,CostProjections!$Z$8:$AF$8,0))*0.001</f>
        <v>8.1836405046439626</v>
      </c>
      <c r="W45" s="619">
        <f>INDEX(CostProjections!$Z$9:$AF$91,MATCH($C45,CostProjections!$N$9:$N$91,0),MATCH(W$15,CostProjections!$Z$8:$AF$8,0))*0.001</f>
        <v>8.5961839953560357</v>
      </c>
      <c r="X45" s="619">
        <f>INDEX(CostProjections!$Z$9:$AF$91,MATCH($C45,CostProjections!$N$9:$N$91,0),MATCH(X$15,CostProjections!$Z$8:$AF$8,0))*0.001</f>
        <v>9.0087274860681106</v>
      </c>
      <c r="Y45" s="619">
        <f>INDEX(CostProjections!$Z$9:$AF$91,MATCH($C45,CostProjections!$N$9:$N$91,0),MATCH(Y$15,CostProjections!$Z$8:$AF$8,0))*0.001</f>
        <v>9.4212709767801854</v>
      </c>
      <c r="Z45" s="689">
        <f>Z43</f>
        <v>20</v>
      </c>
      <c r="AA45" s="689">
        <f t="shared" si="3"/>
        <v>20</v>
      </c>
      <c r="AB45" s="689">
        <f t="shared" si="8"/>
        <v>2018</v>
      </c>
      <c r="AC45" s="1">
        <f t="shared" ca="1" si="4"/>
        <v>28</v>
      </c>
    </row>
    <row r="46" spans="1:30" x14ac:dyDescent="0.2">
      <c r="A46" s="1" t="str">
        <f t="shared" si="5"/>
        <v/>
      </c>
      <c r="B46" s="190" t="str">
        <f>ITEMS_nTech!C37</f>
        <v>Transport Passenger Minibus Oil Gasoline-N</v>
      </c>
      <c r="C46" s="190" t="str">
        <f>E46&amp;RIGHT(D46,3)&amp;"-N"</f>
        <v>TPPUMBTOGS-N</v>
      </c>
      <c r="D46" s="611" t="str">
        <f>$H$6</f>
        <v>TRAOGS</v>
      </c>
      <c r="E46" s="611" t="str">
        <f>TRP!$B$25</f>
        <v>TPPUMBT</v>
      </c>
      <c r="F46" s="692">
        <f t="array" ref="F46">IFERROR(INDEX(Analytica!$F$59:$AY$138,MATCH($C46,Analytica!$B$59:$B$168,0),MATCH(F$15&amp;F$10,Analytica!$F$58:$AY$58&amp;Analytica!$F$51:'Analytica'!$AY$51,0)),"")</f>
        <v>0.2038025244447535</v>
      </c>
      <c r="G46" s="692">
        <f t="array" ref="G46">IFERROR(INDEX(Analytica!$F$59:$AY$138,MATCH($C46,Analytica!$B$59:$B$168,0),MATCH(G$15&amp;G$10,Analytica!$F$58:$AY$58&amp;Analytica!$F$51:'Analytica'!$AY$51,0)),"")</f>
        <v>0.21973761419035504</v>
      </c>
      <c r="H46" s="692">
        <f t="array" ref="H46">IFERROR(INDEX(Analytica!$F$59:$AY$138,MATCH($C46,Analytica!$B$59:$B$168,0),MATCH(H$15&amp;H$10,Analytica!$F$58:$AY$58&amp;Analytica!$F$51:'Analytica'!$AY$51,0)),"")</f>
        <v>0.24296989100344107</v>
      </c>
      <c r="I46" s="692">
        <f t="array" ref="I46">IFERROR(INDEX(Analytica!$F$59:$AY$138,MATCH($C46,Analytica!$B$59:$B$168,0),MATCH(I$15&amp;I$10,Analytica!$F$58:$AY$58&amp;Analytica!$F$51:'Analytica'!$AY$51,0)),"")</f>
        <v>0.26865845500208052</v>
      </c>
      <c r="J46" s="1001">
        <v>1</v>
      </c>
      <c r="K46" s="1001">
        <v>1</v>
      </c>
      <c r="L46" s="1001">
        <v>1</v>
      </c>
      <c r="M46" s="1001">
        <v>1</v>
      </c>
      <c r="N46" s="1001">
        <v>1</v>
      </c>
      <c r="O46" s="692">
        <f t="array" ref="O46">IFERROR(INDEX(Analytica!$F$59:$AY$138,MATCH($C46,Analytica!$B$59:$B$168,0),MATCH(O$15&amp;O$10,Analytica!$F$58:$AY$58&amp;Analytica!$F$51:'Analytica'!$AY$51,0)),"")</f>
        <v>3.4999999999999996E-2</v>
      </c>
      <c r="P46" s="619">
        <f>INDEX(CostProjections!$Q$9:$W$91,MATCH($C46,CostProjections!$N$9:$N$91,0),MATCH(P$15,CostProjections!$Q$8:$W$8,0))*0.001</f>
        <v>419.49561249999994</v>
      </c>
      <c r="Q46" s="619">
        <f>INDEX(CostProjections!$Q$9:$W$91,MATCH($C46,CostProjections!$N$9:$N$91,0),MATCH(Q$15,CostProjections!$Q$8:$W$8,0))*0.001</f>
        <v>423.60831458333325</v>
      </c>
      <c r="R46" s="619">
        <f>INDEX(CostProjections!$Q$9:$W$91,MATCH($C46,CostProjections!$N$9:$N$91,0),MATCH(R$15,CostProjections!$Q$8:$W$8,0))*0.001</f>
        <v>427.72101666666663</v>
      </c>
      <c r="S46" s="619">
        <f>INDEX(CostProjections!$Q$9:$W$91,MATCH($C46,CostProjections!$N$9:$N$91,0),MATCH(S$15,CostProjections!$Q$8:$W$8,0))*0.001</f>
        <v>431.83371874999995</v>
      </c>
      <c r="T46" s="619">
        <f>INDEX(CostProjections!$Q$9:$W$91,MATCH($C46,CostProjections!$N$9:$N$91,0),MATCH(T$15,CostProjections!$Q$8:$W$8,0))*0.001</f>
        <v>435.94642083333326</v>
      </c>
      <c r="U46" s="619">
        <f>INDEX(CostProjections!$Q$9:$W$91,MATCH($C46,CostProjections!$N$9:$N$91,0),MATCH(U$15,CostProjections!$Q$8:$W$8,0))*0.001</f>
        <v>444.17182499999996</v>
      </c>
      <c r="V46" s="619">
        <f>INDEX(CostProjections!$Z$9:$AF$91,MATCH($C46,CostProjections!$N$9:$N$91,0),MATCH(V$15,CostProjections!$Z$8:$AF$8,0))*0.001</f>
        <v>7.4115832597173137</v>
      </c>
      <c r="W46" s="619">
        <f>INDEX(CostProjections!$Z$9:$AF$91,MATCH($C46,CostProjections!$N$9:$N$91,0),MATCH(W$15,CostProjections!$Z$8:$AF$8,0))*0.001</f>
        <v>7.5569084216725555</v>
      </c>
      <c r="X46" s="619">
        <f>INDEX(CostProjections!$Z$9:$AF$91,MATCH($C46,CostProjections!$N$9:$N$91,0),MATCH(X$15,CostProjections!$Z$8:$AF$8,0))*0.001</f>
        <v>7.7022335836277973</v>
      </c>
      <c r="Y46" s="619">
        <f>INDEX(CostProjections!$Z$9:$AF$91,MATCH($C46,CostProjections!$N$9:$N$91,0),MATCH(Y$15,CostProjections!$Z$8:$AF$8,0))*0.001</f>
        <v>7.8475587455830382</v>
      </c>
      <c r="Z46" s="689">
        <f t="shared" ref="Z46:Z51" si="9">Z45</f>
        <v>20</v>
      </c>
      <c r="AA46" s="689">
        <f t="shared" si="3"/>
        <v>20</v>
      </c>
      <c r="AB46" s="689">
        <f t="shared" si="8"/>
        <v>2018</v>
      </c>
      <c r="AC46" s="1">
        <f t="shared" ca="1" si="4"/>
        <v>29</v>
      </c>
    </row>
    <row r="47" spans="1:30" x14ac:dyDescent="0.2">
      <c r="A47" s="1" t="str">
        <f t="shared" si="5"/>
        <v>*</v>
      </c>
      <c r="B47" s="190" t="str">
        <f>ITEMS_nTech!C38</f>
        <v>Transport Passenger Minibus Oil Diesel Hybrid-N</v>
      </c>
      <c r="C47" s="190" t="str">
        <f>E47&amp;RIGHT(D47,3)&amp;"H-N"</f>
        <v>TPPUMBTODSH-N</v>
      </c>
      <c r="D47" s="611" t="str">
        <f>$E$6</f>
        <v>TRAODS</v>
      </c>
      <c r="E47" s="611" t="str">
        <f>TRP!$B$25</f>
        <v>TPPUMBT</v>
      </c>
      <c r="F47" s="692">
        <f t="array" ref="F47">IFERROR(INDEX(Analytica!$F$59:$AY$138,MATCH($C47,Analytica!$B$59:$B$168,0),MATCH(F$15&amp;F$10,Analytica!$F$58:$AY$58&amp;Analytica!$F$51:'Analytica'!$AY$51,0)),"")</f>
        <v>0.24052686742503102</v>
      </c>
      <c r="G47" s="692">
        <f t="array" ref="G47">IFERROR(INDEX(Analytica!$F$59:$AY$138,MATCH($C47,Analytica!$B$59:$B$168,0),MATCH(G$15&amp;G$10,Analytica!$F$58:$AY$58&amp;Analytica!$F$51:'Analytica'!$AY$51,0)),"")</f>
        <v>0.25933339216798273</v>
      </c>
      <c r="H47" s="692">
        <f t="array" ref="H47">IFERROR(INDEX(Analytica!$F$59:$AY$138,MATCH($C47,Analytica!$B$59:$B$168,0),MATCH(H$15&amp;H$10,Analytica!$F$58:$AY$58&amp;Analytica!$F$51:'Analytica'!$AY$51,0)),"")</f>
        <v>0.28675202586855569</v>
      </c>
      <c r="I47" s="692">
        <f t="array" ref="I47">IFERROR(INDEX(Analytica!$F$59:$AY$138,MATCH($C47,Analytica!$B$59:$B$168,0),MATCH(I$15&amp;I$10,Analytica!$F$58:$AY$58&amp;Analytica!$F$51:'Analytica'!$AY$51,0)),"")</f>
        <v>0.31706955919682966</v>
      </c>
      <c r="J47" s="1001">
        <v>1</v>
      </c>
      <c r="K47" s="1001">
        <v>1</v>
      </c>
      <c r="L47" s="1001">
        <v>1</v>
      </c>
      <c r="M47" s="1001">
        <v>1</v>
      </c>
      <c r="N47" s="1001">
        <v>1</v>
      </c>
      <c r="O47" s="692">
        <f t="array" ref="O47">IFERROR(INDEX(Analytica!$F$59:$AY$138,MATCH($C47,Analytica!$B$59:$B$168,0),MATCH(O$15&amp;O$10,Analytica!$F$58:$AY$58&amp;Analytica!$F$51:'Analytica'!$AY$51,0)),"")</f>
        <v>3.4999999999999996E-2</v>
      </c>
      <c r="P47" s="619">
        <f>INDEX(CostProjections!$Q$9:$W$91,MATCH($C47,CostProjections!$N$9:$N$91,0),MATCH(P$15,CostProjections!$Q$8:$W$8,0))*0.001</f>
        <v>561.02406464457817</v>
      </c>
      <c r="Q47" s="619">
        <f>INDEX(CostProjections!$Q$9:$W$91,MATCH($C47,CostProjections!$N$9:$N$91,0),MATCH(Q$15,CostProjections!$Q$8:$W$8,0))*0.001</f>
        <v>517.42984817664717</v>
      </c>
      <c r="R47" s="619">
        <f>INDEX(CostProjections!$Q$9:$W$91,MATCH($C47,CostProjections!$N$9:$N$91,0),MATCH(R$15,CostProjections!$Q$8:$W$8,0))*0.001</f>
        <v>487.37251476795632</v>
      </c>
      <c r="S47" s="619">
        <f>INDEX(CostProjections!$Q$9:$W$91,MATCH($C47,CostProjections!$N$9:$N$91,0),MATCH(S$15,CostProjections!$Q$8:$W$8,0))*0.001</f>
        <v>488.12858988041552</v>
      </c>
      <c r="T47" s="619">
        <f>INDEX(CostProjections!$Q$9:$W$91,MATCH($C47,CostProjections!$N$9:$N$91,0),MATCH(T$15,CostProjections!$Q$8:$W$8,0))*0.001</f>
        <v>488.88526235594236</v>
      </c>
      <c r="U47" s="619">
        <f>INDEX(CostProjections!$Q$9:$W$91,MATCH($C47,CostProjections!$N$9:$N$91,0),MATCH(U$15,CostProjections!$Q$8:$W$8,0))*0.001</f>
        <v>490.23725458797793</v>
      </c>
      <c r="V47" s="619">
        <f>INDEX(CostProjections!$Z$9:$AF$91,MATCH($C47,CostProjections!$N$9:$N$91,0),MATCH(V$15,CostProjections!$Z$8:$AF$8,0))*0.001</f>
        <v>15.147649745403609</v>
      </c>
      <c r="W47" s="619">
        <f>INDEX(CostProjections!$Z$9:$AF$91,MATCH($C47,CostProjections!$N$9:$N$91,0),MATCH(W$15,CostProjections!$Z$8:$AF$8,0))*0.001</f>
        <v>13.159057898734821</v>
      </c>
      <c r="X47" s="619">
        <f>INDEX(CostProjections!$Z$9:$AF$91,MATCH($C47,CostProjections!$N$9:$N$91,0),MATCH(X$15,CostProjections!$Z$8:$AF$8,0))*0.001</f>
        <v>13.199902083610443</v>
      </c>
      <c r="Y47" s="619">
        <f>INDEX(CostProjections!$Z$9:$AF$91,MATCH($C47,CostProjections!$N$9:$N$91,0),MATCH(Y$15,CostProjections!$Z$8:$AF$8,0))*0.001</f>
        <v>13.236405873875404</v>
      </c>
      <c r="Z47" s="689">
        <f t="shared" si="9"/>
        <v>20</v>
      </c>
      <c r="AA47" s="689">
        <f t="shared" si="3"/>
        <v>20</v>
      </c>
      <c r="AB47" s="855">
        <v>2080</v>
      </c>
      <c r="AC47" s="1">
        <f t="shared" ca="1" si="4"/>
        <v>30</v>
      </c>
      <c r="AD47" s="1">
        <v>1</v>
      </c>
    </row>
    <row r="48" spans="1:30" x14ac:dyDescent="0.2">
      <c r="A48" s="1" t="str">
        <f t="shared" si="5"/>
        <v>*</v>
      </c>
      <c r="B48" s="190" t="str">
        <f>ITEMS_nTech!C39</f>
        <v>Transport Passenger Minibus Gas-N</v>
      </c>
      <c r="C48" s="190" t="str">
        <f>E48&amp;RIGHT(D48,3)&amp;"-N"</f>
        <v>TPPUMBTGAS-N</v>
      </c>
      <c r="D48" s="611" t="str">
        <f>$G$6</f>
        <v>TRAGAS</v>
      </c>
      <c r="E48" s="611" t="str">
        <f>TRP!$B$25</f>
        <v>TPPUMBT</v>
      </c>
      <c r="F48" s="692">
        <f t="array" ref="F48">IFERROR(INDEX(Analytica!$F$59:$AY$138,MATCH($C48,Analytica!$B$59:$B$168,0),MATCH(F$15&amp;F$10,Analytica!$F$58:$AY$58&amp;Analytica!$F$51:'Analytica'!$AY$51,0)),"")</f>
        <v>0.17369727011103256</v>
      </c>
      <c r="G48" s="692">
        <f t="array" ref="G48">IFERROR(INDEX(Analytica!$F$59:$AY$138,MATCH($C48,Analytica!$B$59:$B$168,0),MATCH(G$15&amp;G$10,Analytica!$F$58:$AY$58&amp;Analytica!$F$51:'Analytica'!$AY$51,0)),"")</f>
        <v>0.18727846394229747</v>
      </c>
      <c r="H48" s="692">
        <f t="array" ref="H48">IFERROR(INDEX(Analytica!$F$59:$AY$138,MATCH($C48,Analytica!$B$59:$B$168,0),MATCH(H$15&amp;H$10,Analytica!$F$58:$AY$58&amp;Analytica!$F$51:'Analytica'!$AY$51,0)),"")</f>
        <v>0.20707892064366076</v>
      </c>
      <c r="I48" s="692">
        <f t="array" ref="I48">IFERROR(INDEX(Analytica!$F$59:$AY$138,MATCH($C48,Analytica!$B$59:$B$168,0),MATCH(I$15&amp;I$10,Analytica!$F$58:$AY$58&amp;Analytica!$F$51:'Analytica'!$AY$51,0)),"")</f>
        <v>0.22897282726622464</v>
      </c>
      <c r="J48" s="1001">
        <v>1</v>
      </c>
      <c r="K48" s="1001">
        <v>1</v>
      </c>
      <c r="L48" s="1001">
        <v>1</v>
      </c>
      <c r="M48" s="1001">
        <v>1</v>
      </c>
      <c r="N48" s="1001">
        <v>1</v>
      </c>
      <c r="O48" s="692">
        <f t="array" ref="O48">IFERROR(INDEX(Analytica!$F$59:$AY$138,MATCH($C48,Analytica!$B$59:$B$168,0),MATCH(O$15&amp;O$10,Analytica!$F$58:$AY$58&amp;Analytica!$F$51:'Analytica'!$AY$51,0)),"")</f>
        <v>3.4999999999999996E-2</v>
      </c>
      <c r="P48" s="619">
        <f>INDEX(CostProjections!$Q$9:$W$91,MATCH($C48,CostProjections!$N$9:$N$91,0),MATCH(P$15,CostProjections!$Q$8:$W$8,0))*0.001</f>
        <v>589.47275350728512</v>
      </c>
      <c r="Q48" s="619">
        <f>INDEX(CostProjections!$Q$9:$W$91,MATCH($C48,CostProjections!$N$9:$N$91,0),MATCH(Q$15,CostProjections!$Q$8:$W$8,0))*0.001</f>
        <v>646.24575917275513</v>
      </c>
      <c r="R48" s="619">
        <f>INDEX(CostProjections!$Q$9:$W$91,MATCH($C48,CostProjections!$N$9:$N$91,0),MATCH(R$15,CostProjections!$Q$8:$W$8,0))*0.001</f>
        <v>693.66187508556527</v>
      </c>
      <c r="S48" s="619">
        <f>INDEX(CostProjections!$Q$9:$W$91,MATCH($C48,CostProjections!$N$9:$N$91,0),MATCH(S$15,CostProjections!$Q$8:$W$8,0))*0.001</f>
        <v>700.35751315390621</v>
      </c>
      <c r="T48" s="619">
        <f>INDEX(CostProjections!$Q$9:$W$91,MATCH($C48,CostProjections!$N$9:$N$91,0),MATCH(T$15,CostProjections!$Q$8:$W$8,0))*0.001</f>
        <v>707.05355800592906</v>
      </c>
      <c r="U48" s="619">
        <f>INDEX(CostProjections!$Q$9:$W$91,MATCH($C48,CostProjections!$N$9:$N$91,0),MATCH(U$15,CostProjections!$Q$8:$W$8,0))*0.001</f>
        <v>720.44686013665967</v>
      </c>
      <c r="V48" s="619">
        <f>INDEX(CostProjections!$Z$9:$AF$91,MATCH($C48,CostProjections!$N$9:$N$91,0),MATCH(V$15,CostProjections!$Z$8:$AF$8,0))*0.001</f>
        <v>15.915764344696699</v>
      </c>
      <c r="W48" s="619">
        <f>INDEX(CostProjections!$Z$9:$AF$91,MATCH($C48,CostProjections!$N$9:$N$91,0),MATCH(W$15,CostProjections!$Z$8:$AF$8,0))*0.001</f>
        <v>18.728870627310261</v>
      </c>
      <c r="X48" s="619">
        <f>INDEX(CostProjections!$Z$9:$AF$91,MATCH($C48,CostProjections!$N$9:$N$91,0),MATCH(X$15,CostProjections!$Z$8:$AF$8,0))*0.001</f>
        <v>19.090446066160084</v>
      </c>
      <c r="Y48" s="619">
        <f>INDEX(CostProjections!$Z$9:$AF$91,MATCH($C48,CostProjections!$N$9:$N$91,0),MATCH(Y$15,CostProjections!$Z$8:$AF$8,0))*0.001</f>
        <v>19.452065223689814</v>
      </c>
      <c r="Z48" s="689">
        <f t="shared" si="9"/>
        <v>20</v>
      </c>
      <c r="AA48" s="689">
        <f t="shared" si="3"/>
        <v>20</v>
      </c>
      <c r="AB48" s="855">
        <v>2080</v>
      </c>
      <c r="AC48" s="1">
        <f t="shared" ca="1" si="4"/>
        <v>31</v>
      </c>
    </row>
    <row r="49" spans="1:30" x14ac:dyDescent="0.2">
      <c r="A49" s="1" t="str">
        <f t="shared" si="5"/>
        <v/>
      </c>
      <c r="B49" s="190" t="str">
        <f>ITEMS_nTech!C40</f>
        <v>Transport Passenger Minibus Hydrogen Fuel Cell-N</v>
      </c>
      <c r="C49" s="190" t="str">
        <f>E49&amp;RIGHT(D49,3)&amp;"F-N"</f>
        <v>TPPUMBTHGNF-N</v>
      </c>
      <c r="D49" s="611" t="str">
        <f>L6</f>
        <v>TRAHGN</v>
      </c>
      <c r="E49" s="611" t="str">
        <f>TRP!$B$25</f>
        <v>TPPUMBT</v>
      </c>
      <c r="F49" s="692">
        <f t="array" ref="F49">IFERROR(INDEX(Analytica!$F$59:$AY$138,MATCH($C49,Analytica!$B$59:$B$168,0),MATCH(F$15&amp;F$10,Analytica!$F$58:$AY$58&amp;Analytica!$F$51:'Analytica'!$AY$51,0)),"")</f>
        <v>0.41362961436156093</v>
      </c>
      <c r="G49" s="692">
        <f t="array" ref="G49">IFERROR(INDEX(Analytica!$F$59:$AY$138,MATCH($C49,Analytica!$B$59:$B$168,0),MATCH(G$15&amp;G$10,Analytica!$F$58:$AY$58&amp;Analytica!$F$51:'Analytica'!$AY$51,0)),"")</f>
        <v>0.44597084783866037</v>
      </c>
      <c r="H49" s="692">
        <f t="array" ref="H49">IFERROR(INDEX(Analytica!$F$59:$AY$138,MATCH($C49,Analytica!$B$59:$B$168,0),MATCH(H$15&amp;H$10,Analytica!$F$58:$AY$58&amp;Analytica!$F$51:'Analytica'!$AY$51,0)),"")</f>
        <v>0.49312216613129889</v>
      </c>
      <c r="I49" s="692">
        <f t="array" ref="I49">IFERROR(INDEX(Analytica!$F$59:$AY$138,MATCH($C49,Analytica!$B$59:$B$168,0),MATCH(I$15&amp;I$10,Analytica!$F$58:$AY$58&amp;Analytica!$F$51:'Analytica'!$AY$51,0)),"")</f>
        <v>0.54525866860695826</v>
      </c>
      <c r="J49" s="1001">
        <v>1</v>
      </c>
      <c r="K49" s="1001">
        <v>1</v>
      </c>
      <c r="L49" s="1001">
        <v>1</v>
      </c>
      <c r="M49" s="1001">
        <v>1</v>
      </c>
      <c r="N49" s="1001">
        <v>1</v>
      </c>
      <c r="O49" s="692">
        <f t="array" ref="O49">IFERROR(INDEX(Analytica!$F$59:$AY$138,MATCH($C49,Analytica!$B$59:$B$168,0),MATCH(O$15&amp;O$10,Analytica!$F$58:$AY$58&amp;Analytica!$F$51:'Analytica'!$AY$51,0)),"")</f>
        <v>3.4999999999999996E-2</v>
      </c>
      <c r="P49" s="619">
        <f>INDEX(CostProjections!$Q$9:$W$91,MATCH($C49,CostProjections!$N$9:$N$91,0),MATCH(P$15,CostProjections!$Q$8:$W$8,0))*0.001</f>
        <v>1220.0205429054683</v>
      </c>
      <c r="Q49" s="619">
        <f>INDEX(CostProjections!$Q$9:$W$91,MATCH($C49,CostProjections!$N$9:$N$91,0),MATCH(Q$15,CostProjections!$Q$8:$W$8,0))*0.001</f>
        <v>1081.5432403056061</v>
      </c>
      <c r="R49" s="619">
        <f>INDEX(CostProjections!$Q$9:$W$91,MATCH($C49,CostProjections!$N$9:$N$91,0),MATCH(R$15,CostProjections!$Q$8:$W$8,0))*0.001</f>
        <v>943.06593770574375</v>
      </c>
      <c r="S49" s="619">
        <f>INDEX(CostProjections!$Q$9:$W$91,MATCH($C49,CostProjections!$N$9:$N$91,0),MATCH(S$15,CostProjections!$Q$8:$W$8,0))*0.001</f>
        <v>916.08061719910131</v>
      </c>
      <c r="T49" s="619">
        <f>INDEX(CostProjections!$Q$9:$W$91,MATCH($C49,CostProjections!$N$9:$N$91,0),MATCH(T$15,CostProjections!$Q$8:$W$8,0))*0.001</f>
        <v>889.09529669246081</v>
      </c>
      <c r="U49" s="619">
        <f>INDEX(CostProjections!$Q$9:$W$91,MATCH($C49,CostProjections!$N$9:$N$91,0),MATCH(U$15,CostProjections!$Q$8:$W$8,0))*0.001</f>
        <v>835.1246556791798</v>
      </c>
      <c r="V49" s="619">
        <f>INDEX(CostProjections!$Z$9:$AF$91,MATCH($C49,CostProjections!$N$9:$N$91,0),MATCH(V$15,CostProjections!$Z$8:$AF$8,0))*0.001</f>
        <v>32.940554658447638</v>
      </c>
      <c r="W49" s="619">
        <f>INDEX(CostProjections!$Z$9:$AF$91,MATCH($C49,CostProjections!$N$9:$N$91,0),MATCH(W$15,CostProjections!$Z$8:$AF$8,0))*0.001</f>
        <v>25.462780318055081</v>
      </c>
      <c r="X49" s="619">
        <f>INDEX(CostProjections!$Z$9:$AF$91,MATCH($C49,CostProjections!$N$9:$N$91,0),MATCH(X$15,CostProjections!$Z$8:$AF$8,0))*0.001</f>
        <v>24.005573010696441</v>
      </c>
      <c r="Y49" s="619">
        <f>INDEX(CostProjections!$Z$9:$AF$91,MATCH($C49,CostProjections!$N$9:$N$91,0),MATCH(Y$15,CostProjections!$Z$8:$AF$8,0))*0.001</f>
        <v>22.548365703337854</v>
      </c>
      <c r="Z49" s="689">
        <f t="shared" si="9"/>
        <v>20</v>
      </c>
      <c r="AA49" s="689">
        <f t="shared" si="3"/>
        <v>20</v>
      </c>
      <c r="AB49" s="689">
        <v>2025</v>
      </c>
      <c r="AC49" s="1">
        <f t="shared" ca="1" si="4"/>
        <v>32</v>
      </c>
      <c r="AD49" s="1">
        <v>1</v>
      </c>
    </row>
    <row r="50" spans="1:30" x14ac:dyDescent="0.2">
      <c r="A50" s="1" t="str">
        <f t="shared" si="5"/>
        <v>*</v>
      </c>
      <c r="B50" s="190" t="str">
        <f>ITEMS_nTech!C41</f>
        <v>Transport Passenger Minibus Oil Blended Gasoline-Ethanol-E85-N</v>
      </c>
      <c r="C50" s="190" t="str">
        <f>E50&amp;RIGHT(D50,3)&amp;"-N"</f>
        <v>TPPUMBTBGS-N</v>
      </c>
      <c r="D50" s="611" t="str">
        <f>$M$6</f>
        <v>TRABGS</v>
      </c>
      <c r="E50" s="611" t="str">
        <f>TRP!$B$25</f>
        <v>TPPUMBT</v>
      </c>
      <c r="F50" s="692">
        <f t="array" ref="F50">IFERROR(INDEX(Analytica!$F$59:$AY$138,MATCH($C50,Analytica!$B$59:$B$168,0),MATCH(F$15&amp;F$10,Analytica!$F$58:$AY$58&amp;Analytica!$F$51:'Analytica'!$AY$51,0)),"")</f>
        <v>0.2038025244447535</v>
      </c>
      <c r="G50" s="692">
        <f t="array" ref="G50">IFERROR(INDEX(Analytica!$F$59:$AY$138,MATCH($C50,Analytica!$B$59:$B$168,0),MATCH(G$15&amp;G$10,Analytica!$F$58:$AY$58&amp;Analytica!$F$51:'Analytica'!$AY$51,0)),"")</f>
        <v>0.21973761419035504</v>
      </c>
      <c r="H50" s="692">
        <f t="array" ref="H50">IFERROR(INDEX(Analytica!$F$59:$AY$138,MATCH($C50,Analytica!$B$59:$B$168,0),MATCH(H$15&amp;H$10,Analytica!$F$58:$AY$58&amp;Analytica!$F$51:'Analytica'!$AY$51,0)),"")</f>
        <v>0.24296989100344107</v>
      </c>
      <c r="I50" s="692">
        <f t="array" ref="I50">IFERROR(INDEX(Analytica!$F$59:$AY$138,MATCH($C50,Analytica!$B$59:$B$168,0),MATCH(I$15&amp;I$10,Analytica!$F$58:$AY$58&amp;Analytica!$F$51:'Analytica'!$AY$51,0)),"")</f>
        <v>0.26865845500208052</v>
      </c>
      <c r="J50" s="1001">
        <v>1</v>
      </c>
      <c r="K50" s="1001">
        <v>1</v>
      </c>
      <c r="L50" s="1001">
        <v>1</v>
      </c>
      <c r="M50" s="1001">
        <v>1</v>
      </c>
      <c r="N50" s="1001">
        <v>1</v>
      </c>
      <c r="O50" s="692">
        <f t="array" ref="O50">IFERROR(INDEX(Analytica!$F$59:$AY$138,MATCH($C50,Analytica!$B$59:$B$168,0),MATCH(O$15&amp;O$10,Analytica!$F$58:$AY$58&amp;Analytica!$F$51:'Analytica'!$AY$51,0)),"")</f>
        <v>3.4999999999999996E-2</v>
      </c>
      <c r="P50" s="619">
        <f>INDEX(CostProjections!$Q$9:$W$91,MATCH($C50,CostProjections!$N$9:$N$91,0),MATCH(P$15,CostProjections!$Q$8:$W$8,0))*0.001</f>
        <v>419.49561249999994</v>
      </c>
      <c r="Q50" s="619">
        <f>INDEX(CostProjections!$Q$9:$W$91,MATCH($C50,CostProjections!$N$9:$N$91,0),MATCH(Q$15,CostProjections!$Q$8:$W$8,0))*0.001</f>
        <v>423.60831458333325</v>
      </c>
      <c r="R50" s="619">
        <f>INDEX(CostProjections!$Q$9:$W$91,MATCH($C50,CostProjections!$N$9:$N$91,0),MATCH(R$15,CostProjections!$Q$8:$W$8,0))*0.001</f>
        <v>427.72101666666663</v>
      </c>
      <c r="S50" s="619">
        <f>INDEX(CostProjections!$Q$9:$W$91,MATCH($C50,CostProjections!$N$9:$N$91,0),MATCH(S$15,CostProjections!$Q$8:$W$8,0))*0.001</f>
        <v>431.83371874999995</v>
      </c>
      <c r="T50" s="619">
        <f>INDEX(CostProjections!$Q$9:$W$91,MATCH($C50,CostProjections!$N$9:$N$91,0),MATCH(T$15,CostProjections!$Q$8:$W$8,0))*0.001</f>
        <v>435.94642083333326</v>
      </c>
      <c r="U50" s="619">
        <f>INDEX(CostProjections!$Q$9:$W$91,MATCH($C50,CostProjections!$N$9:$N$91,0),MATCH(U$15,CostProjections!$Q$8:$W$8,0))*0.001</f>
        <v>444.17182499999996</v>
      </c>
      <c r="V50" s="619">
        <f>INDEX(CostProjections!$Z$9:$AF$91,MATCH($C50,CostProjections!$N$9:$N$91,0),MATCH(V$15,CostProjections!$Z$8:$AF$8,0))*0.001</f>
        <v>11.326381537499998</v>
      </c>
      <c r="W50" s="619">
        <f>INDEX(CostProjections!$Z$9:$AF$91,MATCH($C50,CostProjections!$N$9:$N$91,0),MATCH(W$15,CostProjections!$Z$8:$AF$8,0))*0.001</f>
        <v>11.548467449999999</v>
      </c>
      <c r="X50" s="619">
        <f>INDEX(CostProjections!$Z$9:$AF$91,MATCH($C50,CostProjections!$N$9:$N$91,0),MATCH(X$15,CostProjections!$Z$8:$AF$8,0))*0.001</f>
        <v>11.770553362499999</v>
      </c>
      <c r="Y50" s="619">
        <f>INDEX(CostProjections!$Z$9:$AF$91,MATCH($C50,CostProjections!$N$9:$N$91,0),MATCH(Y$15,CostProjections!$Z$8:$AF$8,0))*0.001</f>
        <v>11.992639274999998</v>
      </c>
      <c r="Z50" s="689">
        <f t="shared" si="9"/>
        <v>20</v>
      </c>
      <c r="AA50" s="689">
        <f t="shared" ref="AA50:AA81" si="10">Z50</f>
        <v>20</v>
      </c>
      <c r="AB50" s="855">
        <v>2080</v>
      </c>
      <c r="AC50" s="1">
        <f t="shared" ref="AC50:AC81" ca="1" si="11">OFFSET(AC50,-1,0)+1</f>
        <v>33</v>
      </c>
      <c r="AD50" s="1">
        <v>1</v>
      </c>
    </row>
    <row r="51" spans="1:30" x14ac:dyDescent="0.2">
      <c r="A51" s="1" t="str">
        <f t="shared" si="5"/>
        <v/>
      </c>
      <c r="B51" s="190" t="str">
        <f>ITEMS_nTech!C42</f>
        <v>Transport Passenger Minibus Electricity-N</v>
      </c>
      <c r="C51" s="190" t="str">
        <f>E51&amp;RIGHT(D51,3)&amp;"-N"</f>
        <v>TPPUMBTELC-N</v>
      </c>
      <c r="D51" s="611" t="s">
        <v>1131</v>
      </c>
      <c r="E51" s="611" t="str">
        <f>TRP!$B$25</f>
        <v>TPPUMBT</v>
      </c>
      <c r="F51" s="692">
        <f t="array" ref="F51">IFERROR(INDEX(Analytica!$F$59:$AY$138,MATCH($C51,Analytica!$B$59:$B$168,0),MATCH(F$15&amp;F$10,Analytica!$F$58:$AY$58&amp;Analytica!$F$51:'Analytica'!$AY$51,0)),"")</f>
        <v>0.81441953153919366</v>
      </c>
      <c r="G51" s="692">
        <f t="array" ref="G51">IFERROR(INDEX(Analytica!$F$59:$AY$138,MATCH($C51,Analytica!$B$59:$B$168,0),MATCH(G$15&amp;G$10,Analytica!$F$58:$AY$58&amp;Analytica!$F$51:'Analytica'!$AY$51,0)),"")</f>
        <v>0.87809807703810294</v>
      </c>
      <c r="H51" s="692">
        <f t="array" ref="H51">IFERROR(INDEX(Analytica!$F$59:$AY$138,MATCH($C51,Analytica!$B$59:$B$168,0),MATCH(H$15&amp;H$10,Analytica!$F$58:$AY$58&amp;Analytica!$F$51:'Analytica'!$AY$51,0)),"")</f>
        <v>0.9709370644365708</v>
      </c>
      <c r="I51" s="692">
        <f t="array" ref="I51">IFERROR(INDEX(Analytica!$F$59:$AY$138,MATCH($C51,Analytica!$B$59:$B$168,0),MATCH(I$15&amp;I$10,Analytica!$F$58:$AY$58&amp;Analytica!$F$51:'Analytica'!$AY$51,0)),"")</f>
        <v>1.07359167244344</v>
      </c>
      <c r="J51" s="1001">
        <v>1</v>
      </c>
      <c r="K51" s="1001">
        <v>1</v>
      </c>
      <c r="L51" s="1001">
        <v>1</v>
      </c>
      <c r="M51" s="1001">
        <v>1</v>
      </c>
      <c r="N51" s="1001">
        <v>1</v>
      </c>
      <c r="O51" s="692">
        <f t="array" ref="O51">IFERROR(INDEX(Analytica!$F$59:$AY$138,MATCH($C51,Analytica!$B$59:$B$168,0),MATCH(O$15&amp;O$10,Analytica!$F$58:$AY$58&amp;Analytica!$F$51:'Analytica'!$AY$51,0)),"")</f>
        <v>3.4999999999999996E-2</v>
      </c>
      <c r="P51" s="619">
        <f>INDEX(CostProjections!$Q$9:$W$91,MATCH($C51,CostProjections!$N$9:$N$91,0),MATCH(P$15,CostProjections!$Q$8:$W$8,0))*0.001</f>
        <v>706.58024818406909</v>
      </c>
      <c r="Q51" s="619">
        <f>INDEX(CostProjections!$Q$9:$W$91,MATCH($C51,CostProjections!$N$9:$N$91,0),MATCH(Q$15,CostProjections!$Q$8:$W$8,0))*0.001</f>
        <v>626.38051105025556</v>
      </c>
      <c r="R51" s="619">
        <f>INDEX(CostProjections!$Q$9:$W$91,MATCH($C51,CostProjections!$N$9:$N$91,0),MATCH(R$15,CostProjections!$Q$8:$W$8,0))*0.001</f>
        <v>546.18077391644181</v>
      </c>
      <c r="S51" s="619">
        <f>INDEX(CostProjections!$Q$9:$W$91,MATCH($C51,CostProjections!$N$9:$N$91,0),MATCH(S$15,CostProjections!$Q$8:$W$8,0))*0.001</f>
        <v>530.55210719292802</v>
      </c>
      <c r="T51" s="619">
        <f>INDEX(CostProjections!$Q$9:$W$91,MATCH($C51,CostProjections!$N$9:$N$91,0),MATCH(T$15,CostProjections!$Q$8:$W$8,0))*0.001</f>
        <v>514.92344046941514</v>
      </c>
      <c r="U51" s="619">
        <f>INDEX(CostProjections!$Q$9:$W$91,MATCH($C51,CostProjections!$N$9:$N$91,0),MATCH(U$15,CostProjections!$Q$8:$W$8,0))*0.001</f>
        <v>483.66610702238967</v>
      </c>
      <c r="V51" s="619">
        <f>INDEX(CostProjections!$Z$9:$AF$91,MATCH($C51,CostProjections!$N$9:$N$91,0),MATCH(V$15,CostProjections!$Z$8:$AF$8,0))*0.001</f>
        <v>13.18246731686696</v>
      </c>
      <c r="W51" s="619">
        <f>INDEX(CostProjections!$Z$9:$AF$91,MATCH($C51,CostProjections!$N$9:$N$91,0),MATCH(W$15,CostProjections!$Z$8:$AF$8,0))*0.001</f>
        <v>10.189939811873915</v>
      </c>
      <c r="X51" s="619">
        <f>INDEX(CostProjections!$Z$9:$AF$91,MATCH($C51,CostProjections!$N$9:$N$91,0),MATCH(X$15,CostProjections!$Z$8:$AF$8,0))*0.001</f>
        <v>9.6067806057726699</v>
      </c>
      <c r="Y51" s="619">
        <f>INDEX(CostProjections!$Z$9:$AF$91,MATCH($C51,CostProjections!$N$9:$N$91,0),MATCH(Y$15,CostProjections!$Z$8:$AF$8,0))*0.001</f>
        <v>9.0236213996714483</v>
      </c>
      <c r="Z51" s="689">
        <f t="shared" si="9"/>
        <v>20</v>
      </c>
      <c r="AA51" s="689">
        <f t="shared" si="10"/>
        <v>20</v>
      </c>
      <c r="AB51" s="689">
        <v>2025</v>
      </c>
      <c r="AC51" s="1">
        <f t="shared" ca="1" si="11"/>
        <v>34</v>
      </c>
      <c r="AD51" s="1">
        <v>1</v>
      </c>
    </row>
    <row r="52" spans="1:30" x14ac:dyDescent="0.2">
      <c r="A52" s="1" t="str">
        <f t="shared" si="5"/>
        <v/>
      </c>
      <c r="B52" s="190" t="s">
        <v>1124</v>
      </c>
      <c r="C52" s="190"/>
      <c r="D52" s="611"/>
      <c r="E52" s="611"/>
      <c r="F52" s="692" t="str">
        <f t="array" ref="F52">IFERROR(INDEX(Analytica!$F$59:$AY$138,MATCH($C52,Analytica!$B$59:$B$168,0),MATCH(F$15&amp;F$10,Analytica!$F$58:$AY$58&amp;Analytica!$F$51:'Analytica'!$AY$51,0)),"")</f>
        <v/>
      </c>
      <c r="G52" s="692" t="str">
        <f t="array" ref="G52">IFERROR(INDEX(Analytica!$F$59:$AY$138,MATCH($C52,Analytica!$B$59:$B$168,0),MATCH(G$15&amp;G$10,Analytica!$F$58:$AY$58&amp;Analytica!$F$51:'Analytica'!$AY$51,0)),"")</f>
        <v/>
      </c>
      <c r="H52" s="692" t="str">
        <f t="array" ref="H52">IFERROR(INDEX(Analytica!$F$59:$AY$138,MATCH($C52,Analytica!$B$59:$B$168,0),MATCH(H$15&amp;H$10,Analytica!$F$58:$AY$58&amp;Analytica!$F$51:'Analytica'!$AY$51,0)),"")</f>
        <v/>
      </c>
      <c r="I52" s="692" t="str">
        <f t="array" ref="I52">IFERROR(INDEX(Analytica!$F$59:$AY$138,MATCH($C52,Analytica!$B$59:$B$168,0),MATCH(I$15&amp;I$10,Analytica!$F$58:$AY$58&amp;Analytica!$F$51:'Analytica'!$AY$51,0)),"")</f>
        <v/>
      </c>
      <c r="J52" s="1001"/>
      <c r="K52" s="1001"/>
      <c r="L52" s="1001"/>
      <c r="M52" s="1001"/>
      <c r="N52" s="1001"/>
      <c r="O52" s="692" t="str">
        <f t="array" ref="O52">IFERROR(INDEX(Analytica!$F$59:$AY$138,MATCH($C52,Analytica!$B$59:$B$168,0),MATCH(O$15&amp;O$10,Analytica!$F$58:$AY$58&amp;Analytica!$F$51:'Analytica'!$AY$51,0)),"")</f>
        <v/>
      </c>
      <c r="P52" s="619" t="str">
        <f t="array" ref="P52">IFERROR(INDEX(Analytica!$F$59:$AY$138,MATCH($C52,Analytica!$B$59:$B$168,0),MATCH(P$15&amp;P$10,Analytica!$F$58:$AY$58&amp;Analytica!$F$51:'Analytica'!$AY$51,0)),"")</f>
        <v/>
      </c>
      <c r="Q52" s="619" t="str">
        <f t="array" ref="Q52">IFERROR(INDEX(Analytica!$F$59:$AY$138,MATCH($C52,Analytica!$B$59:$B$168,0),MATCH(Q$15&amp;Q$10,Analytica!$F$58:$AY$58&amp;Analytica!$F$51:'Analytica'!$AY$51,0)),"")</f>
        <v/>
      </c>
      <c r="R52" s="619" t="str">
        <f t="array" ref="R52">IFERROR(INDEX(Analytica!$F$59:$AY$138,MATCH($C52,Analytica!$B$59:$B$168,0),MATCH(R$15&amp;R$10,Analytica!$F$58:$AY$58&amp;Analytica!$F$51:'Analytica'!$AY$51,0)),"")</f>
        <v/>
      </c>
      <c r="S52" s="619" t="str">
        <f t="array" ref="S52">IFERROR(INDEX(Analytica!$F$59:$AY$138,MATCH($C52,Analytica!$B$59:$B$168,0),MATCH(S$15&amp;S$10,Analytica!$F$58:$AY$58&amp;Analytica!$F$51:'Analytica'!$AY$51,0)),"")</f>
        <v/>
      </c>
      <c r="T52" s="619" t="str">
        <f t="array" ref="T52">IFERROR(INDEX(Analytica!$F$59:$AY$138,MATCH($C52,Analytica!$B$59:$B$168,0),MATCH(T$15&amp;T$10,Analytica!$F$58:$AY$58&amp;Analytica!$F$51:'Analytica'!$AY$51,0)),"")</f>
        <v/>
      </c>
      <c r="U52" s="619" t="str">
        <f t="array" ref="U52">IFERROR(INDEX(Analytica!$F$59:$AY$138,MATCH($C52,Analytica!$B$59:$B$168,0),MATCH(U$15&amp;U$10,Analytica!$F$58:$AY$58&amp;Analytica!$F$51:'Analytica'!$AY$51,0)),"")</f>
        <v/>
      </c>
      <c r="V52" s="619" t="str">
        <f t="array" ref="V52">IFERROR(INDEX(Analytica!$F$59:$AY$138,MATCH($C52,Analytica!$B$59:$B$168,0),MATCH(V$15&amp;V$10,Analytica!$F$58:$AY$58&amp;Analytica!$F$51:'Analytica'!$AY$51,0)),"")</f>
        <v/>
      </c>
      <c r="W52" s="619" t="str">
        <f t="array" ref="W52">IFERROR(INDEX(Analytica!$F$59:$AY$138,MATCH($C52,Analytica!$B$59:$B$168,0),MATCH(W$15&amp;W$10,Analytica!$F$58:$AY$58&amp;Analytica!$F$51:'Analytica'!$AY$51,0)),"")</f>
        <v/>
      </c>
      <c r="X52" s="619" t="str">
        <f t="array" ref="X52">IFERROR(INDEX(Analytica!$F$59:$AY$138,MATCH($C52,Analytica!$B$59:$B$168,0),MATCH(X$15&amp;X$10,Analytica!$F$58:$AY$58&amp;Analytica!$F$51:'Analytica'!$AY$51,0)),"")</f>
        <v/>
      </c>
      <c r="Y52" s="619" t="str">
        <f t="array" ref="Y52">IFERROR(INDEX(Analytica!$F$59:$AY$138,MATCH($C52,Analytica!$B$59:$B$168,0),MATCH(Y$15&amp;Y$10,Analytica!$F$58:$AY$58&amp;Analytica!$F$51:'Analytica'!$AY$51,0)),"")</f>
        <v/>
      </c>
      <c r="Z52" s="689"/>
      <c r="AA52" s="689">
        <f t="shared" si="10"/>
        <v>0</v>
      </c>
      <c r="AB52" s="689">
        <v>2018</v>
      </c>
      <c r="AC52" s="1">
        <f t="shared" ca="1" si="11"/>
        <v>35</v>
      </c>
    </row>
    <row r="53" spans="1:30" x14ac:dyDescent="0.2">
      <c r="A53" s="1" t="str">
        <f t="shared" si="5"/>
        <v/>
      </c>
      <c r="B53" s="190" t="str">
        <f>ITEMS_nTech!C44</f>
        <v>Transport Passenger BRT Oil Diesel-N</v>
      </c>
      <c r="C53" s="190" t="str">
        <f>E53&amp;RIGHT(D53,3)&amp;"-N"</f>
        <v>TPPUBRTODS-N</v>
      </c>
      <c r="D53" s="611" t="str">
        <f>$E$6</f>
        <v>TRAODS</v>
      </c>
      <c r="E53" s="611" t="str">
        <f>TRP!$B$26</f>
        <v>TPPUBRT</v>
      </c>
      <c r="F53" s="692">
        <f t="array" ref="F53">IFERROR(INDEX(Analytica!$F$59:$AY$138,MATCH($C53,Analytica!$B$59:$B$168,0),MATCH(F$15&amp;F$10,Analytica!$F$58:$AY$58&amp;Analytica!$F$51:'Analytica'!$AY$51,0)),"")</f>
        <v>6.5323297732971908E-2</v>
      </c>
      <c r="G53" s="692">
        <f t="array" ref="G53">IFERROR(INDEX(Analytica!$F$59:$AY$138,MATCH($C53,Analytica!$B$59:$B$168,0),MATCH(G$15&amp;G$10,Analytica!$F$58:$AY$58&amp;Analytica!$F$51:'Analytica'!$AY$51,0)),"")</f>
        <v>7.043085277768743E-2</v>
      </c>
      <c r="H53" s="692">
        <f t="array" ref="H53">IFERROR(INDEX(Analytica!$F$59:$AY$138,MATCH($C53,Analytica!$B$59:$B$168,0),MATCH(H$15&amp;H$10,Analytica!$F$58:$AY$58&amp;Analytica!$F$51:'Analytica'!$AY$51,0)),"")</f>
        <v>7.7877320574937056E-2</v>
      </c>
      <c r="I53" s="692">
        <f t="array" ref="I53">IFERROR(INDEX(Analytica!$F$59:$AY$138,MATCH($C53,Analytica!$B$59:$B$168,0),MATCH(I$15&amp;I$10,Analytica!$F$58:$AY$58&amp;Analytica!$F$51:'Analytica'!$AY$51,0)),"")</f>
        <v>8.6111083718879447E-2</v>
      </c>
      <c r="J53" s="1001">
        <v>1</v>
      </c>
      <c r="K53" s="1001">
        <v>1</v>
      </c>
      <c r="L53" s="1001">
        <v>1</v>
      </c>
      <c r="M53" s="1001">
        <v>1</v>
      </c>
      <c r="N53" s="1001">
        <v>1</v>
      </c>
      <c r="O53" s="692">
        <f t="array" ref="O53">IFERROR(INDEX(Analytica!$F$59:$AY$138,MATCH($C53,Analytica!$B$59:$B$168,0),MATCH(O$15&amp;O$10,Analytica!$F$58:$AY$58&amp;Analytica!$F$51:'Analytica'!$AY$51,0)),"")</f>
        <v>0.06</v>
      </c>
      <c r="P53" s="619">
        <f>INDEX(CostProjections!$Q$9:$W$91,MATCH($C53,CostProjections!$N$9:$N$91,0),MATCH(P$15,CostProjections!$Q$8:$W$8,0))*0.001</f>
        <v>2567.69572134704</v>
      </c>
      <c r="Q53" s="619">
        <f>INDEX(CostProjections!$Q$9:$W$91,MATCH($C53,CostProjections!$N$9:$N$91,0),MATCH(Q$15,CostProjections!$Q$8:$W$8,0))*0.001</f>
        <v>2615.6384793717471</v>
      </c>
      <c r="R53" s="619">
        <f>INDEX(CostProjections!$Q$9:$W$91,MATCH($C53,CostProjections!$N$9:$N$91,0),MATCH(R$15,CostProjections!$Q$8:$W$8,0))*0.001</f>
        <v>2663.5812373964536</v>
      </c>
      <c r="S53" s="619">
        <f>INDEX(CostProjections!$Q$9:$W$91,MATCH($C53,CostProjections!$N$9:$N$91,0),MATCH(S$15,CostProjections!$Q$8:$W$8,0))*0.001</f>
        <v>2694.4055633458693</v>
      </c>
      <c r="T53" s="619">
        <f>INDEX(CostProjections!$Q$9:$W$91,MATCH($C53,CostProjections!$N$9:$N$91,0),MATCH(T$15,CostProjections!$Q$8:$W$8,0))*0.001</f>
        <v>2725.229889295284</v>
      </c>
      <c r="U53" s="619">
        <f>INDEX(CostProjections!$Q$9:$W$91,MATCH($C53,CostProjections!$N$9:$N$91,0),MATCH(U$15,CostProjections!$Q$8:$W$8,0))*0.001</f>
        <v>2795.6066649313984</v>
      </c>
      <c r="V53" s="619">
        <f>INDEX(CostProjections!$Z$9:$AF$91,MATCH($C53,CostProjections!$N$9:$N$91,0),MATCH(V$15,CostProjections!$Z$8:$AF$8,0))*0.001</f>
        <v>69.327784476370084</v>
      </c>
      <c r="W53" s="619">
        <f>INDEX(CostProjections!$Z$9:$AF$91,MATCH($C53,CostProjections!$N$9:$N$91,0),MATCH(W$15,CostProjections!$Z$8:$AF$8,0))*0.001</f>
        <v>71.916693409704237</v>
      </c>
      <c r="X53" s="619">
        <f>INDEX(CostProjections!$Z$9:$AF$91,MATCH($C53,CostProjections!$N$9:$N$91,0),MATCH(X$15,CostProjections!$Z$8:$AF$8,0))*0.001</f>
        <v>73.581207010972676</v>
      </c>
      <c r="Y53" s="619">
        <f>INDEX(CostProjections!$Z$9:$AF$91,MATCH($C53,CostProjections!$N$9:$N$91,0),MATCH(Y$15,CostProjections!$Z$8:$AF$8,0))*0.001</f>
        <v>75.481379953147751</v>
      </c>
      <c r="Z53" s="689">
        <f>Z51</f>
        <v>20</v>
      </c>
      <c r="AA53" s="689">
        <f t="shared" si="10"/>
        <v>20</v>
      </c>
      <c r="AB53" s="689">
        <v>2013</v>
      </c>
      <c r="AC53" s="1">
        <f t="shared" ca="1" si="11"/>
        <v>36</v>
      </c>
    </row>
    <row r="54" spans="1:30" x14ac:dyDescent="0.2">
      <c r="A54" s="1" t="str">
        <f t="shared" si="5"/>
        <v>*</v>
      </c>
      <c r="B54" s="190" t="str">
        <f>ITEMS_nTech!C45</f>
        <v>Transport Passenger BRT Gas-N</v>
      </c>
      <c r="C54" s="190" t="str">
        <f>E54&amp;RIGHT(D54,3)&amp;"-N"</f>
        <v>TPPUBRTGAS-N</v>
      </c>
      <c r="D54" s="611" t="str">
        <f>$G$6</f>
        <v>TRAGAS</v>
      </c>
      <c r="E54" s="611" t="str">
        <f>TRP!$B$26</f>
        <v>TPPUBRT</v>
      </c>
      <c r="F54" s="692">
        <f t="array" ref="F54">IFERROR(INDEX(Analytica!$F$59:$AY$138,MATCH($C54,Analytica!$B$59:$B$168,0),MATCH(F$15&amp;F$10,Analytica!$F$58:$AY$58&amp;Analytica!$F$51:'Analytica'!$AY$51,0)),"")</f>
        <v>5.6802867593888626E-2</v>
      </c>
      <c r="G54" s="692">
        <f t="array" ref="G54">IFERROR(INDEX(Analytica!$F$59:$AY$138,MATCH($C54,Analytica!$B$59:$B$168,0),MATCH(G$15&amp;G$10,Analytica!$F$58:$AY$58&amp;Analytica!$F$51:'Analytica'!$AY$51,0)),"")</f>
        <v>6.1244219806684722E-2</v>
      </c>
      <c r="H54" s="692">
        <f t="array" ref="H54">IFERROR(INDEX(Analytica!$F$59:$AY$138,MATCH($C54,Analytica!$B$59:$B$168,0),MATCH(H$15&amp;H$10,Analytica!$F$58:$AY$58&amp;Analytica!$F$51:'Analytica'!$AY$51,0)),"")</f>
        <v>6.7719409195597449E-2</v>
      </c>
      <c r="I54" s="692">
        <f t="array" ref="I54">IFERROR(INDEX(Analytica!$F$59:$AY$138,MATCH($C54,Analytica!$B$59:$B$168,0),MATCH(I$15&amp;I$10,Analytica!$F$58:$AY$58&amp;Analytica!$F$51:'Analytica'!$AY$51,0)),"")</f>
        <v>7.4879203233808214E-2</v>
      </c>
      <c r="J54" s="1001">
        <v>1</v>
      </c>
      <c r="K54" s="1001">
        <v>1</v>
      </c>
      <c r="L54" s="1001">
        <v>1</v>
      </c>
      <c r="M54" s="1001">
        <v>1</v>
      </c>
      <c r="N54" s="1001">
        <v>1</v>
      </c>
      <c r="O54" s="692">
        <f t="array" ref="O54">IFERROR(INDEX(Analytica!$F$59:$AY$138,MATCH($C54,Analytica!$B$59:$B$168,0),MATCH(O$15&amp;O$10,Analytica!$F$58:$AY$58&amp;Analytica!$F$51:'Analytica'!$AY$51,0)),"")</f>
        <v>0.06</v>
      </c>
      <c r="P54" s="619">
        <f>INDEX(CostProjections!$Q$9:$W$91,MATCH($C54,CostProjections!$N$9:$N$91,0),MATCH(P$15,CostProjections!$Q$8:$W$8,0))*0.001</f>
        <v>2722.5068075861959</v>
      </c>
      <c r="Q54" s="619">
        <f>INDEX(CostProjections!$Q$9:$W$91,MATCH($C54,CostProjections!$N$9:$N$91,0),MATCH(Q$15,CostProjections!$Q$8:$W$8,0))*0.001</f>
        <v>2751.1133109205766</v>
      </c>
      <c r="R54" s="619">
        <f>INDEX(CostProjections!$Q$9:$W$91,MATCH($C54,CostProjections!$N$9:$N$91,0),MATCH(R$15,CostProjections!$Q$8:$W$8,0))*0.001</f>
        <v>2779.7198142549582</v>
      </c>
      <c r="S54" s="619">
        <f>INDEX(CostProjections!$Q$9:$W$91,MATCH($C54,CostProjections!$N$9:$N$91,0),MATCH(S$15,CostProjections!$Q$8:$W$8,0))*0.001</f>
        <v>2802.8973721842008</v>
      </c>
      <c r="T54" s="619">
        <f>INDEX(CostProjections!$Q$9:$W$91,MATCH($C54,CostProjections!$N$9:$N$91,0),MATCH(T$15,CostProjections!$Q$8:$W$8,0))*0.001</f>
        <v>2826.0749301134433</v>
      </c>
      <c r="U54" s="619">
        <f>INDEX(CostProjections!$Q$9:$W$91,MATCH($C54,CostProjections!$N$9:$N$91,0),MATCH(U$15,CostProjections!$Q$8:$W$8,0))*0.001</f>
        <v>2885.7020130336696</v>
      </c>
      <c r="V54" s="619">
        <f>INDEX(CostProjections!$Z$9:$AF$91,MATCH($C54,CostProjections!$N$9:$N$91,0),MATCH(V$15,CostProjections!$Z$8:$AF$8,0))*0.001</f>
        <v>73.507683804827295</v>
      </c>
      <c r="W54" s="619">
        <f>INDEX(CostProjections!$Z$9:$AF$91,MATCH($C54,CostProjections!$N$9:$N$91,0),MATCH(W$15,CostProjections!$Z$8:$AF$8,0))*0.001</f>
        <v>75.052434984883874</v>
      </c>
      <c r="X54" s="619">
        <f>INDEX(CostProjections!$Z$9:$AF$91,MATCH($C54,CostProjections!$N$9:$N$91,0),MATCH(X$15,CostProjections!$Z$8:$AF$8,0))*0.001</f>
        <v>76.304023113062968</v>
      </c>
      <c r="Y54" s="619">
        <f>INDEX(CostProjections!$Z$9:$AF$91,MATCH($C54,CostProjections!$N$9:$N$91,0),MATCH(Y$15,CostProjections!$Z$8:$AF$8,0))*0.001</f>
        <v>77.913954351909084</v>
      </c>
      <c r="Z54" s="689">
        <f>Z53</f>
        <v>20</v>
      </c>
      <c r="AA54" s="689">
        <f t="shared" si="10"/>
        <v>20</v>
      </c>
      <c r="AB54" s="855">
        <v>2080</v>
      </c>
      <c r="AC54" s="1">
        <f t="shared" ca="1" si="11"/>
        <v>37</v>
      </c>
      <c r="AD54" s="1">
        <v>1</v>
      </c>
    </row>
    <row r="55" spans="1:30" x14ac:dyDescent="0.2">
      <c r="A55" s="1" t="str">
        <f t="shared" si="5"/>
        <v/>
      </c>
      <c r="B55" s="190" t="str">
        <f>ITEMS_nTech!C46</f>
        <v>Transport Passenger BRT Electricity-N</v>
      </c>
      <c r="C55" s="190" t="str">
        <f>E55&amp;RIGHT(D55,3)&amp;"-N"</f>
        <v>TPPUBRTELC-N</v>
      </c>
      <c r="D55" s="611" t="str">
        <f>$F$6</f>
        <v>TRAELC</v>
      </c>
      <c r="E55" s="611" t="str">
        <f>TRP!$B$26</f>
        <v>TPPUBRT</v>
      </c>
      <c r="F55" s="692">
        <f t="array" ref="F55">IFERROR(INDEX(Analytica!$F$59:$AY$138,MATCH($C55,Analytica!$B$59:$B$168,0),MATCH(F$15&amp;F$10,Analytica!$F$58:$AY$58&amp;Analytica!$F$51:'Analytica'!$AY$51,0)),"")</f>
        <v>0.21275823278067008</v>
      </c>
      <c r="G55" s="692">
        <f t="array" ref="G55">IFERROR(INDEX(Analytica!$F$59:$AY$138,MATCH($C55,Analytica!$B$59:$B$168,0),MATCH(G$15&amp;G$10,Analytica!$F$58:$AY$58&amp;Analytica!$F$51:'Analytica'!$AY$51,0)),"")</f>
        <v>0.22939355926993843</v>
      </c>
      <c r="H55" s="692">
        <f t="array" ref="H55">IFERROR(INDEX(Analytica!$F$59:$AY$138,MATCH($C55,Analytica!$B$59:$B$168,0),MATCH(H$15&amp;H$10,Analytica!$F$58:$AY$58&amp;Analytica!$F$51:'Analytica'!$AY$51,0)),"")</f>
        <v>0.25364673361942214</v>
      </c>
      <c r="I55" s="692">
        <f t="array" ref="I55">IFERROR(INDEX(Analytica!$F$59:$AY$138,MATCH($C55,Analytica!$B$59:$B$168,0),MATCH(I$15&amp;I$10,Analytica!$F$58:$AY$58&amp;Analytica!$F$51:'Analytica'!$AY$51,0)),"")</f>
        <v>0.28046413195103725</v>
      </c>
      <c r="J55" s="1001">
        <v>1</v>
      </c>
      <c r="K55" s="1001">
        <v>1</v>
      </c>
      <c r="L55" s="1001">
        <v>1</v>
      </c>
      <c r="M55" s="1001">
        <v>1</v>
      </c>
      <c r="N55" s="1001">
        <v>1</v>
      </c>
      <c r="O55" s="692">
        <f t="array" ref="O55">IFERROR(INDEX(Analytica!$F$59:$AY$138,MATCH($C55,Analytica!$B$59:$B$168,0),MATCH(O$15&amp;O$10,Analytica!$F$58:$AY$58&amp;Analytica!$F$51:'Analytica'!$AY$51,0)),"")</f>
        <v>0.06</v>
      </c>
      <c r="P55" s="619">
        <f>INDEX(CostProjections!$Q$9:$W$91,MATCH($C55,CostProjections!$N$9:$N$91,0),MATCH(P$15,CostProjections!$Q$8:$W$8,0))*0.001</f>
        <v>3636.5363491432054</v>
      </c>
      <c r="Q55" s="619">
        <f>INDEX(CostProjections!$Q$9:$W$91,MATCH($C55,CostProjections!$N$9:$N$91,0),MATCH(Q$15,CostProjections!$Q$8:$W$8,0))*0.001</f>
        <v>3448.5344023535054</v>
      </c>
      <c r="R55" s="619">
        <f>INDEX(CostProjections!$Q$9:$W$91,MATCH($C55,CostProjections!$N$9:$N$91,0),MATCH(R$15,CostProjections!$Q$8:$W$8,0))*0.001</f>
        <v>3260.5324555638049</v>
      </c>
      <c r="S55" s="619">
        <f>INDEX(CostProjections!$Q$9:$W$91,MATCH($C55,CostProjections!$N$9:$N$91,0),MATCH(S$15,CostProjections!$Q$8:$W$8,0))*0.001</f>
        <v>3282.7043221061126</v>
      </c>
      <c r="T55" s="619">
        <f>INDEX(CostProjections!$Q$9:$W$91,MATCH($C55,CostProjections!$N$9:$N$91,0),MATCH(T$15,CostProjections!$Q$8:$W$8,0))*0.001</f>
        <v>3304.8761886484212</v>
      </c>
      <c r="U55" s="619">
        <f>INDEX(CostProjections!$Q$9:$W$91,MATCH($C55,CostProjections!$N$9:$N$91,0),MATCH(U$15,CostProjections!$Q$8:$W$8,0))*0.001</f>
        <v>3346.9603416326208</v>
      </c>
      <c r="V55" s="619">
        <f>INDEX(CostProjections!$Z$9:$AF$91,MATCH($C55,CostProjections!$N$9:$N$91,0),MATCH(V$15,CostProjections!$Z$8:$AF$8,0))*0.001</f>
        <v>73.639861070149919</v>
      </c>
      <c r="W55" s="619">
        <f>INDEX(CostProjections!$Z$9:$AF$91,MATCH($C55,CostProjections!$N$9:$N$91,0),MATCH(W$15,CostProjections!$Z$8:$AF$8,0))*0.001</f>
        <v>66.025782225167049</v>
      </c>
      <c r="X55" s="619">
        <f>INDEX(CostProjections!$Z$9:$AF$91,MATCH($C55,CostProjections!$N$9:$N$91,0),MATCH(X$15,CostProjections!$Z$8:$AF$8,0))*0.001</f>
        <v>66.923742820130528</v>
      </c>
      <c r="Y55" s="619">
        <f>INDEX(CostProjections!$Z$9:$AF$91,MATCH($C55,CostProjections!$N$9:$N$91,0),MATCH(Y$15,CostProjections!$Z$8:$AF$8,0))*0.001</f>
        <v>67.775946918060583</v>
      </c>
      <c r="Z55" s="689">
        <f>Z54</f>
        <v>20</v>
      </c>
      <c r="AA55" s="689">
        <f t="shared" si="10"/>
        <v>20</v>
      </c>
      <c r="AB55" s="689">
        <v>2025</v>
      </c>
      <c r="AC55" s="1">
        <f t="shared" ca="1" si="11"/>
        <v>38</v>
      </c>
      <c r="AD55" s="1">
        <v>1</v>
      </c>
    </row>
    <row r="56" spans="1:30" x14ac:dyDescent="0.2">
      <c r="A56" s="1" t="str">
        <f t="shared" si="5"/>
        <v/>
      </c>
      <c r="B56" s="190" t="str">
        <f>ITEMS_nTech!C47</f>
        <v>Transport Passenger BRT Hydrogen-N</v>
      </c>
      <c r="C56" s="190" t="str">
        <f>E56&amp;RIGHT(D56,3)&amp;"F-N"</f>
        <v>TPPUBRTHGNF-N</v>
      </c>
      <c r="D56" s="611" t="str">
        <f>L6</f>
        <v>TRAHGN</v>
      </c>
      <c r="E56" s="611" t="str">
        <f>TRP!$B$26</f>
        <v>TPPUBRT</v>
      </c>
      <c r="F56" s="692">
        <f t="array" ref="F56">IFERROR(INDEX(Analytica!$F$59:$AY$138,MATCH($C56,Analytica!$B$59:$B$168,0),MATCH(F$15&amp;F$10,Analytica!$F$58:$AY$58&amp;Analytica!$F$51:'Analytica'!$AY$51,0)),"")</f>
        <v>0.13780930986929765</v>
      </c>
      <c r="G56" s="692">
        <f t="array" ref="G56">IFERROR(INDEX(Analytica!$F$59:$AY$138,MATCH($C56,Analytica!$B$59:$B$168,0),MATCH(G$15&amp;G$10,Analytica!$F$58:$AY$58&amp;Analytica!$F$51:'Analytica'!$AY$51,0)),"")</f>
        <v>0.14858446452711918</v>
      </c>
      <c r="H56" s="692">
        <f t="array" ref="H56">IFERROR(INDEX(Analytica!$F$59:$AY$138,MATCH($C56,Analytica!$B$59:$B$168,0),MATCH(H$15&amp;H$10,Analytica!$F$58:$AY$58&amp;Analytica!$F$51:'Analytica'!$AY$51,0)),"")</f>
        <v>0.16429390700348931</v>
      </c>
      <c r="I56" s="692">
        <f t="array" ref="I56">IFERROR(INDEX(Analytica!$F$59:$AY$138,MATCH($C56,Analytica!$B$59:$B$168,0),MATCH(I$15&amp;I$10,Analytica!$F$58:$AY$58&amp;Analytica!$F$51:'Analytica'!$AY$51,0)),"")</f>
        <v>0.18166426728646726</v>
      </c>
      <c r="J56" s="1001">
        <v>1</v>
      </c>
      <c r="K56" s="1001">
        <v>1</v>
      </c>
      <c r="L56" s="1001">
        <v>1</v>
      </c>
      <c r="M56" s="1001">
        <v>1</v>
      </c>
      <c r="N56" s="1001">
        <v>1</v>
      </c>
      <c r="O56" s="692">
        <f t="array" ref="O56">IFERROR(INDEX(Analytica!$F$59:$AY$138,MATCH($C56,Analytica!$B$59:$B$168,0),MATCH(O$15&amp;O$10,Analytica!$F$58:$AY$58&amp;Analytica!$F$51:'Analytica'!$AY$51,0)),"")</f>
        <v>0.06</v>
      </c>
      <c r="P56" s="619">
        <f>INDEX(CostProjections!$Q$9:$W$91,MATCH($C56,CostProjections!$N$9:$N$91,0),MATCH(P$15,CostProjections!$Q$8:$W$8,0))*0.001</f>
        <v>4657.8789828369117</v>
      </c>
      <c r="Q56" s="619">
        <f>INDEX(CostProjections!$Q$9:$W$91,MATCH($C56,CostProjections!$N$9:$N$91,0),MATCH(Q$15,CostProjections!$Q$8:$W$8,0))*0.001</f>
        <v>4417.0755829505106</v>
      </c>
      <c r="R56" s="619">
        <f>INDEX(CostProjections!$Q$9:$W$91,MATCH($C56,CostProjections!$N$9:$N$91,0),MATCH(R$15,CostProjections!$Q$8:$W$8,0))*0.001</f>
        <v>4176.2721830641067</v>
      </c>
      <c r="S56" s="619">
        <f>INDEX(CostProjections!$Q$9:$W$91,MATCH($C56,CostProjections!$N$9:$N$91,0),MATCH(S$15,CostProjections!$Q$8:$W$8,0))*0.001</f>
        <v>4204.6711488002848</v>
      </c>
      <c r="T56" s="619">
        <f>INDEX(CostProjections!$Q$9:$W$91,MATCH($C56,CostProjections!$N$9:$N$91,0),MATCH(T$15,CostProjections!$Q$8:$W$8,0))*0.001</f>
        <v>4233.0701145364628</v>
      </c>
      <c r="U56" s="619">
        <f>INDEX(CostProjections!$Q$9:$W$91,MATCH($C56,CostProjections!$N$9:$N$91,0),MATCH(U$15,CostProjections!$Q$8:$W$8,0))*0.001</f>
        <v>4286.9738495401789</v>
      </c>
      <c r="V56" s="619">
        <f>INDEX(CostProjections!$Z$9:$AF$91,MATCH($C56,CostProjections!$N$9:$N$91,0),MATCH(V$15,CostProjections!$Z$8:$AF$8,0))*0.001</f>
        <v>125.76273253659662</v>
      </c>
      <c r="W56" s="619">
        <f>INDEX(CostProjections!$Z$9:$AF$91,MATCH($C56,CostProjections!$N$9:$N$91,0),MATCH(W$15,CostProjections!$Z$8:$AF$8,0))*0.001</f>
        <v>112.75934894273088</v>
      </c>
      <c r="X56" s="619">
        <f>INDEX(CostProjections!$Z$9:$AF$91,MATCH($C56,CostProjections!$N$9:$N$91,0),MATCH(X$15,CostProjections!$Z$8:$AF$8,0))*0.001</f>
        <v>114.29289309248448</v>
      </c>
      <c r="Y56" s="619">
        <f>INDEX(CostProjections!$Z$9:$AF$91,MATCH($C56,CostProjections!$N$9:$N$91,0),MATCH(Y$15,CostProjections!$Z$8:$AF$8,0))*0.001</f>
        <v>115.74829393758482</v>
      </c>
      <c r="Z56" s="689">
        <f>Z55</f>
        <v>20</v>
      </c>
      <c r="AA56" s="689">
        <f t="shared" si="10"/>
        <v>20</v>
      </c>
      <c r="AB56" s="689">
        <v>2025</v>
      </c>
      <c r="AC56" s="1">
        <f t="shared" ca="1" si="11"/>
        <v>39</v>
      </c>
      <c r="AD56" s="1">
        <v>1</v>
      </c>
    </row>
    <row r="57" spans="1:30" x14ac:dyDescent="0.2">
      <c r="A57" s="1" t="str">
        <f t="shared" si="5"/>
        <v>*</v>
      </c>
      <c r="B57" s="190" t="str">
        <f>ITEMS_nTech!C48</f>
        <v>Transport Passenger BRT Oil Blended Gasoline-Ethanol-E85-N</v>
      </c>
      <c r="C57" s="190" t="str">
        <f>E57&amp;RIGHT(D57,3)&amp;"-N"</f>
        <v>TPPUBRTBGS-N</v>
      </c>
      <c r="D57" s="611" t="str">
        <f>$M$6</f>
        <v>TRABGS</v>
      </c>
      <c r="E57" s="611" t="str">
        <f>TRP!$B$26</f>
        <v>TPPUBRT</v>
      </c>
      <c r="F57" s="692">
        <f t="array" ref="F57">IFERROR(INDEX(Analytica!$F$59:$AY$138,MATCH($C57,Analytica!$B$59:$B$168,0),MATCH(F$15&amp;F$10,Analytica!$F$58:$AY$58&amp;Analytica!$F$51:'Analytica'!$AY$51,0)),"")</f>
        <v>6.5323297732971908E-2</v>
      </c>
      <c r="G57" s="692">
        <f t="array" ref="G57">IFERROR(INDEX(Analytica!$F$59:$AY$138,MATCH($C57,Analytica!$B$59:$B$168,0),MATCH(G$15&amp;G$10,Analytica!$F$58:$AY$58&amp;Analytica!$F$51:'Analytica'!$AY$51,0)),"")</f>
        <v>7.043085277768743E-2</v>
      </c>
      <c r="H57" s="692">
        <f t="array" ref="H57">IFERROR(INDEX(Analytica!$F$59:$AY$138,MATCH($C57,Analytica!$B$59:$B$168,0),MATCH(H$15&amp;H$10,Analytica!$F$58:$AY$58&amp;Analytica!$F$51:'Analytica'!$AY$51,0)),"")</f>
        <v>7.7877320574937056E-2</v>
      </c>
      <c r="I57" s="692">
        <f t="array" ref="I57">IFERROR(INDEX(Analytica!$F$59:$AY$138,MATCH($C57,Analytica!$B$59:$B$168,0),MATCH(I$15&amp;I$10,Analytica!$F$58:$AY$58&amp;Analytica!$F$51:'Analytica'!$AY$51,0)),"")</f>
        <v>8.6111083718879447E-2</v>
      </c>
      <c r="J57" s="1001">
        <v>1</v>
      </c>
      <c r="K57" s="1001">
        <v>1</v>
      </c>
      <c r="L57" s="1001">
        <v>1</v>
      </c>
      <c r="M57" s="1001">
        <v>1</v>
      </c>
      <c r="N57" s="1001">
        <v>1</v>
      </c>
      <c r="O57" s="692">
        <f t="array" ref="O57">IFERROR(INDEX(Analytica!$F$59:$AY$138,MATCH($C57,Analytica!$B$59:$B$168,0),MATCH(O$15&amp;O$10,Analytica!$F$58:$AY$58&amp;Analytica!$F$51:'Analytica'!$AY$51,0)),"")</f>
        <v>0.06</v>
      </c>
      <c r="P57" s="619">
        <f>INDEX(CostProjections!$Q$9:$W$91,MATCH($C57,CostProjections!$N$9:$N$91,0),MATCH(P$15,CostProjections!$Q$8:$W$8,0))*0.001</f>
        <v>2567.69572134704</v>
      </c>
      <c r="Q57" s="619">
        <f>INDEX(CostProjections!$Q$9:$W$91,MATCH($C57,CostProjections!$N$9:$N$91,0),MATCH(Q$15,CostProjections!$Q$8:$W$8,0))*0.001</f>
        <v>2615.6384793717471</v>
      </c>
      <c r="R57" s="619">
        <f>INDEX(CostProjections!$Q$9:$W$91,MATCH($C57,CostProjections!$N$9:$N$91,0),MATCH(R$15,CostProjections!$Q$8:$W$8,0))*0.001</f>
        <v>2663.5812373964536</v>
      </c>
      <c r="S57" s="619">
        <f>INDEX(CostProjections!$Q$9:$W$91,MATCH($C57,CostProjections!$N$9:$N$91,0),MATCH(S$15,CostProjections!$Q$8:$W$8,0))*0.001</f>
        <v>2694.4055633458693</v>
      </c>
      <c r="T57" s="619">
        <f>INDEX(CostProjections!$Q$9:$W$91,MATCH($C57,CostProjections!$N$9:$N$91,0),MATCH(T$15,CostProjections!$Q$8:$W$8,0))*0.001</f>
        <v>2725.229889295284</v>
      </c>
      <c r="U57" s="619">
        <f>INDEX(CostProjections!$Q$9:$W$91,MATCH($C57,CostProjections!$N$9:$N$91,0),MATCH(U$15,CostProjections!$Q$8:$W$8,0))*0.001</f>
        <v>2795.6066649313984</v>
      </c>
      <c r="V57" s="619">
        <f>INDEX(CostProjections!$Z$9:$AF$91,MATCH($C57,CostProjections!$N$9:$N$91,0),MATCH(V$15,CostProjections!$Z$8:$AF$8,0))*0.001</f>
        <v>69.327784476370084</v>
      </c>
      <c r="W57" s="619">
        <f>INDEX(CostProjections!$Z$9:$AF$91,MATCH($C57,CostProjections!$N$9:$N$91,0),MATCH(W$15,CostProjections!$Z$8:$AF$8,0))*0.001</f>
        <v>71.916693409704237</v>
      </c>
      <c r="X57" s="619">
        <f>INDEX(CostProjections!$Z$9:$AF$91,MATCH($C57,CostProjections!$N$9:$N$91,0),MATCH(X$15,CostProjections!$Z$8:$AF$8,0))*0.001</f>
        <v>73.581207010972676</v>
      </c>
      <c r="Y57" s="619">
        <f>INDEX(CostProjections!$Z$9:$AF$91,MATCH($C57,CostProjections!$N$9:$N$91,0),MATCH(Y$15,CostProjections!$Z$8:$AF$8,0))*0.001</f>
        <v>75.481379953147751</v>
      </c>
      <c r="Z57" s="689">
        <f>Z56</f>
        <v>20</v>
      </c>
      <c r="AA57" s="689">
        <f t="shared" si="10"/>
        <v>20</v>
      </c>
      <c r="AB57" s="855">
        <v>2080</v>
      </c>
      <c r="AC57" s="1">
        <f t="shared" ca="1" si="11"/>
        <v>40</v>
      </c>
      <c r="AD57" s="1">
        <v>1</v>
      </c>
    </row>
    <row r="58" spans="1:30" x14ac:dyDescent="0.2">
      <c r="A58" s="1" t="str">
        <f t="shared" si="5"/>
        <v/>
      </c>
      <c r="B58" s="190" t="s">
        <v>1124</v>
      </c>
      <c r="C58" s="190"/>
      <c r="D58" s="611"/>
      <c r="E58" s="611"/>
      <c r="F58" s="692" t="str">
        <f t="array" ref="F58">IFERROR(INDEX(Analytica!$F$59:$AY$138,MATCH($C58,Analytica!$B$59:$B$168,0),MATCH(F$15&amp;F$10,Analytica!$F$58:$AY$58&amp;Analytica!$F$51:'Analytica'!$AY$51,0)),"")</f>
        <v/>
      </c>
      <c r="G58" s="692" t="str">
        <f t="array" ref="G58">IFERROR(INDEX(Analytica!$F$59:$AY$138,MATCH($C58,Analytica!$B$59:$B$168,0),MATCH(G$15&amp;G$10,Analytica!$F$58:$AY$58&amp;Analytica!$F$51:'Analytica'!$AY$51,0)),"")</f>
        <v/>
      </c>
      <c r="H58" s="692" t="str">
        <f t="array" ref="H58">IFERROR(INDEX(Analytica!$F$59:$AY$138,MATCH($C58,Analytica!$B$59:$B$168,0),MATCH(H$15&amp;H$10,Analytica!$F$58:$AY$58&amp;Analytica!$F$51:'Analytica'!$AY$51,0)),"")</f>
        <v/>
      </c>
      <c r="I58" s="692" t="str">
        <f t="array" ref="I58">IFERROR(INDEX(Analytica!$F$59:$AY$138,MATCH($C58,Analytica!$B$59:$B$168,0),MATCH(I$15&amp;I$10,Analytica!$F$58:$AY$58&amp;Analytica!$F$51:'Analytica'!$AY$51,0)),"")</f>
        <v/>
      </c>
      <c r="J58" s="1001"/>
      <c r="K58" s="1001"/>
      <c r="L58" s="1001"/>
      <c r="M58" s="1001"/>
      <c r="N58" s="1001"/>
      <c r="O58" s="692" t="str">
        <f t="array" ref="O58">IFERROR(INDEX(Analytica!$F$59:$AY$138,MATCH($C58,Analytica!$B$59:$B$168,0),MATCH(O$15&amp;O$10,Analytica!$F$58:$AY$58&amp;Analytica!$F$51:'Analytica'!$AY$51,0)),"")</f>
        <v/>
      </c>
      <c r="P58" s="619" t="str">
        <f t="array" ref="P58">IFERROR(INDEX(Analytica!$F$59:$AY$138,MATCH($C58,Analytica!$B$59:$B$168,0),MATCH(P$15&amp;P$10,Analytica!$F$58:$AY$58&amp;Analytica!$F$51:'Analytica'!$AY$51,0)),"")</f>
        <v/>
      </c>
      <c r="Q58" s="619" t="str">
        <f t="array" ref="Q58">IFERROR(INDEX(Analytica!$F$59:$AY$138,MATCH($C58,Analytica!$B$59:$B$168,0),MATCH(Q$15&amp;Q$10,Analytica!$F$58:$AY$58&amp;Analytica!$F$51:'Analytica'!$AY$51,0)),"")</f>
        <v/>
      </c>
      <c r="R58" s="619" t="str">
        <f t="array" ref="R58">IFERROR(INDEX(Analytica!$F$59:$AY$138,MATCH($C58,Analytica!$B$59:$B$168,0),MATCH(R$15&amp;R$10,Analytica!$F$58:$AY$58&amp;Analytica!$F$51:'Analytica'!$AY$51,0)),"")</f>
        <v/>
      </c>
      <c r="S58" s="619" t="str">
        <f t="array" ref="S58">IFERROR(INDEX(Analytica!$F$59:$AY$138,MATCH($C58,Analytica!$B$59:$B$168,0),MATCH(S$15&amp;S$10,Analytica!$F$58:$AY$58&amp;Analytica!$F$51:'Analytica'!$AY$51,0)),"")</f>
        <v/>
      </c>
      <c r="T58" s="619" t="str">
        <f t="array" ref="T58">IFERROR(INDEX(Analytica!$F$59:$AY$138,MATCH($C58,Analytica!$B$59:$B$168,0),MATCH(T$15&amp;T$10,Analytica!$F$58:$AY$58&amp;Analytica!$F$51:'Analytica'!$AY$51,0)),"")</f>
        <v/>
      </c>
      <c r="U58" s="619" t="str">
        <f t="array" ref="U58">IFERROR(INDEX(Analytica!$F$59:$AY$138,MATCH($C58,Analytica!$B$59:$B$168,0),MATCH(U$15&amp;U$10,Analytica!$F$58:$AY$58&amp;Analytica!$F$51:'Analytica'!$AY$51,0)),"")</f>
        <v/>
      </c>
      <c r="V58" s="619" t="str">
        <f t="array" ref="V58">IFERROR(INDEX(Analytica!$F$59:$AY$138,MATCH($C58,Analytica!$B$59:$B$168,0),MATCH(V$15&amp;V$10,Analytica!$F$58:$AY$58&amp;Analytica!$F$51:'Analytica'!$AY$51,0)),"")</f>
        <v/>
      </c>
      <c r="W58" s="619" t="str">
        <f t="array" ref="W58">IFERROR(INDEX(Analytica!$F$59:$AY$138,MATCH($C58,Analytica!$B$59:$B$168,0),MATCH(W$15&amp;W$10,Analytica!$F$58:$AY$58&amp;Analytica!$F$51:'Analytica'!$AY$51,0)),"")</f>
        <v/>
      </c>
      <c r="X58" s="619" t="str">
        <f t="array" ref="X58">IFERROR(INDEX(Analytica!$F$59:$AY$138,MATCH($C58,Analytica!$B$59:$B$168,0),MATCH(X$15&amp;X$10,Analytica!$F$58:$AY$58&amp;Analytica!$F$51:'Analytica'!$AY$51,0)),"")</f>
        <v/>
      </c>
      <c r="Y58" s="619" t="str">
        <f t="array" ref="Y58">IFERROR(INDEX(Analytica!$F$59:$AY$138,MATCH($C58,Analytica!$B$59:$B$168,0),MATCH(Y$15&amp;Y$10,Analytica!$F$58:$AY$58&amp;Analytica!$F$51:'Analytica'!$AY$51,0)),"")</f>
        <v/>
      </c>
      <c r="Z58" s="689"/>
      <c r="AA58" s="689">
        <f t="shared" si="10"/>
        <v>0</v>
      </c>
      <c r="AB58" s="689">
        <v>2018</v>
      </c>
      <c r="AC58" s="1">
        <f t="shared" ca="1" si="11"/>
        <v>41</v>
      </c>
    </row>
    <row r="59" spans="1:30" x14ac:dyDescent="0.2">
      <c r="A59" s="1" t="str">
        <f t="shared" si="5"/>
        <v/>
      </c>
      <c r="B59" s="190" t="str">
        <f>ITEMS_nTech!C50</f>
        <v>Transport Passenger Metro Rail Electricity-N</v>
      </c>
      <c r="C59" s="190" t="str">
        <f>E59&amp;RIGHT(D59,3)&amp;"-N"</f>
        <v>TPPUMERELC-N</v>
      </c>
      <c r="D59" s="611" t="str">
        <f>$F$6</f>
        <v>TRAELC</v>
      </c>
      <c r="E59" s="611" t="str">
        <f>TRP!$B$27</f>
        <v>TPPUMER</v>
      </c>
      <c r="F59" s="695">
        <f>TRP!E79</f>
        <v>3.858057479967961</v>
      </c>
      <c r="G59" s="692">
        <f>F59</f>
        <v>3.858057479967961</v>
      </c>
      <c r="H59" s="692">
        <f>G59</f>
        <v>3.858057479967961</v>
      </c>
      <c r="I59" s="692">
        <f>H59</f>
        <v>3.858057479967961</v>
      </c>
      <c r="J59" s="1001">
        <v>1</v>
      </c>
      <c r="K59" s="1001">
        <v>1</v>
      </c>
      <c r="L59" s="1001">
        <v>1</v>
      </c>
      <c r="M59" s="1001">
        <v>1</v>
      </c>
      <c r="N59" s="1001">
        <v>1</v>
      </c>
      <c r="O59" s="692">
        <f t="array" ref="O59">IFERROR(INDEX(Analytica!$F$59:$AY$138,MATCH($C59,Analytica!$B$59:$B$168,0),MATCH(O$15&amp;O$10,Analytica!$F$58:$AY$58&amp;Analytica!$F$51:'Analytica'!$AY$51,0)),"")</f>
        <v>1</v>
      </c>
      <c r="P59" s="692">
        <f t="array" ref="P59">IFERROR(INDEX(Analytica!$F$59:$AY$138,MATCH($C59,Analytica!$B$59:$B$168,0),MATCH(P$15&amp;P$10,Analytica!$F$58:$AY$58&amp;Analytica!$F$51:'Analytica'!$AY$51,0)),"")</f>
        <v>1E-3</v>
      </c>
      <c r="Q59" s="692">
        <f t="array" ref="Q59">IFERROR(INDEX(Analytica!$F$59:$AY$138,MATCH($C59,Analytica!$B$59:$B$168,0),MATCH(Q$15&amp;Q$10,Analytica!$F$58:$AY$58&amp;Analytica!$F$51:'Analytica'!$AY$51,0)),"")</f>
        <v>1E-3</v>
      </c>
      <c r="R59" s="692">
        <f t="array" ref="R59">IFERROR(INDEX(Analytica!$F$59:$AY$138,MATCH($C59,Analytica!$B$59:$B$168,0),MATCH(R$15&amp;R$10,Analytica!$F$58:$AY$58&amp;Analytica!$F$51:'Analytica'!$AY$51,0)),"")</f>
        <v>1E-3</v>
      </c>
      <c r="S59" s="692">
        <f t="array" ref="S59">IFERROR(INDEX(Analytica!$F$59:$AY$138,MATCH($C59,Analytica!$B$59:$B$168,0),MATCH(S$15&amp;S$10,Analytica!$F$58:$AY$58&amp;Analytica!$F$51:'Analytica'!$AY$51,0)),"")</f>
        <v>1E-3</v>
      </c>
      <c r="T59" s="692">
        <f t="array" ref="T59">IFERROR(INDEX(Analytica!$F$59:$AY$138,MATCH($C59,Analytica!$B$59:$B$168,0),MATCH(T$15&amp;T$10,Analytica!$F$58:$AY$58&amp;Analytica!$F$51:'Analytica'!$AY$51,0)),"")</f>
        <v>1E-3</v>
      </c>
      <c r="U59" s="692">
        <f t="array" ref="U59">IFERROR(INDEX(Analytica!$F$59:$AY$138,MATCH($C59,Analytica!$B$59:$B$168,0),MATCH(U$15&amp;U$10,Analytica!$F$58:$AY$58&amp;Analytica!$F$51:'Analytica'!$AY$51,0)),"")</f>
        <v>1E-3</v>
      </c>
      <c r="V59" s="692">
        <f t="array" ref="V59">IFERROR(INDEX(Analytica!$F$59:$AY$138,MATCH($C59,Analytica!$B$59:$B$168,0),MATCH(V$15&amp;V$10,Analytica!$F$58:$AY$58&amp;Analytica!$F$51:'Analytica'!$AY$51,0)),"")</f>
        <v>2.0250000000000001E-5</v>
      </c>
      <c r="W59" s="692">
        <f t="array" ref="W59">IFERROR(INDEX(Analytica!$F$59:$AY$138,MATCH($C59,Analytica!$B$59:$B$168,0),MATCH(W$15&amp;W$10,Analytica!$F$58:$AY$58&amp;Analytica!$F$51:'Analytica'!$AY$51,0)),"")</f>
        <v>2.0250000000000001E-5</v>
      </c>
      <c r="X59" s="692">
        <f t="array" ref="X59">IFERROR(INDEX(Analytica!$F$59:$AY$138,MATCH($C59,Analytica!$B$59:$B$168,0),MATCH(X$15&amp;X$10,Analytica!$F$58:$AY$58&amp;Analytica!$F$51:'Analytica'!$AY$51,0)),"")</f>
        <v>2.0250000000000001E-5</v>
      </c>
      <c r="Y59" s="692">
        <f t="array" ref="Y59">IFERROR(INDEX(Analytica!$F$59:$AY$138,MATCH($C59,Analytica!$B$59:$B$168,0),MATCH(Y$15&amp;Y$10,Analytica!$F$58:$AY$58&amp;Analytica!$F$51:'Analytica'!$AY$51,0)),"")</f>
        <v>2.0250000000000001E-5</v>
      </c>
      <c r="Z59" s="692">
        <v>50</v>
      </c>
      <c r="AA59" s="689">
        <f t="shared" si="10"/>
        <v>50</v>
      </c>
      <c r="AB59" s="689">
        <v>2013</v>
      </c>
      <c r="AC59" s="1">
        <f t="shared" ca="1" si="11"/>
        <v>42</v>
      </c>
    </row>
    <row r="60" spans="1:30" x14ac:dyDescent="0.2">
      <c r="A60" s="1" t="str">
        <f t="shared" si="5"/>
        <v/>
      </c>
      <c r="B60" s="190" t="s">
        <v>1124</v>
      </c>
      <c r="C60" s="190"/>
      <c r="D60" s="611"/>
      <c r="E60" s="611"/>
      <c r="F60" s="692" t="str">
        <f t="array" ref="F60">IFERROR(INDEX(Analytica!$F$59:$AY$138,MATCH($C60,Analytica!$B$59:$B$168,0),MATCH(F$15&amp;F$10,Analytica!$F$58:$AY$58&amp;Analytica!$F$51:'Analytica'!$AY$51,0)),"")</f>
        <v/>
      </c>
      <c r="G60" s="692" t="str">
        <f t="array" ref="G60">IFERROR(INDEX(Analytica!$F$59:$AY$138,MATCH($C60,Analytica!$B$59:$B$168,0),MATCH(G$15&amp;G$10,Analytica!$F$58:$AY$58&amp;Analytica!$F$51:'Analytica'!$AY$51,0)),"")</f>
        <v/>
      </c>
      <c r="H60" s="692" t="str">
        <f t="array" ref="H60">IFERROR(INDEX(Analytica!$F$59:$AY$138,MATCH($C60,Analytica!$B$59:$B$168,0),MATCH(H$15&amp;H$10,Analytica!$F$58:$AY$58&amp;Analytica!$F$51:'Analytica'!$AY$51,0)),"")</f>
        <v/>
      </c>
      <c r="I60" s="692" t="str">
        <f t="array" ref="I60">IFERROR(INDEX(Analytica!$F$59:$AY$138,MATCH($C60,Analytica!$B$59:$B$168,0),MATCH(I$15&amp;I$10,Analytica!$F$58:$AY$58&amp;Analytica!$F$51:'Analytica'!$AY$51,0)),"")</f>
        <v/>
      </c>
      <c r="J60" s="1001"/>
      <c r="K60" s="1001"/>
      <c r="L60" s="1001"/>
      <c r="M60" s="1001"/>
      <c r="N60" s="1001"/>
      <c r="O60" s="692" t="str">
        <f t="array" ref="O60">IFERROR(INDEX(Analytica!$F$59:$AY$138,MATCH($C60,Analytica!$B$59:$B$168,0),MATCH(O$15&amp;O$10,Analytica!$F$58:$AY$58&amp;Analytica!$F$51:'Analytica'!$AY$51,0)),"")</f>
        <v/>
      </c>
      <c r="P60" s="692" t="str">
        <f t="array" ref="P60">IFERROR(INDEX(Analytica!$F$59:$AY$138,MATCH($C60,Analytica!$B$59:$B$168,0),MATCH(P$15&amp;P$10,Analytica!$F$58:$AY$58&amp;Analytica!$F$51:'Analytica'!$AY$51,0)),"")</f>
        <v/>
      </c>
      <c r="Q60" s="692" t="str">
        <f t="array" ref="Q60">IFERROR(INDEX(Analytica!$F$59:$AY$138,MATCH($C60,Analytica!$B$59:$B$168,0),MATCH(Q$15&amp;Q$10,Analytica!$F$58:$AY$58&amp;Analytica!$F$51:'Analytica'!$AY$51,0)),"")</f>
        <v/>
      </c>
      <c r="R60" s="692" t="str">
        <f t="array" ref="R60">IFERROR(INDEX(Analytica!$F$59:$AY$138,MATCH($C60,Analytica!$B$59:$B$168,0),MATCH(R$15&amp;R$10,Analytica!$F$58:$AY$58&amp;Analytica!$F$51:'Analytica'!$AY$51,0)),"")</f>
        <v/>
      </c>
      <c r="S60" s="692" t="str">
        <f t="array" ref="S60">IFERROR(INDEX(Analytica!$F$59:$AY$138,MATCH($C60,Analytica!$B$59:$B$168,0),MATCH(S$15&amp;S$10,Analytica!$F$58:$AY$58&amp;Analytica!$F$51:'Analytica'!$AY$51,0)),"")</f>
        <v/>
      </c>
      <c r="T60" s="692" t="str">
        <f t="array" ref="T60">IFERROR(INDEX(Analytica!$F$59:$AY$138,MATCH($C60,Analytica!$B$59:$B$168,0),MATCH(T$15&amp;T$10,Analytica!$F$58:$AY$58&amp;Analytica!$F$51:'Analytica'!$AY$51,0)),"")</f>
        <v/>
      </c>
      <c r="U60" s="692" t="str">
        <f t="array" ref="U60">IFERROR(INDEX(Analytica!$F$59:$AY$138,MATCH($C60,Analytica!$B$59:$B$168,0),MATCH(U$15&amp;U$10,Analytica!$F$58:$AY$58&amp;Analytica!$F$51:'Analytica'!$AY$51,0)),"")</f>
        <v/>
      </c>
      <c r="V60" s="692" t="str">
        <f t="array" ref="V60">IFERROR(INDEX(Analytica!$F$59:$AY$138,MATCH($C60,Analytica!$B$59:$B$168,0),MATCH(V$15&amp;V$10,Analytica!$F$58:$AY$58&amp;Analytica!$F$51:'Analytica'!$AY$51,0)),"")</f>
        <v/>
      </c>
      <c r="W60" s="692" t="str">
        <f t="array" ref="W60">IFERROR(INDEX(Analytica!$F$59:$AY$138,MATCH($C60,Analytica!$B$59:$B$168,0),MATCH(W$15&amp;W$10,Analytica!$F$58:$AY$58&amp;Analytica!$F$51:'Analytica'!$AY$51,0)),"")</f>
        <v/>
      </c>
      <c r="X60" s="692" t="str">
        <f t="array" ref="X60">IFERROR(INDEX(Analytica!$F$59:$AY$138,MATCH($C60,Analytica!$B$59:$B$168,0),MATCH(X$15&amp;X$10,Analytica!$F$58:$AY$58&amp;Analytica!$F$51:'Analytica'!$AY$51,0)),"")</f>
        <v/>
      </c>
      <c r="Y60" s="692" t="str">
        <f t="array" ref="Y60">IFERROR(INDEX(Analytica!$F$59:$AY$138,MATCH($C60,Analytica!$B$59:$B$168,0),MATCH(Y$15&amp;Y$10,Analytica!$F$58:$AY$58&amp;Analytica!$F$51:'Analytica'!$AY$51,0)),"")</f>
        <v/>
      </c>
      <c r="Z60" s="692" t="str">
        <f t="array" ref="Z60">IFERROR(INDEX(Analytica!$F$59:$AY$138,MATCH($C60,Analytica!$B$59:$B$168,0),MATCH(Z$15&amp;Z$10,Analytica!$F$58:$AY$58&amp;Analytica!$F$51:'Analytica'!$AY$51,0)),"")</f>
        <v/>
      </c>
      <c r="AA60" s="689" t="str">
        <f t="shared" si="10"/>
        <v/>
      </c>
      <c r="AB60" s="689">
        <v>2018</v>
      </c>
      <c r="AC60" s="1">
        <f t="shared" ca="1" si="11"/>
        <v>43</v>
      </c>
    </row>
    <row r="61" spans="1:30" x14ac:dyDescent="0.2">
      <c r="A61" s="1" t="str">
        <f t="shared" si="5"/>
        <v/>
      </c>
      <c r="B61" s="190" t="str">
        <f>ITEMS_nTech!C52</f>
        <v>Transport Passenger Gautrain Electricity-N</v>
      </c>
      <c r="C61" s="190" t="str">
        <f>E61&amp;RIGHT(D61,3)&amp;"-N"</f>
        <v>TPPUGATELC-N</v>
      </c>
      <c r="D61" s="611" t="str">
        <f>$F$6</f>
        <v>TRAELC</v>
      </c>
      <c r="E61" s="611" t="str">
        <f>TRP!B28</f>
        <v>TPPUGAT</v>
      </c>
      <c r="F61" s="692">
        <f t="array" ref="F61">IFERROR(INDEX(Analytica!$F$59:$AY$138,MATCH($C61,Analytica!$B$59:$B$168,0),MATCH(F$15&amp;F$10,Analytica!$F$58:$AY$58&amp;Analytica!$F$51:'Analytica'!$AY$51,0)),"")</f>
        <v>7.0026980278615358</v>
      </c>
      <c r="G61" s="692">
        <f t="array" ref="G61">IFERROR(INDEX(Analytica!$F$59:$AY$138,MATCH($C61,Analytica!$B$59:$B$168,0),MATCH(G$15&amp;G$10,Analytica!$F$58:$AY$58&amp;Analytica!$F$51:'Analytica'!$AY$51,0)),"")</f>
        <v>7.0026980278615358</v>
      </c>
      <c r="H61" s="692">
        <f t="array" ref="H61">IFERROR(INDEX(Analytica!$F$59:$AY$138,MATCH($C61,Analytica!$B$59:$B$168,0),MATCH(H$15&amp;H$10,Analytica!$F$58:$AY$58&amp;Analytica!$F$51:'Analytica'!$AY$51,0)),"")</f>
        <v>7.0026980278615358</v>
      </c>
      <c r="I61" s="692">
        <f t="array" ref="I61">IFERROR(INDEX(Analytica!$F$59:$AY$138,MATCH($C61,Analytica!$B$59:$B$168,0),MATCH(I$15&amp;I$10,Analytica!$F$58:$AY$58&amp;Analytica!$F$51:'Analytica'!$AY$51,0)),"")</f>
        <v>7.0026980278615358</v>
      </c>
      <c r="J61" s="1001">
        <v>1</v>
      </c>
      <c r="K61" s="1001">
        <v>1</v>
      </c>
      <c r="L61" s="1001">
        <v>1</v>
      </c>
      <c r="M61" s="1001">
        <v>1</v>
      </c>
      <c r="N61" s="1001">
        <v>1</v>
      </c>
      <c r="O61" s="692">
        <f t="array" ref="O61">IFERROR(INDEX(Analytica!$F$59:$AY$138,MATCH($C61,Analytica!$B$59:$B$168,0),MATCH(O$15&amp;O$10,Analytica!$F$58:$AY$58&amp;Analytica!$F$51:'Analytica'!$AY$51,0)),"")</f>
        <v>1</v>
      </c>
      <c r="P61" s="692">
        <f t="array" ref="P61">IFERROR(INDEX(Analytica!$F$59:$AY$138,MATCH($C61,Analytica!$B$59:$B$168,0),MATCH(P$15&amp;P$10,Analytica!$F$58:$AY$58&amp;Analytica!$F$51:'Analytica'!$AY$51,0)),"")</f>
        <v>1E-3</v>
      </c>
      <c r="Q61" s="692">
        <f t="array" ref="Q61">IFERROR(INDEX(Analytica!$F$59:$AY$138,MATCH($C61,Analytica!$B$59:$B$168,0),MATCH(Q$15&amp;Q$10,Analytica!$F$58:$AY$58&amp;Analytica!$F$51:'Analytica'!$AY$51,0)),"")</f>
        <v>1E-3</v>
      </c>
      <c r="R61" s="692">
        <f t="array" ref="R61">IFERROR(INDEX(Analytica!$F$59:$AY$138,MATCH($C61,Analytica!$B$59:$B$168,0),MATCH(R$15&amp;R$10,Analytica!$F$58:$AY$58&amp;Analytica!$F$51:'Analytica'!$AY$51,0)),"")</f>
        <v>1E-3</v>
      </c>
      <c r="S61" s="692">
        <f t="array" ref="S61">IFERROR(INDEX(Analytica!$F$59:$AY$138,MATCH($C61,Analytica!$B$59:$B$168,0),MATCH(S$15&amp;S$10,Analytica!$F$58:$AY$58&amp;Analytica!$F$51:'Analytica'!$AY$51,0)),"")</f>
        <v>1E-3</v>
      </c>
      <c r="T61" s="692">
        <f t="array" ref="T61">IFERROR(INDEX(Analytica!$F$59:$AY$138,MATCH($C61,Analytica!$B$59:$B$168,0),MATCH(T$15&amp;T$10,Analytica!$F$58:$AY$58&amp;Analytica!$F$51:'Analytica'!$AY$51,0)),"")</f>
        <v>1E-3</v>
      </c>
      <c r="U61" s="692">
        <f t="array" ref="U61">IFERROR(INDEX(Analytica!$F$59:$AY$138,MATCH($C61,Analytica!$B$59:$B$168,0),MATCH(U$15&amp;U$10,Analytica!$F$58:$AY$58&amp;Analytica!$F$51:'Analytica'!$AY$51,0)),"")</f>
        <v>1E-3</v>
      </c>
      <c r="V61" s="692">
        <f t="array" ref="V61">IFERROR(INDEX(Analytica!$F$59:$AY$138,MATCH($C61,Analytica!$B$59:$B$168,0),MATCH(V$15&amp;V$10,Analytica!$F$58:$AY$58&amp;Analytica!$F$51:'Analytica'!$AY$51,0)),"")</f>
        <v>2.0250000000000001E-5</v>
      </c>
      <c r="W61" s="692">
        <f t="array" ref="W61">IFERROR(INDEX(Analytica!$F$59:$AY$138,MATCH($C61,Analytica!$B$59:$B$168,0),MATCH(W$15&amp;W$10,Analytica!$F$58:$AY$58&amp;Analytica!$F$51:'Analytica'!$AY$51,0)),"")</f>
        <v>2.0250000000000001E-5</v>
      </c>
      <c r="X61" s="692">
        <f t="array" ref="X61">IFERROR(INDEX(Analytica!$F$59:$AY$138,MATCH($C61,Analytica!$B$59:$B$168,0),MATCH(X$15&amp;X$10,Analytica!$F$58:$AY$58&amp;Analytica!$F$51:'Analytica'!$AY$51,0)),"")</f>
        <v>2.0250000000000001E-5</v>
      </c>
      <c r="Y61" s="692">
        <f t="array" ref="Y61">IFERROR(INDEX(Analytica!$F$59:$AY$138,MATCH($C61,Analytica!$B$59:$B$168,0),MATCH(Y$15&amp;Y$10,Analytica!$F$58:$AY$58&amp;Analytica!$F$51:'Analytica'!$AY$51,0)),"")</f>
        <v>2.0250000000000001E-5</v>
      </c>
      <c r="Z61" s="692">
        <v>50</v>
      </c>
      <c r="AA61" s="689">
        <f t="shared" si="10"/>
        <v>50</v>
      </c>
      <c r="AB61" s="689">
        <v>2013</v>
      </c>
      <c r="AC61" s="1">
        <f t="shared" ca="1" si="11"/>
        <v>44</v>
      </c>
    </row>
    <row r="62" spans="1:30" x14ac:dyDescent="0.2">
      <c r="A62" s="1" t="str">
        <f t="shared" si="5"/>
        <v/>
      </c>
      <c r="B62" s="190" t="s">
        <v>1124</v>
      </c>
      <c r="C62" s="190"/>
      <c r="D62" s="611"/>
      <c r="E62" s="611"/>
      <c r="F62" s="692" t="str">
        <f t="array" ref="F62">IFERROR(INDEX(Analytica!$F$59:$AY$138,MATCH($C62,Analytica!$B$59:$B$168,0),MATCH(F$15&amp;F$10,Analytica!$F$58:$AY$58&amp;Analytica!$F$51:'Analytica'!$AY$51,0)),"")</f>
        <v/>
      </c>
      <c r="G62" s="692" t="str">
        <f t="array" ref="G62">IFERROR(INDEX(Analytica!$F$59:$AY$138,MATCH($C62,Analytica!$B$59:$B$168,0),MATCH(G$15&amp;G$10,Analytica!$F$58:$AY$58&amp;Analytica!$F$51:'Analytica'!$AY$51,0)),"")</f>
        <v/>
      </c>
      <c r="H62" s="692" t="str">
        <f t="array" ref="H62">IFERROR(INDEX(Analytica!$F$59:$AY$138,MATCH($C62,Analytica!$B$59:$B$168,0),MATCH(H$15&amp;H$10,Analytica!$F$58:$AY$58&amp;Analytica!$F$51:'Analytica'!$AY$51,0)),"")</f>
        <v/>
      </c>
      <c r="I62" s="692" t="str">
        <f t="array" ref="I62">IFERROR(INDEX(Analytica!$F$59:$AY$138,MATCH($C62,Analytica!$B$59:$B$168,0),MATCH(I$15&amp;I$10,Analytica!$F$58:$AY$58&amp;Analytica!$F$51:'Analytica'!$AY$51,0)),"")</f>
        <v/>
      </c>
      <c r="J62" s="1001"/>
      <c r="K62" s="1001"/>
      <c r="L62" s="1001"/>
      <c r="M62" s="1001"/>
      <c r="N62" s="1001"/>
      <c r="O62" s="692" t="str">
        <f t="array" ref="O62">IFERROR(INDEX(Analytica!$F$59:$AY$138,MATCH($C62,Analytica!$B$59:$B$168,0),MATCH(O$15&amp;O$10,Analytica!$F$58:$AY$58&amp;Analytica!$F$51:'Analytica'!$AY$51,0)),"")</f>
        <v/>
      </c>
      <c r="P62" s="619" t="str">
        <f t="array" ref="P62">IFERROR(INDEX(Analytica!$F$59:$AY$138,MATCH($C62,Analytica!$B$59:$B$168,0),MATCH(P$15&amp;P$10,Analytica!$F$58:$AY$58&amp;Analytica!$F$51:'Analytica'!$AY$51,0)),"")</f>
        <v/>
      </c>
      <c r="Q62" s="619" t="str">
        <f t="array" ref="Q62">IFERROR(INDEX(Analytica!$F$59:$AY$138,MATCH($C62,Analytica!$B$59:$B$168,0),MATCH(Q$15&amp;Q$10,Analytica!$F$58:$AY$58&amp;Analytica!$F$51:'Analytica'!$AY$51,0)),"")</f>
        <v/>
      </c>
      <c r="R62" s="619" t="str">
        <f t="array" ref="R62">IFERROR(INDEX(Analytica!$F$59:$AY$138,MATCH($C62,Analytica!$B$59:$B$168,0),MATCH(R$15&amp;R$10,Analytica!$F$58:$AY$58&amp;Analytica!$F$51:'Analytica'!$AY$51,0)),"")</f>
        <v/>
      </c>
      <c r="S62" s="619" t="str">
        <f t="array" ref="S62">IFERROR(INDEX(Analytica!$F$59:$AY$138,MATCH($C62,Analytica!$B$59:$B$168,0),MATCH(S$15&amp;S$10,Analytica!$F$58:$AY$58&amp;Analytica!$F$51:'Analytica'!$AY$51,0)),"")</f>
        <v/>
      </c>
      <c r="T62" s="619" t="str">
        <f t="array" ref="T62">IFERROR(INDEX(Analytica!$F$59:$AY$138,MATCH($C62,Analytica!$B$59:$B$168,0),MATCH(T$15&amp;T$10,Analytica!$F$58:$AY$58&amp;Analytica!$F$51:'Analytica'!$AY$51,0)),"")</f>
        <v/>
      </c>
      <c r="U62" s="619" t="str">
        <f t="array" ref="U62">IFERROR(INDEX(Analytica!$F$59:$AY$138,MATCH($C62,Analytica!$B$59:$B$168,0),MATCH(U$15&amp;U$10,Analytica!$F$58:$AY$58&amp;Analytica!$F$51:'Analytica'!$AY$51,0)),"")</f>
        <v/>
      </c>
      <c r="V62" s="619" t="str">
        <f t="array" ref="V62">IFERROR(INDEX(Analytica!$F$59:$AY$138,MATCH($C62,Analytica!$B$59:$B$168,0),MATCH(V$15&amp;V$10,Analytica!$F$58:$AY$58&amp;Analytica!$F$51:'Analytica'!$AY$51,0)),"")</f>
        <v/>
      </c>
      <c r="W62" s="619" t="str">
        <f t="array" ref="W62">IFERROR(INDEX(Analytica!$F$59:$AY$138,MATCH($C62,Analytica!$B$59:$B$168,0),MATCH(W$15&amp;W$10,Analytica!$F$58:$AY$58&amp;Analytica!$F$51:'Analytica'!$AY$51,0)),"")</f>
        <v/>
      </c>
      <c r="X62" s="619" t="str">
        <f t="array" ref="X62">IFERROR(INDEX(Analytica!$F$59:$AY$138,MATCH($C62,Analytica!$B$59:$B$168,0),MATCH(X$15&amp;X$10,Analytica!$F$58:$AY$58&amp;Analytica!$F$51:'Analytica'!$AY$51,0)),"")</f>
        <v/>
      </c>
      <c r="Y62" s="619" t="str">
        <f t="array" ref="Y62">IFERROR(INDEX(Analytica!$F$59:$AY$138,MATCH($C62,Analytica!$B$59:$B$168,0),MATCH(Y$15&amp;Y$10,Analytica!$F$58:$AY$58&amp;Analytica!$F$51:'Analytica'!$AY$51,0)),"")</f>
        <v/>
      </c>
      <c r="Z62" s="689"/>
      <c r="AA62" s="689">
        <f t="shared" si="10"/>
        <v>0</v>
      </c>
      <c r="AB62" s="689">
        <v>2018</v>
      </c>
      <c r="AC62" s="1">
        <f t="shared" ca="1" si="11"/>
        <v>45</v>
      </c>
    </row>
    <row r="63" spans="1:30" x14ac:dyDescent="0.2">
      <c r="A63" s="1" t="str">
        <f t="shared" si="5"/>
        <v/>
      </c>
      <c r="B63" s="190" t="s">
        <v>1124</v>
      </c>
      <c r="C63" s="190"/>
      <c r="D63" s="611"/>
      <c r="E63" s="611"/>
      <c r="F63" s="692">
        <f>15/13</f>
        <v>1.1538461538461537</v>
      </c>
      <c r="G63" s="692" t="str">
        <f t="array" ref="G63">IFERROR(INDEX(Analytica!$F$59:$AY$138,MATCH($C63,Analytica!$B$59:$B$168,0),MATCH(G$15&amp;G$10,Analytica!$F$58:$AY$58&amp;Analytica!$F$51:'Analytica'!$AY$51,0)),"")</f>
        <v/>
      </c>
      <c r="H63" s="692" t="str">
        <f t="array" ref="H63">IFERROR(INDEX(Analytica!$F$59:$AY$138,MATCH($C63,Analytica!$B$59:$B$168,0),MATCH(H$15&amp;H$10,Analytica!$F$58:$AY$58&amp;Analytica!$F$51:'Analytica'!$AY$51,0)),"")</f>
        <v/>
      </c>
      <c r="I63" s="692" t="str">
        <f t="array" ref="I63">IFERROR(INDEX(Analytica!$F$59:$AY$138,MATCH($C63,Analytica!$B$59:$B$168,0),MATCH(I$15&amp;I$10,Analytica!$F$58:$AY$58&amp;Analytica!$F$51:'Analytica'!$AY$51,0)),"")</f>
        <v/>
      </c>
      <c r="J63" s="1001"/>
      <c r="K63" s="1001"/>
      <c r="L63" s="1001"/>
      <c r="M63" s="1001"/>
      <c r="N63" s="1001"/>
      <c r="O63" s="692" t="str">
        <f t="array" ref="O63">IFERROR(INDEX(Analytica!$F$59:$AY$138,MATCH($C63,Analytica!$B$59:$B$168,0),MATCH(O$15&amp;O$10,Analytica!$F$58:$AY$58&amp;Analytica!$F$51:'Analytica'!$AY$51,0)),"")</f>
        <v/>
      </c>
      <c r="P63" s="619" t="str">
        <f t="array" ref="P63">IFERROR(INDEX(Analytica!$F$59:$AY$138,MATCH($C63,Analytica!$B$59:$B$168,0),MATCH(P$15&amp;P$10,Analytica!$F$58:$AY$58&amp;Analytica!$F$51:'Analytica'!$AY$51,0)),"")</f>
        <v/>
      </c>
      <c r="Q63" s="619" t="str">
        <f t="array" ref="Q63">IFERROR(INDEX(Analytica!$F$59:$AY$138,MATCH($C63,Analytica!$B$59:$B$168,0),MATCH(Q$15&amp;Q$10,Analytica!$F$58:$AY$58&amp;Analytica!$F$51:'Analytica'!$AY$51,0)),"")</f>
        <v/>
      </c>
      <c r="R63" s="619" t="str">
        <f t="array" ref="R63">IFERROR(INDEX(Analytica!$F$59:$AY$138,MATCH($C63,Analytica!$B$59:$B$168,0),MATCH(R$15&amp;R$10,Analytica!$F$58:$AY$58&amp;Analytica!$F$51:'Analytica'!$AY$51,0)),"")</f>
        <v/>
      </c>
      <c r="S63" s="619" t="str">
        <f t="array" ref="S63">IFERROR(INDEX(Analytica!$F$59:$AY$138,MATCH($C63,Analytica!$B$59:$B$168,0),MATCH(S$15&amp;S$10,Analytica!$F$58:$AY$58&amp;Analytica!$F$51:'Analytica'!$AY$51,0)),"")</f>
        <v/>
      </c>
      <c r="T63" s="619" t="str">
        <f t="array" ref="T63">IFERROR(INDEX(Analytica!$F$59:$AY$138,MATCH($C63,Analytica!$B$59:$B$168,0),MATCH(T$15&amp;T$10,Analytica!$F$58:$AY$58&amp;Analytica!$F$51:'Analytica'!$AY$51,0)),"")</f>
        <v/>
      </c>
      <c r="U63" s="619" t="str">
        <f t="array" ref="U63">IFERROR(INDEX(Analytica!$F$59:$AY$138,MATCH($C63,Analytica!$B$59:$B$168,0),MATCH(U$15&amp;U$10,Analytica!$F$58:$AY$58&amp;Analytica!$F$51:'Analytica'!$AY$51,0)),"")</f>
        <v/>
      </c>
      <c r="V63" s="619" t="str">
        <f t="array" ref="V63">IFERROR(INDEX(Analytica!$F$59:$AY$138,MATCH($C63,Analytica!$B$59:$B$168,0),MATCH(V$15&amp;V$10,Analytica!$F$58:$AY$58&amp;Analytica!$F$51:'Analytica'!$AY$51,0)),"")</f>
        <v/>
      </c>
      <c r="W63" s="619" t="str">
        <f t="array" ref="W63">IFERROR(INDEX(Analytica!$F$59:$AY$138,MATCH($C63,Analytica!$B$59:$B$168,0),MATCH(W$15&amp;W$10,Analytica!$F$58:$AY$58&amp;Analytica!$F$51:'Analytica'!$AY$51,0)),"")</f>
        <v/>
      </c>
      <c r="X63" s="619" t="str">
        <f t="array" ref="X63">IFERROR(INDEX(Analytica!$F$59:$AY$138,MATCH($C63,Analytica!$B$59:$B$168,0),MATCH(X$15&amp;X$10,Analytica!$F$58:$AY$58&amp;Analytica!$F$51:'Analytica'!$AY$51,0)),"")</f>
        <v/>
      </c>
      <c r="Y63" s="619" t="str">
        <f t="array" ref="Y63">IFERROR(INDEX(Analytica!$F$59:$AY$138,MATCH($C63,Analytica!$B$59:$B$168,0),MATCH(Y$15&amp;Y$10,Analytica!$F$58:$AY$58&amp;Analytica!$F$51:'Analytica'!$AY$51,0)),"")</f>
        <v/>
      </c>
      <c r="Z63" s="689"/>
      <c r="AA63" s="689">
        <f t="shared" si="10"/>
        <v>0</v>
      </c>
      <c r="AB63" s="689">
        <v>2018</v>
      </c>
      <c r="AC63" s="1">
        <f t="shared" ca="1" si="11"/>
        <v>46</v>
      </c>
    </row>
    <row r="64" spans="1:30" x14ac:dyDescent="0.2">
      <c r="A64" s="1" t="str">
        <f t="shared" si="5"/>
        <v/>
      </c>
      <c r="B64" s="190" t="s">
        <v>1124</v>
      </c>
      <c r="C64" s="190"/>
      <c r="D64" s="608"/>
      <c r="E64" s="608"/>
      <c r="F64" s="692" t="str">
        <f t="array" ref="F64">IFERROR(INDEX(Analytica!$F$59:$AY$138,MATCH($C64,Analytica!$B$59:$B$168,0),MATCH(F$15&amp;F$10,Analytica!$F$58:$AY$58&amp;Analytica!$F$51:'Analytica'!$AY$51,0)),"")</f>
        <v/>
      </c>
      <c r="G64" s="692" t="str">
        <f t="array" ref="G64">IFERROR(INDEX(Analytica!$F$59:$AY$138,MATCH($C64,Analytica!$B$59:$B$168,0),MATCH(G$15&amp;G$10,Analytica!$F$58:$AY$58&amp;Analytica!$F$51:'Analytica'!$AY$51,0)),"")</f>
        <v/>
      </c>
      <c r="H64" s="692" t="str">
        <f t="array" ref="H64">IFERROR(INDEX(Analytica!$F$59:$AY$138,MATCH($C64,Analytica!$B$59:$B$168,0),MATCH(H$15&amp;H$10,Analytica!$F$58:$AY$58&amp;Analytica!$F$51:'Analytica'!$AY$51,0)),"")</f>
        <v/>
      </c>
      <c r="I64" s="692" t="str">
        <f t="array" ref="I64">IFERROR(INDEX(Analytica!$F$59:$AY$138,MATCH($C64,Analytica!$B$59:$B$168,0),MATCH(I$15&amp;I$10,Analytica!$F$58:$AY$58&amp;Analytica!$F$51:'Analytica'!$AY$51,0)),"")</f>
        <v/>
      </c>
      <c r="J64" s="619"/>
      <c r="K64" s="619"/>
      <c r="L64" s="619"/>
      <c r="M64" s="1001"/>
      <c r="N64" s="1001"/>
      <c r="O64" s="692" t="str">
        <f t="array" ref="O64">IFERROR(INDEX(Analytica!$F$59:$AY$138,MATCH($C64,Analytica!$B$59:$B$168,0),MATCH(O$15&amp;O$10,Analytica!$F$58:$AY$58&amp;Analytica!$F$51:'Analytica'!$AY$51,0)),"")</f>
        <v/>
      </c>
      <c r="P64" s="619" t="str">
        <f t="array" ref="P64">IFERROR(INDEX(Analytica!$F$59:$AY$138,MATCH($C64,Analytica!$B$59:$B$168,0),MATCH(P$15&amp;P$10,Analytica!$F$58:$AY$58&amp;Analytica!$F$51:'Analytica'!$AY$51,0)),"")</f>
        <v/>
      </c>
      <c r="Q64" s="619" t="str">
        <f t="array" ref="Q64">IFERROR(INDEX(Analytica!$F$59:$AY$138,MATCH($C64,Analytica!$B$59:$B$168,0),MATCH(Q$15&amp;Q$10,Analytica!$F$58:$AY$58&amp;Analytica!$F$51:'Analytica'!$AY$51,0)),"")</f>
        <v/>
      </c>
      <c r="R64" s="619" t="str">
        <f t="array" ref="R64">IFERROR(INDEX(Analytica!$F$59:$AY$138,MATCH($C64,Analytica!$B$59:$B$168,0),MATCH(R$15&amp;R$10,Analytica!$F$58:$AY$58&amp;Analytica!$F$51:'Analytica'!$AY$51,0)),"")</f>
        <v/>
      </c>
      <c r="S64" s="619" t="str">
        <f t="array" ref="S64">IFERROR(INDEX(Analytica!$F$59:$AY$138,MATCH($C64,Analytica!$B$59:$B$168,0),MATCH(S$15&amp;S$10,Analytica!$F$58:$AY$58&amp;Analytica!$F$51:'Analytica'!$AY$51,0)),"")</f>
        <v/>
      </c>
      <c r="T64" s="619" t="str">
        <f t="array" ref="T64">IFERROR(INDEX(Analytica!$F$59:$AY$138,MATCH($C64,Analytica!$B$59:$B$168,0),MATCH(T$15&amp;T$10,Analytica!$F$58:$AY$58&amp;Analytica!$F$51:'Analytica'!$AY$51,0)),"")</f>
        <v/>
      </c>
      <c r="U64" s="619" t="str">
        <f t="array" ref="U64">IFERROR(INDEX(Analytica!$F$59:$AY$138,MATCH($C64,Analytica!$B$59:$B$168,0),MATCH(U$15&amp;U$10,Analytica!$F$58:$AY$58&amp;Analytica!$F$51:'Analytica'!$AY$51,0)),"")</f>
        <v/>
      </c>
      <c r="V64" s="619" t="str">
        <f t="array" ref="V64">IFERROR(INDEX(Analytica!$F$59:$AY$138,MATCH($C64,Analytica!$B$59:$B$168,0),MATCH(V$15&amp;V$10,Analytica!$F$58:$AY$58&amp;Analytica!$F$51:'Analytica'!$AY$51,0)),"")</f>
        <v/>
      </c>
      <c r="W64" s="619" t="str">
        <f t="array" ref="W64">IFERROR(INDEX(Analytica!$F$59:$AY$138,MATCH($C64,Analytica!$B$59:$B$168,0),MATCH(W$15&amp;W$10,Analytica!$F$58:$AY$58&amp;Analytica!$F$51:'Analytica'!$AY$51,0)),"")</f>
        <v/>
      </c>
      <c r="X64" s="619" t="str">
        <f t="array" ref="X64">IFERROR(INDEX(Analytica!$F$59:$AY$138,MATCH($C64,Analytica!$B$59:$B$168,0),MATCH(X$15&amp;X$10,Analytica!$F$58:$AY$58&amp;Analytica!$F$51:'Analytica'!$AY$51,0)),"")</f>
        <v/>
      </c>
      <c r="Y64" s="619" t="str">
        <f t="array" ref="Y64">IFERROR(INDEX(Analytica!$F$59:$AY$138,MATCH($C64,Analytica!$B$59:$B$168,0),MATCH(Y$15&amp;Y$10,Analytica!$F$58:$AY$58&amp;Analytica!$F$51:'Analytica'!$AY$51,0)),"")</f>
        <v/>
      </c>
      <c r="Z64" s="689"/>
      <c r="AA64" s="689">
        <f t="shared" si="10"/>
        <v>0</v>
      </c>
      <c r="AB64" s="689">
        <v>2018</v>
      </c>
      <c r="AC64" s="1">
        <f t="shared" ca="1" si="11"/>
        <v>47</v>
      </c>
    </row>
    <row r="65" spans="1:30" x14ac:dyDescent="0.2">
      <c r="A65" s="1" t="str">
        <f t="shared" si="5"/>
        <v/>
      </c>
      <c r="B65" s="190" t="str">
        <f>ITEMS_nTech!C56</f>
        <v>Transport Freight - LCV Oil Diesel-N</v>
      </c>
      <c r="C65" s="190" t="str">
        <f>E65&amp;RIGHT(D65,3)&amp;"-N"</f>
        <v>TFLCVODS-N</v>
      </c>
      <c r="D65" s="611" t="str">
        <f>$E$6</f>
        <v>TRAODS</v>
      </c>
      <c r="E65" s="611" t="str">
        <f>TRP!$B$31</f>
        <v>TFLCV</v>
      </c>
      <c r="F65" s="692">
        <f t="array" ref="F65">IFERROR(INDEX(Analytica!$F$59:$AY$138,MATCH($C65,Analytica!$B$59:$B$168,0),MATCH(F$15&amp;F$10,Analytica!$F$58:$AY$58&amp;Analytica!$F$51:'Analytica'!$AY$51,0)),"")</f>
        <v>0.23665489362454264</v>
      </c>
      <c r="G65" s="692">
        <f t="array" ref="G65">IFERROR(INDEX(Analytica!$F$59:$AY$138,MATCH($C65,Analytica!$B$59:$B$168,0),MATCH(G$15&amp;G$10,Analytica!$F$58:$AY$58&amp;Analytica!$F$51:'Analytica'!$AY$51,0)),"")</f>
        <v>0.25007346676770725</v>
      </c>
      <c r="H65" s="692">
        <f t="array" ref="H65">IFERROR(INDEX(Analytica!$F$59:$AY$138,MATCH($C65,Analytica!$B$59:$B$168,0),MATCH(H$15&amp;H$10,Analytica!$F$58:$AY$58&amp;Analytica!$F$51:'Analytica'!$AY$51,0)),"")</f>
        <v>0.27651307304523115</v>
      </c>
      <c r="I65" s="692">
        <f t="array" ref="I65">IFERROR(INDEX(Analytica!$F$59:$AY$138,MATCH($C65,Analytica!$B$59:$B$168,0),MATCH(I$15&amp;I$10,Analytica!$F$58:$AY$58&amp;Analytica!$F$51:'Analytica'!$AY$51,0)),"")</f>
        <v>0.30574806897022955</v>
      </c>
      <c r="J65" s="1001">
        <v>1</v>
      </c>
      <c r="K65" s="1001">
        <v>1</v>
      </c>
      <c r="L65" s="1001">
        <v>1</v>
      </c>
      <c r="M65" s="1001">
        <v>1</v>
      </c>
      <c r="N65" s="1001">
        <v>1</v>
      </c>
      <c r="O65" s="692">
        <f t="array" ref="O65">IFERROR(INDEX(Analytica!$F$59:$AY$138,MATCH($C65,Analytica!$B$59:$B$168,0),MATCH(O$15&amp;O$10,Analytica!$F$58:$AY$58&amp;Analytica!$F$51:'Analytica'!$AY$51,0)),"")</f>
        <v>0.04</v>
      </c>
      <c r="P65" s="619">
        <f>INDEX(CostProjections!$Q$9:$W$91,MATCH($C65,CostProjections!$N$9:$N$91,0),MATCH(P$15,CostProjections!$Q$8:$W$8,0))*0.001</f>
        <v>440.55264716666665</v>
      </c>
      <c r="Q65" s="619">
        <f>INDEX(CostProjections!$Q$9:$W$91,MATCH($C65,CostProjections!$N$9:$N$91,0),MATCH(Q$15,CostProjections!$Q$8:$W$8,0))*0.001</f>
        <v>451.65694279166661</v>
      </c>
      <c r="R65" s="619">
        <f>INDEX(CostProjections!$Q$9:$W$91,MATCH($C65,CostProjections!$N$9:$N$91,0),MATCH(R$15,CostProjections!$Q$8:$W$8,0))*0.001</f>
        <v>462.76123841666663</v>
      </c>
      <c r="S65" s="619">
        <f>INDEX(CostProjections!$Q$9:$W$91,MATCH($C65,CostProjections!$N$9:$N$91,0),MATCH(S$15,CostProjections!$Q$8:$W$8,0))*0.001</f>
        <v>473.86553404166665</v>
      </c>
      <c r="T65" s="619">
        <f>INDEX(CostProjections!$Q$9:$W$91,MATCH($C65,CostProjections!$N$9:$N$91,0),MATCH(T$15,CostProjections!$Q$8:$W$8,0))*0.001</f>
        <v>484.96982966666661</v>
      </c>
      <c r="U65" s="619">
        <f>INDEX(CostProjections!$Q$9:$W$91,MATCH($C65,CostProjections!$N$9:$N$91,0),MATCH(U$15,CostProjections!$Q$8:$W$8,0))*0.001</f>
        <v>507.17842091666665</v>
      </c>
      <c r="V65" s="619">
        <f>INDEX(CostProjections!$Z$9:$AF$91,MATCH($C65,CostProjections!$N$9:$N$91,0),MATCH(V$15,CostProjections!$Z$8:$AF$8,0))*0.001</f>
        <v>7.0114479655172408</v>
      </c>
      <c r="W65" s="619">
        <f>INDEX(CostProjections!$Z$9:$AF$91,MATCH($C65,CostProjections!$N$9:$N$91,0),MATCH(W$15,CostProjections!$Z$8:$AF$8,0))*0.001</f>
        <v>7.3649003461538465</v>
      </c>
      <c r="X65" s="619">
        <f>INDEX(CostProjections!$Z$9:$AF$91,MATCH($C65,CostProjections!$N$9:$N$91,0),MATCH(X$15,CostProjections!$Z$8:$AF$8,0))*0.001</f>
        <v>7.7183527267904504</v>
      </c>
      <c r="Y65" s="619">
        <f>INDEX(CostProjections!$Z$9:$AF$91,MATCH($C65,CostProjections!$N$9:$N$91,0),MATCH(Y$15,CostProjections!$Z$8:$AF$8,0))*0.001</f>
        <v>8.0718051074270551</v>
      </c>
      <c r="Z65" s="689">
        <v>20</v>
      </c>
      <c r="AA65" s="689">
        <f t="shared" si="10"/>
        <v>20</v>
      </c>
      <c r="AB65" s="689">
        <v>2018</v>
      </c>
      <c r="AC65" s="1">
        <f t="shared" ca="1" si="11"/>
        <v>48</v>
      </c>
    </row>
    <row r="66" spans="1:30" x14ac:dyDescent="0.2">
      <c r="A66" s="1" t="str">
        <f t="shared" si="5"/>
        <v>*</v>
      </c>
      <c r="B66" s="190" t="str">
        <f>ITEMS_nTech!C57</f>
        <v>Transport Freight - LCV Oil Diesel Hybrid-N</v>
      </c>
      <c r="C66" s="190" t="str">
        <f>E66&amp;RIGHT(D66,3)&amp;"H-N"</f>
        <v>TFLCVODSH-N</v>
      </c>
      <c r="D66" s="611" t="str">
        <f>$E$6</f>
        <v>TRAODS</v>
      </c>
      <c r="E66" s="611" t="str">
        <f>TRP!$B$31</f>
        <v>TFLCV</v>
      </c>
      <c r="F66" s="692">
        <f t="array" ref="F66">IFERROR(INDEX(Analytica!$F$59:$AY$138,MATCH($C66,Analytica!$B$59:$B$168,0),MATCH(F$15&amp;F$10,Analytica!$F$58:$AY$58&amp;Analytica!$F$51:'Analytica'!$AY$51,0)),"")</f>
        <v>0.24270993496077886</v>
      </c>
      <c r="G66" s="692">
        <f t="array" ref="G66">IFERROR(INDEX(Analytica!$F$59:$AY$138,MATCH($C66,Analytica!$B$59:$B$168,0),MATCH(G$15&amp;G$10,Analytica!$F$58:$AY$58&amp;Analytica!$F$51:'Analytica'!$AY$51,0)),"")</f>
        <v>0.25647183510559879</v>
      </c>
      <c r="H66" s="692">
        <f t="array" ref="H66">IFERROR(INDEX(Analytica!$F$59:$AY$138,MATCH($C66,Analytica!$B$59:$B$168,0),MATCH(H$15&amp;H$10,Analytica!$F$58:$AY$58&amp;Analytica!$F$51:'Analytica'!$AY$51,0)),"")</f>
        <v>0.28358792394586324</v>
      </c>
      <c r="I66" s="692">
        <f t="array" ref="I66">IFERROR(INDEX(Analytica!$F$59:$AY$138,MATCH($C66,Analytica!$B$59:$B$168,0),MATCH(I$15&amp;I$10,Analytica!$F$58:$AY$58&amp;Analytica!$F$51:'Analytica'!$AY$51,0)),"")</f>
        <v>0.31357092514588203</v>
      </c>
      <c r="J66" s="1001">
        <v>1</v>
      </c>
      <c r="K66" s="1001">
        <v>1</v>
      </c>
      <c r="L66" s="1001">
        <v>1</v>
      </c>
      <c r="M66" s="1001">
        <v>1</v>
      </c>
      <c r="N66" s="1001">
        <v>1</v>
      </c>
      <c r="O66" s="692">
        <f t="array" ref="O66">IFERROR(INDEX(Analytica!$F$59:$AY$138,MATCH($C66,Analytica!$B$59:$B$168,0),MATCH(O$15&amp;O$10,Analytica!$F$58:$AY$58&amp;Analytica!$F$51:'Analytica'!$AY$51,0)),"")</f>
        <v>0.04</v>
      </c>
      <c r="P66" s="619">
        <f>INDEX(CostProjections!$Q$9:$W$91,MATCH($C66,CostProjections!$N$9:$N$91,0),MATCH(P$15,CostProjections!$Q$8:$W$8,0))*0.001</f>
        <v>561.02406464457817</v>
      </c>
      <c r="Q66" s="619">
        <f>INDEX(CostProjections!$Q$9:$W$91,MATCH($C66,CostProjections!$N$9:$N$91,0),MATCH(Q$15,CostProjections!$Q$8:$W$8,0))*0.001</f>
        <v>517.42984817664717</v>
      </c>
      <c r="R66" s="619">
        <f>INDEX(CostProjections!$Q$9:$W$91,MATCH($C66,CostProjections!$N$9:$N$91,0),MATCH(R$15,CostProjections!$Q$8:$W$8,0))*0.001</f>
        <v>487.37251476795632</v>
      </c>
      <c r="S66" s="619">
        <f>INDEX(CostProjections!$Q$9:$W$91,MATCH($C66,CostProjections!$N$9:$N$91,0),MATCH(S$15,CostProjections!$Q$8:$W$8,0))*0.001</f>
        <v>488.12858988041552</v>
      </c>
      <c r="T66" s="619">
        <f>INDEX(CostProjections!$Q$9:$W$91,MATCH($C66,CostProjections!$N$9:$N$91,0),MATCH(T$15,CostProjections!$Q$8:$W$8,0))*0.001</f>
        <v>488.88526235594236</v>
      </c>
      <c r="U66" s="619">
        <f>INDEX(CostProjections!$Q$9:$W$91,MATCH($C66,CostProjections!$N$9:$N$91,0),MATCH(U$15,CostProjections!$Q$8:$W$8,0))*0.001</f>
        <v>490.23725458797793</v>
      </c>
      <c r="V66" s="619">
        <f>INDEX(CostProjections!$Z$9:$AF$91,MATCH($C66,CostProjections!$N$9:$N$91,0),MATCH(V$15,CostProjections!$Z$8:$AF$8,0))*0.001</f>
        <v>15.147649745403609</v>
      </c>
      <c r="W66" s="619">
        <f>INDEX(CostProjections!$Z$9:$AF$91,MATCH($C66,CostProjections!$N$9:$N$91,0),MATCH(W$15,CostProjections!$Z$8:$AF$8,0))*0.001</f>
        <v>13.159057898734821</v>
      </c>
      <c r="X66" s="619">
        <f>INDEX(CostProjections!$Z$9:$AF$91,MATCH($C66,CostProjections!$N$9:$N$91,0),MATCH(X$15,CostProjections!$Z$8:$AF$8,0))*0.001</f>
        <v>13.199902083610443</v>
      </c>
      <c r="Y66" s="619">
        <f>INDEX(CostProjections!$Z$9:$AF$91,MATCH($C66,CostProjections!$N$9:$N$91,0),MATCH(Y$15,CostProjections!$Z$8:$AF$8,0))*0.001</f>
        <v>13.236405873875404</v>
      </c>
      <c r="Z66" s="689">
        <f>Z65</f>
        <v>20</v>
      </c>
      <c r="AA66" s="689">
        <f t="shared" si="10"/>
        <v>20</v>
      </c>
      <c r="AB66" s="855">
        <v>2080</v>
      </c>
      <c r="AC66" s="1">
        <f t="shared" ca="1" si="11"/>
        <v>49</v>
      </c>
      <c r="AD66" s="1">
        <v>1</v>
      </c>
    </row>
    <row r="67" spans="1:30" x14ac:dyDescent="0.2">
      <c r="A67" s="1" t="str">
        <f t="shared" si="5"/>
        <v/>
      </c>
      <c r="B67" s="190" t="str">
        <f>ITEMS_nTech!C58</f>
        <v>Transport Freight - LCV Oil Gasoline-N</v>
      </c>
      <c r="C67" s="190" t="str">
        <f>E67&amp;RIGHT(D67,3)&amp;"-N"</f>
        <v>TFLCVOGS-N</v>
      </c>
      <c r="D67" s="611" t="str">
        <f>$H$6</f>
        <v>TRAOGS</v>
      </c>
      <c r="E67" s="611" t="str">
        <f>TRP!$B$31</f>
        <v>TFLCV</v>
      </c>
      <c r="F67" s="692">
        <f t="array" ref="F67">IFERROR(INDEX(Analytica!$F$59:$AY$138,MATCH($C67,Analytica!$B$59:$B$168,0),MATCH(F$15&amp;F$10,Analytica!$F$58:$AY$58&amp;Analytica!$F$51:'Analytica'!$AY$51,0)),"")</f>
        <v>0.2068742400139009</v>
      </c>
      <c r="G67" s="692">
        <f t="array" ref="G67">IFERROR(INDEX(Analytica!$F$59:$AY$138,MATCH($C67,Analytica!$B$59:$B$168,0),MATCH(G$15&amp;G$10,Analytica!$F$58:$AY$58&amp;Analytica!$F$51:'Analytica'!$AY$51,0)),"")</f>
        <v>0.21860421981084194</v>
      </c>
      <c r="H67" s="692">
        <f t="array" ref="H67">IFERROR(INDEX(Analytica!$F$59:$AY$138,MATCH($C67,Analytica!$B$59:$B$168,0),MATCH(H$15&amp;H$10,Analytica!$F$58:$AY$58&amp;Analytica!$F$51:'Analytica'!$AY$51,0)),"")</f>
        <v>0.24171666583364532</v>
      </c>
      <c r="I67" s="692">
        <f t="array" ref="I67">IFERROR(INDEX(Analytica!$F$59:$AY$138,MATCH($C67,Analytica!$B$59:$B$168,0),MATCH(I$15&amp;I$10,Analytica!$F$58:$AY$58&amp;Analytica!$F$51:'Analytica'!$AY$51,0)),"")</f>
        <v>0.26727272964945947</v>
      </c>
      <c r="J67" s="1001">
        <v>1</v>
      </c>
      <c r="K67" s="1001">
        <v>1</v>
      </c>
      <c r="L67" s="1001">
        <v>1</v>
      </c>
      <c r="M67" s="1001">
        <v>1</v>
      </c>
      <c r="N67" s="1001">
        <v>1</v>
      </c>
      <c r="O67" s="692">
        <f t="array" ref="O67">IFERROR(INDEX(Analytica!$F$59:$AY$138,MATCH($C67,Analytica!$B$59:$B$168,0),MATCH(O$15&amp;O$10,Analytica!$F$58:$AY$58&amp;Analytica!$F$51:'Analytica'!$AY$51,0)),"")</f>
        <v>3.4999999999999996E-2</v>
      </c>
      <c r="P67" s="619">
        <f>INDEX(CostProjections!$Q$9:$W$91,MATCH($C67,CostProjections!$N$9:$N$91,0),MATCH(P$15,CostProjections!$Q$8:$W$8,0))*0.001</f>
        <v>419.49561249999994</v>
      </c>
      <c r="Q67" s="619">
        <f>INDEX(CostProjections!$Q$9:$W$91,MATCH($C67,CostProjections!$N$9:$N$91,0),MATCH(Q$15,CostProjections!$Q$8:$W$8,0))*0.001</f>
        <v>423.60831458333325</v>
      </c>
      <c r="R67" s="619">
        <f>INDEX(CostProjections!$Q$9:$W$91,MATCH($C67,CostProjections!$N$9:$N$91,0),MATCH(R$15,CostProjections!$Q$8:$W$8,0))*0.001</f>
        <v>427.72101666666663</v>
      </c>
      <c r="S67" s="619">
        <f>INDEX(CostProjections!$Q$9:$W$91,MATCH($C67,CostProjections!$N$9:$N$91,0),MATCH(S$15,CostProjections!$Q$8:$W$8,0))*0.001</f>
        <v>431.83371874999995</v>
      </c>
      <c r="T67" s="619">
        <f>INDEX(CostProjections!$Q$9:$W$91,MATCH($C67,CostProjections!$N$9:$N$91,0),MATCH(T$15,CostProjections!$Q$8:$W$8,0))*0.001</f>
        <v>435.94642083333326</v>
      </c>
      <c r="U67" s="619">
        <f>INDEX(CostProjections!$Q$9:$W$91,MATCH($C67,CostProjections!$N$9:$N$91,0),MATCH(U$15,CostProjections!$Q$8:$W$8,0))*0.001</f>
        <v>444.17182499999996</v>
      </c>
      <c r="V67" s="619">
        <f>INDEX(CostProjections!$Z$9:$AF$91,MATCH($C67,CostProjections!$N$9:$N$91,0),MATCH(V$15,CostProjections!$Z$8:$AF$8,0))*0.001</f>
        <v>6.1329767909356718</v>
      </c>
      <c r="W67" s="619">
        <f>INDEX(CostProjections!$Z$9:$AF$91,MATCH($C67,CostProjections!$N$9:$N$91,0),MATCH(W$15,CostProjections!$Z$8:$AF$8,0))*0.001</f>
        <v>6.2532312378167632</v>
      </c>
      <c r="X67" s="619">
        <f>INDEX(CostProjections!$Z$9:$AF$91,MATCH($C67,CostProjections!$N$9:$N$91,0),MATCH(X$15,CostProjections!$Z$8:$AF$8,0))*0.001</f>
        <v>6.3734856846978545</v>
      </c>
      <c r="Y67" s="619">
        <f>INDEX(CostProjections!$Z$9:$AF$91,MATCH($C67,CostProjections!$N$9:$N$91,0),MATCH(Y$15,CostProjections!$Z$8:$AF$8,0))*0.001</f>
        <v>6.4937401315789467</v>
      </c>
      <c r="Z67" s="689">
        <f>Z66</f>
        <v>20</v>
      </c>
      <c r="AA67" s="689">
        <f t="shared" si="10"/>
        <v>20</v>
      </c>
      <c r="AB67" s="689">
        <f t="shared" ref="AB67:AB81" si="12">IF(AD67,base.year+$AB$12,base.year+$AB$10)</f>
        <v>2018</v>
      </c>
      <c r="AC67" s="1">
        <f t="shared" ca="1" si="11"/>
        <v>50</v>
      </c>
    </row>
    <row r="68" spans="1:30" x14ac:dyDescent="0.2">
      <c r="A68" s="1" t="str">
        <f t="shared" si="5"/>
        <v/>
      </c>
      <c r="B68" s="190" t="str">
        <f>ITEMS_nTech!C59</f>
        <v>Transport Freight - LCV Oil GasolineHybrid-N</v>
      </c>
      <c r="C68" s="190" t="str">
        <f>E68&amp;RIGHT(D68,3)&amp;"H-N"</f>
        <v>TFLCVOGSH-N</v>
      </c>
      <c r="D68" s="611" t="str">
        <f>$H$6</f>
        <v>TRAOGS</v>
      </c>
      <c r="E68" s="611" t="str">
        <f>TRP!$B$31</f>
        <v>TFLCV</v>
      </c>
      <c r="F68" s="692">
        <f t="array" ref="F68">IFERROR(INDEX(Analytica!$F$59:$AY$138,MATCH($C68,Analytica!$B$59:$B$168,0),MATCH(F$15&amp;F$10,Analytica!$F$58:$AY$58&amp;Analytica!$F$51:'Analytica'!$AY$51,0)),"")</f>
        <v>0.2707440173280492</v>
      </c>
      <c r="G68" s="692">
        <f t="array" ref="G68">IFERROR(INDEX(Analytica!$F$59:$AY$138,MATCH($C68,Analytica!$B$59:$B$168,0),MATCH(G$15&amp;G$10,Analytica!$F$58:$AY$58&amp;Analytica!$F$51:'Analytica'!$AY$51,0)),"")</f>
        <v>0.28609547845335548</v>
      </c>
      <c r="H68" s="692">
        <f t="array" ref="H68">IFERROR(INDEX(Analytica!$F$59:$AY$138,MATCH($C68,Analytica!$B$59:$B$168,0),MATCH(H$15&amp;H$10,Analytica!$F$58:$AY$58&amp;Analytica!$F$51:'Analytica'!$AY$51,0)),"")</f>
        <v>0.31634359675977686</v>
      </c>
      <c r="I68" s="692">
        <f t="array" ref="I68">IFERROR(INDEX(Analytica!$F$59:$AY$138,MATCH($C68,Analytica!$B$59:$B$168,0),MATCH(I$15&amp;I$10,Analytica!$F$58:$AY$58&amp;Analytica!$F$51:'Analytica'!$AY$51,0)),"")</f>
        <v>0.3497897686181996</v>
      </c>
      <c r="J68" s="1001">
        <v>1</v>
      </c>
      <c r="K68" s="1001">
        <v>1</v>
      </c>
      <c r="L68" s="1001">
        <v>1</v>
      </c>
      <c r="M68" s="1001">
        <v>1</v>
      </c>
      <c r="N68" s="1001">
        <v>1</v>
      </c>
      <c r="O68" s="692">
        <f t="array" ref="O68">IFERROR(INDEX(Analytica!$F$59:$AY$138,MATCH($C68,Analytica!$B$59:$B$168,0),MATCH(O$15&amp;O$10,Analytica!$F$58:$AY$58&amp;Analytica!$F$51:'Analytica'!$AY$51,0)),"")</f>
        <v>3.4999999999999996E-2</v>
      </c>
      <c r="P68" s="619">
        <f>INDEX(CostProjections!$Q$9:$W$91,MATCH($C68,CostProjections!$N$9:$N$91,0),MATCH(P$15,CostProjections!$Q$8:$W$8,0))*0.001</f>
        <v>523.46472116666666</v>
      </c>
      <c r="Q68" s="619">
        <f>INDEX(CostProjections!$Q$9:$W$91,MATCH($C68,CostProjections!$N$9:$N$91,0),MATCH(Q$15,CostProjections!$Q$8:$W$8,0))*0.001</f>
        <v>482.96759078620323</v>
      </c>
      <c r="R68" s="619">
        <f>INDEX(CostProjections!$Q$9:$W$91,MATCH($C68,CostProjections!$N$9:$N$91,0),MATCH(R$15,CostProjections!$Q$8:$W$8,0))*0.001</f>
        <v>455.08262596021092</v>
      </c>
      <c r="S68" s="619">
        <f>INDEX(CostProjections!$Q$9:$W$91,MATCH($C68,CostProjections!$N$9:$N$91,0),MATCH(S$15,CostProjections!$Q$8:$W$8,0))*0.001</f>
        <v>455.82622502223791</v>
      </c>
      <c r="T68" s="619">
        <f>INDEX(CostProjections!$Q$9:$W$91,MATCH($C68,CostProjections!$N$9:$N$91,0),MATCH(T$15,CostProjections!$Q$8:$W$8,0))*0.001</f>
        <v>456.56982408426438</v>
      </c>
      <c r="U68" s="619">
        <f>INDEX(CostProjections!$Q$9:$W$91,MATCH($C68,CostProjections!$N$9:$N$91,0),MATCH(U$15,CostProjections!$Q$8:$W$8,0))*0.001</f>
        <v>458.05702220831739</v>
      </c>
      <c r="V68" s="619">
        <f>INDEX(CostProjections!$Z$9:$AF$91,MATCH($C68,CostProjections!$N$9:$N$91,0),MATCH(V$15,CostProjections!$Z$8:$AF$8,0))*0.001</f>
        <v>6.2916432832532045</v>
      </c>
      <c r="W68" s="619">
        <f>INDEX(CostProjections!$Z$9:$AF$91,MATCH($C68,CostProjections!$N$9:$N$91,0),MATCH(W$15,CostProjections!$Z$8:$AF$8,0))*0.001</f>
        <v>5.4697431004833046</v>
      </c>
      <c r="X68" s="619">
        <f>INDEX(CostProjections!$Z$9:$AF$91,MATCH($C68,CostProjections!$N$9:$N$91,0),MATCH(X$15,CostProjections!$Z$8:$AF$8,0))*0.001</f>
        <v>5.4876180779358705</v>
      </c>
      <c r="Y68" s="619">
        <f>INDEX(CostProjections!$Z$9:$AF$91,MATCH($C68,CostProjections!$N$9:$N$91,0),MATCH(Y$15,CostProjections!$Z$8:$AF$8,0))*0.001</f>
        <v>5.5054930553884294</v>
      </c>
      <c r="Z68" s="689">
        <f>Z67</f>
        <v>20</v>
      </c>
      <c r="AA68" s="689">
        <f t="shared" si="10"/>
        <v>20</v>
      </c>
      <c r="AB68" s="689">
        <v>2025</v>
      </c>
      <c r="AC68" s="1">
        <f t="shared" ca="1" si="11"/>
        <v>51</v>
      </c>
      <c r="AD68" s="1">
        <v>1</v>
      </c>
    </row>
    <row r="69" spans="1:30" x14ac:dyDescent="0.2">
      <c r="A69" s="1" t="str">
        <f t="shared" si="5"/>
        <v>*</v>
      </c>
      <c r="B69" s="190" t="str">
        <f>ITEMS_nTech!C60</f>
        <v>Transport Freight - LCV Gas-N</v>
      </c>
      <c r="C69" s="190" t="str">
        <f>E69&amp;RIGHT(D69,3)&amp;"-N"</f>
        <v>TFLCVGAS-N</v>
      </c>
      <c r="D69" s="611" t="str">
        <f>$G$6</f>
        <v>TRAGAS</v>
      </c>
      <c r="E69" s="611" t="str">
        <f>TRP!$B$31</f>
        <v>TFLCV</v>
      </c>
      <c r="F69" s="692">
        <f t="array" ref="F69">IFERROR(INDEX(Analytica!$F$59:$AY$138,MATCH($C69,Analytica!$B$59:$B$168,0),MATCH(F$15&amp;F$10,Analytica!$F$58:$AY$58&amp;Analytica!$F$51:'Analytica'!$AY$51,0)),"")</f>
        <v>0.17631523870770266</v>
      </c>
      <c r="G69" s="692">
        <f t="array" ref="G69">IFERROR(INDEX(Analytica!$F$59:$AY$138,MATCH($C69,Analytica!$B$59:$B$168,0),MATCH(G$15&amp;G$10,Analytica!$F$58:$AY$58&amp;Analytica!$F$51:'Analytica'!$AY$51,0)),"")</f>
        <v>0.1863124920525136</v>
      </c>
      <c r="H69" s="692">
        <f t="array" ref="H69">IFERROR(INDEX(Analytica!$F$59:$AY$138,MATCH($C69,Analytica!$B$59:$B$168,0),MATCH(H$15&amp;H$10,Analytica!$F$58:$AY$58&amp;Analytica!$F$51:'Analytica'!$AY$51,0)),"")</f>
        <v>0.2060108191006548</v>
      </c>
      <c r="I69" s="692">
        <f t="array" ref="I69">IFERROR(INDEX(Analytica!$F$59:$AY$138,MATCH($C69,Analytica!$B$59:$B$168,0),MATCH(I$15&amp;I$10,Analytica!$F$58:$AY$58&amp;Analytica!$F$51:'Analytica'!$AY$51,0)),"")</f>
        <v>0.22779179817186146</v>
      </c>
      <c r="J69" s="1001">
        <v>1</v>
      </c>
      <c r="K69" s="1001">
        <v>1</v>
      </c>
      <c r="L69" s="1001">
        <v>1</v>
      </c>
      <c r="M69" s="1001">
        <v>1</v>
      </c>
      <c r="N69" s="1001">
        <v>1</v>
      </c>
      <c r="O69" s="692">
        <f t="array" ref="O69">IFERROR(INDEX(Analytica!$F$59:$AY$138,MATCH($C69,Analytica!$B$59:$B$168,0),MATCH(O$15&amp;O$10,Analytica!$F$58:$AY$58&amp;Analytica!$F$51:'Analytica'!$AY$51,0)),"")</f>
        <v>3.4999999999999996E-2</v>
      </c>
      <c r="P69" s="619">
        <f>INDEX(CostProjections!$Q$9:$W$91,MATCH($C69,CostProjections!$N$9:$N$91,0),MATCH(P$15,CostProjections!$Q$8:$W$8,0))*0.001</f>
        <v>589.47275350728512</v>
      </c>
      <c r="Q69" s="619">
        <f>INDEX(CostProjections!$Q$9:$W$91,MATCH($C69,CostProjections!$N$9:$N$91,0),MATCH(Q$15,CostProjections!$Q$8:$W$8,0))*0.001</f>
        <v>646.24575917275513</v>
      </c>
      <c r="R69" s="619">
        <f>INDEX(CostProjections!$Q$9:$W$91,MATCH($C69,CostProjections!$N$9:$N$91,0),MATCH(R$15,CostProjections!$Q$8:$W$8,0))*0.001</f>
        <v>693.66187508556527</v>
      </c>
      <c r="S69" s="619">
        <f>INDEX(CostProjections!$Q$9:$W$91,MATCH($C69,CostProjections!$N$9:$N$91,0),MATCH(S$15,CostProjections!$Q$8:$W$8,0))*0.001</f>
        <v>700.35751315390621</v>
      </c>
      <c r="T69" s="619">
        <f>INDEX(CostProjections!$Q$9:$W$91,MATCH($C69,CostProjections!$N$9:$N$91,0),MATCH(T$15,CostProjections!$Q$8:$W$8,0))*0.001</f>
        <v>707.05355800592906</v>
      </c>
      <c r="U69" s="619">
        <f>INDEX(CostProjections!$Q$9:$W$91,MATCH($C69,CostProjections!$N$9:$N$91,0),MATCH(U$15,CostProjections!$Q$8:$W$8,0))*0.001</f>
        <v>720.44686013665967</v>
      </c>
      <c r="V69" s="619">
        <f>INDEX(CostProjections!$Z$9:$AF$91,MATCH($C69,CostProjections!$N$9:$N$91,0),MATCH(V$15,CostProjections!$Z$8:$AF$8,0))*0.001</f>
        <v>15.915764344696699</v>
      </c>
      <c r="W69" s="619">
        <f>INDEX(CostProjections!$Z$9:$AF$91,MATCH($C69,CostProjections!$N$9:$N$91,0),MATCH(W$15,CostProjections!$Z$8:$AF$8,0))*0.001</f>
        <v>18.728870627310261</v>
      </c>
      <c r="X69" s="619">
        <f>INDEX(CostProjections!$Z$9:$AF$91,MATCH($C69,CostProjections!$N$9:$N$91,0),MATCH(X$15,CostProjections!$Z$8:$AF$8,0))*0.001</f>
        <v>19.090446066160084</v>
      </c>
      <c r="Y69" s="619">
        <f>INDEX(CostProjections!$Z$9:$AF$91,MATCH($C69,CostProjections!$N$9:$N$91,0),MATCH(Y$15,CostProjections!$Z$8:$AF$8,0))*0.001</f>
        <v>19.452065223689814</v>
      </c>
      <c r="Z69" s="689">
        <f>Z68</f>
        <v>20</v>
      </c>
      <c r="AA69" s="689">
        <f t="shared" si="10"/>
        <v>20</v>
      </c>
      <c r="AB69" s="855">
        <v>2080</v>
      </c>
      <c r="AC69" s="1">
        <f t="shared" ca="1" si="11"/>
        <v>52</v>
      </c>
      <c r="AD69" s="1">
        <v>1</v>
      </c>
    </row>
    <row r="70" spans="1:30" x14ac:dyDescent="0.2">
      <c r="A70" s="1" t="str">
        <f t="shared" si="5"/>
        <v/>
      </c>
      <c r="B70" s="190" t="str">
        <f>ITEMS_nTech!C61</f>
        <v>Transport Freight - LCV Electricity-N</v>
      </c>
      <c r="C70" s="190" t="str">
        <f>E70&amp;RIGHT(D70,3)&amp;"-N"</f>
        <v>TFLCVELC-N</v>
      </c>
      <c r="D70" s="611" t="str">
        <f>$F$6</f>
        <v>TRAELC</v>
      </c>
      <c r="E70" s="611" t="str">
        <f>TRP!$B$31</f>
        <v>TFLCV</v>
      </c>
      <c r="F70" s="692">
        <f t="array" ref="F70">IFERROR(INDEX(Analytica!$F$59:$AY$138,MATCH($C70,Analytica!$B$59:$B$168,0),MATCH(F$15&amp;F$10,Analytica!$F$58:$AY$58&amp;Analytica!$F$51:'Analytica'!$AY$51,0)),"")</f>
        <v>0.8266944783862078</v>
      </c>
      <c r="G70" s="692">
        <f t="array" ref="G70">IFERROR(INDEX(Analytica!$F$59:$AY$138,MATCH($C70,Analytica!$B$59:$B$168,0),MATCH(G$15&amp;G$10,Analytica!$F$58:$AY$58&amp;Analytica!$F$51:'Analytica'!$AY$51,0)),"")</f>
        <v>0.87356889604720478</v>
      </c>
      <c r="H70" s="692">
        <f t="array" ref="H70">IFERROR(INDEX(Analytica!$F$59:$AY$138,MATCH($C70,Analytica!$B$59:$B$168,0),MATCH(H$15&amp;H$10,Analytica!$F$58:$AY$58&amp;Analytica!$F$51:'Analytica'!$AY$51,0)),"")</f>
        <v>0.96592902511773071</v>
      </c>
      <c r="I70" s="692">
        <f t="array" ref="I70">IFERROR(INDEX(Analytica!$F$59:$AY$138,MATCH($C70,Analytica!$B$59:$B$168,0),MATCH(I$15&amp;I$10,Analytica!$F$58:$AY$58&amp;Analytica!$F$51:'Analytica'!$AY$51,0)),"")</f>
        <v>1.068054146372071</v>
      </c>
      <c r="J70" s="1001">
        <v>1</v>
      </c>
      <c r="K70" s="1001">
        <v>1</v>
      </c>
      <c r="L70" s="1001">
        <v>1</v>
      </c>
      <c r="M70" s="1001">
        <v>1</v>
      </c>
      <c r="N70" s="1001">
        <v>1</v>
      </c>
      <c r="O70" s="692">
        <f t="array" ref="O70">IFERROR(INDEX(Analytica!$F$59:$AY$138,MATCH($C70,Analytica!$B$59:$B$168,0),MATCH(O$15&amp;O$10,Analytica!$F$58:$AY$58&amp;Analytica!$F$51:'Analytica'!$AY$51,0)),"")</f>
        <v>3.4999999999999996E-2</v>
      </c>
      <c r="P70" s="619">
        <f>INDEX(CostProjections!$Q$9:$W$91,MATCH($C70,CostProjections!$N$9:$N$91,0),MATCH(P$15,CostProjections!$Q$8:$W$8,0))*0.001</f>
        <v>1387.5687699972127</v>
      </c>
      <c r="Q70" s="619">
        <f>INDEX(CostProjections!$Q$9:$W$91,MATCH($C70,CostProjections!$N$9:$N$91,0),MATCH(Q$15,CostProjections!$Q$8:$W$8,0))*0.001</f>
        <v>980.50552198871776</v>
      </c>
      <c r="R70" s="619">
        <f>INDEX(CostProjections!$Q$9:$W$91,MATCH($C70,CostProjections!$N$9:$N$91,0),MATCH(R$15,CostProjections!$Q$8:$W$8,0))*0.001</f>
        <v>781.57170301661336</v>
      </c>
      <c r="S70" s="619">
        <f>INDEX(CostProjections!$Q$9:$W$91,MATCH($C70,CostProjections!$N$9:$N$91,0),MATCH(S$15,CostProjections!$Q$8:$W$8,0))*0.001</f>
        <v>714.47895140223318</v>
      </c>
      <c r="T70" s="619">
        <f>INDEX(CostProjections!$Q$9:$W$91,MATCH($C70,CostProjections!$N$9:$N$91,0),MATCH(T$15,CostProjections!$Q$8:$W$8,0))*0.001</f>
        <v>672.38561783124862</v>
      </c>
      <c r="U70" s="619">
        <f>INDEX(CostProjections!$Q$9:$W$91,MATCH($C70,CostProjections!$N$9:$N$91,0),MATCH(U$15,CostProjections!$Q$8:$W$8,0))*0.001</f>
        <v>648.9571240849865</v>
      </c>
      <c r="V70" s="619">
        <f>INDEX(CostProjections!$Z$9:$AF$91,MATCH($C70,CostProjections!$N$9:$N$91,0),MATCH(V$15,CostProjections!$Z$8:$AF$8,0))*0.001</f>
        <v>13.76556319441679</v>
      </c>
      <c r="W70" s="619">
        <f>INDEX(CostProjections!$Z$9:$AF$91,MATCH($C70,CostProjections!$N$9:$N$91,0),MATCH(W$15,CostProjections!$Z$8:$AF$8,0))*0.001</f>
        <v>7.7536875299267196</v>
      </c>
      <c r="X70" s="619">
        <f>INDEX(CostProjections!$Z$9:$AF$91,MATCH($C70,CostProjections!$N$9:$N$91,0),MATCH(X$15,CostProjections!$Z$8:$AF$8,0))*0.001</f>
        <v>6.6704922403893709</v>
      </c>
      <c r="Y70" s="619">
        <f>INDEX(CostProjections!$Z$9:$AF$91,MATCH($C70,CostProjections!$N$9:$N$91,0),MATCH(Y$15,CostProjections!$Z$8:$AF$8,0))*0.001</f>
        <v>6.4380667071923261</v>
      </c>
      <c r="Z70" s="689">
        <f>Z69</f>
        <v>20</v>
      </c>
      <c r="AA70" s="689">
        <f t="shared" si="10"/>
        <v>20</v>
      </c>
      <c r="AB70" s="689">
        <v>2025</v>
      </c>
      <c r="AC70" s="1">
        <f t="shared" ca="1" si="11"/>
        <v>53</v>
      </c>
      <c r="AD70" s="1">
        <v>1</v>
      </c>
    </row>
    <row r="71" spans="1:30" x14ac:dyDescent="0.2">
      <c r="A71" s="1" t="str">
        <f t="shared" si="5"/>
        <v/>
      </c>
      <c r="B71" s="190" t="s">
        <v>1124</v>
      </c>
      <c r="C71" s="190"/>
      <c r="D71" s="611"/>
      <c r="E71" s="611"/>
      <c r="F71" s="692" t="str">
        <f t="array" ref="F71">IFERROR(INDEX(Analytica!$F$59:$AY$138,MATCH($C71,Analytica!$B$59:$B$168,0),MATCH(F$15&amp;F$10,Analytica!$F$58:$AY$58&amp;Analytica!$F$51:'Analytica'!$AY$51,0)),"")</f>
        <v/>
      </c>
      <c r="G71" s="692" t="str">
        <f t="array" ref="G71">IFERROR(INDEX(Analytica!$F$59:$AY$138,MATCH($C71,Analytica!$B$59:$B$168,0),MATCH(G$15&amp;G$10,Analytica!$F$58:$AY$58&amp;Analytica!$F$51:'Analytica'!$AY$51,0)),"")</f>
        <v/>
      </c>
      <c r="H71" s="692" t="str">
        <f t="array" ref="H71">IFERROR(INDEX(Analytica!$F$59:$AY$138,MATCH($C71,Analytica!$B$59:$B$168,0),MATCH(H$15&amp;H$10,Analytica!$F$58:$AY$58&amp;Analytica!$F$51:'Analytica'!$AY$51,0)),"")</f>
        <v/>
      </c>
      <c r="I71" s="692" t="str">
        <f t="array" ref="I71">IFERROR(INDEX(Analytica!$F$59:$AY$138,MATCH($C71,Analytica!$B$59:$B$168,0),MATCH(I$15&amp;I$10,Analytica!$F$58:$AY$58&amp;Analytica!$F$51:'Analytica'!$AY$51,0)),"")</f>
        <v/>
      </c>
      <c r="J71" s="1001">
        <v>1</v>
      </c>
      <c r="K71" s="1001">
        <v>1</v>
      </c>
      <c r="L71" s="1001">
        <v>1</v>
      </c>
      <c r="M71" s="1001">
        <v>1</v>
      </c>
      <c r="N71" s="1001">
        <v>1</v>
      </c>
      <c r="O71" s="692" t="str">
        <f t="array" ref="O71">IFERROR(INDEX(Analytica!$F$59:$AY$138,MATCH($C71,Analytica!$B$59:$B$168,0),MATCH(O$15&amp;O$10,Analytica!$F$58:$AY$58&amp;Analytica!$F$51:'Analytica'!$AY$51,0)),"")</f>
        <v/>
      </c>
      <c r="P71" s="619" t="str">
        <f t="array" ref="P71">IFERROR(INDEX(Analytica!$F$59:$AY$138,MATCH($C71,Analytica!$B$59:$B$168,0),MATCH(P$15&amp;P$10,Analytica!$F$58:$AY$58&amp;Analytica!$F$51:'Analytica'!$AY$51,0)),"")</f>
        <v/>
      </c>
      <c r="Q71" s="619" t="str">
        <f t="array" ref="Q71">IFERROR(INDEX(Analytica!$F$59:$AY$138,MATCH($C71,Analytica!$B$59:$B$168,0),MATCH(Q$15&amp;Q$10,Analytica!$F$58:$AY$58&amp;Analytica!$F$51:'Analytica'!$AY$51,0)),"")</f>
        <v/>
      </c>
      <c r="R71" s="619" t="str">
        <f t="array" ref="R71">IFERROR(INDEX(Analytica!$F$59:$AY$138,MATCH($C71,Analytica!$B$59:$B$168,0),MATCH(R$15&amp;R$10,Analytica!$F$58:$AY$58&amp;Analytica!$F$51:'Analytica'!$AY$51,0)),"")</f>
        <v/>
      </c>
      <c r="S71" s="619" t="str">
        <f t="array" ref="S71">IFERROR(INDEX(Analytica!$F$59:$AY$138,MATCH($C71,Analytica!$B$59:$B$168,0),MATCH(S$15&amp;S$10,Analytica!$F$58:$AY$58&amp;Analytica!$F$51:'Analytica'!$AY$51,0)),"")</f>
        <v/>
      </c>
      <c r="T71" s="619" t="str">
        <f t="array" ref="T71">IFERROR(INDEX(Analytica!$F$59:$AY$138,MATCH($C71,Analytica!$B$59:$B$168,0),MATCH(T$15&amp;T$10,Analytica!$F$58:$AY$58&amp;Analytica!$F$51:'Analytica'!$AY$51,0)),"")</f>
        <v/>
      </c>
      <c r="U71" s="619" t="str">
        <f t="array" ref="U71">IFERROR(INDEX(Analytica!$F$59:$AY$138,MATCH($C71,Analytica!$B$59:$B$168,0),MATCH(U$15&amp;U$10,Analytica!$F$58:$AY$58&amp;Analytica!$F$51:'Analytica'!$AY$51,0)),"")</f>
        <v/>
      </c>
      <c r="V71" s="619" t="str">
        <f>IFERROR(INDEX(Analytica!$F$59:$AY$138,MATCH($C71,Analytica!$B$59:$B$168,0),MATCH(V$15&amp;V$10,Analytica!$F$58:$AY$58&amp;Analytica!$F$51:'Analytica'!$AY$51,0)),"")</f>
        <v/>
      </c>
      <c r="W71" s="619" t="str">
        <f t="array" ref="W71">IFERROR(INDEX(Analytica!$F$59:$AY$138,MATCH($C71,Analytica!$B$59:$B$168,0),MATCH(W$15&amp;W$10,Analytica!$F$58:$AY$58&amp;Analytica!$F$51:'Analytica'!$AY$51,0)),"")</f>
        <v/>
      </c>
      <c r="X71" s="619" t="str">
        <f t="array" ref="X71">IFERROR(INDEX(Analytica!$F$59:$AY$138,MATCH($C71,Analytica!$B$59:$B$168,0),MATCH(X$15&amp;X$10,Analytica!$F$58:$AY$58&amp;Analytica!$F$51:'Analytica'!$AY$51,0)),"")</f>
        <v/>
      </c>
      <c r="Y71" s="619" t="str">
        <f t="array" ref="Y71">IFERROR(INDEX(Analytica!$F$59:$AY$138,MATCH($C71,Analytica!$B$59:$B$168,0),MATCH(Y$15&amp;Y$10,Analytica!$F$58:$AY$58&amp;Analytica!$F$51:'Analytica'!$AY$51,0)),"")</f>
        <v/>
      </c>
      <c r="Z71" s="689"/>
      <c r="AA71" s="689">
        <f t="shared" si="10"/>
        <v>0</v>
      </c>
      <c r="AB71" s="689">
        <f t="shared" si="12"/>
        <v>2018</v>
      </c>
      <c r="AC71" s="1">
        <f t="shared" ca="1" si="11"/>
        <v>54</v>
      </c>
    </row>
    <row r="72" spans="1:30" x14ac:dyDescent="0.2">
      <c r="A72" s="1" t="str">
        <f t="shared" si="5"/>
        <v/>
      </c>
      <c r="B72" s="190" t="str">
        <f>ITEMS_nTech!C63</f>
        <v>Transport Freight - HCV1 Oil Diesel-N</v>
      </c>
      <c r="C72" s="190" t="str">
        <f t="shared" ref="C72:C107" si="13">E72&amp;RIGHT(D72,3)&amp;"-N"</f>
        <v>TFHCV1ODS-N</v>
      </c>
      <c r="D72" s="611" t="str">
        <f>E6</f>
        <v>TRAODS</v>
      </c>
      <c r="E72" s="611" t="str">
        <f>TRP!$B$32</f>
        <v>TFHCV1</v>
      </c>
      <c r="F72" s="692">
        <f t="array" ref="F72">IFERROR(INDEX(Analytica!$F$59:$AY$138,MATCH($C72,Analytica!$B$59:$B$168,0),MATCH(F$15&amp;F$10,Analytica!$F$58:$AY$58&amp;Analytica!$F$51:'Analytica'!$AY$51,0)),"")</f>
        <v>0.17083617224509673</v>
      </c>
      <c r="G72" s="692">
        <f t="array" ref="G72">IFERROR(INDEX(Analytica!$F$59:$AY$138,MATCH($C72,Analytica!$B$59:$B$168,0),MATCH(G$15&amp;G$10,Analytica!$F$58:$AY$58&amp;Analytica!$F$51:'Analytica'!$AY$51,0)),"")</f>
        <v>0.18052275694934541</v>
      </c>
      <c r="H72" s="692">
        <f t="array" ref="H72">IFERROR(INDEX(Analytica!$F$59:$AY$138,MATCH($C72,Analytica!$B$59:$B$168,0),MATCH(H$15&amp;H$10,Analytica!$F$58:$AY$58&amp;Analytica!$F$51:'Analytica'!$AY$51,0)),"")</f>
        <v>0.19960895061701436</v>
      </c>
      <c r="I72" s="692">
        <f t="array" ref="I72">IFERROR(INDEX(Analytica!$F$59:$AY$138,MATCH($C72,Analytica!$B$59:$B$168,0),MATCH(I$15&amp;I$10,Analytica!$F$58:$AY$58&amp;Analytica!$F$51:'Analytica'!$AY$51,0)),"")</f>
        <v>0.22071307706432722</v>
      </c>
      <c r="J72" s="1001">
        <v>1</v>
      </c>
      <c r="K72" s="1001">
        <v>1</v>
      </c>
      <c r="L72" s="1001">
        <v>1</v>
      </c>
      <c r="M72" s="1001">
        <v>1</v>
      </c>
      <c r="N72" s="1001">
        <v>1</v>
      </c>
      <c r="O72" s="692">
        <f t="array" ref="O72">IFERROR(INDEX(Analytica!$F$59:$AY$138,MATCH($C72,Analytica!$B$59:$B$168,0),MATCH(O$15&amp;O$10,Analytica!$F$58:$AY$58&amp;Analytica!$F$51:'Analytica'!$AY$51,0)),"")</f>
        <v>5.5E-2</v>
      </c>
      <c r="P72" s="619">
        <f>INDEX(CostProjections!$Q$9:$W$91,MATCH($C72,CostProjections!$N$9:$N$91,0),MATCH(P$15,CostProjections!$Q$8:$W$8,0))*0.001</f>
        <v>490.9708806335197</v>
      </c>
      <c r="Q72" s="619">
        <f>INDEX(CostProjections!$Q$9:$W$91,MATCH($C72,CostProjections!$N$9:$N$91,0),MATCH(Q$15,CostProjections!$Q$8:$W$8,0))*0.001</f>
        <v>494.8472425564612</v>
      </c>
      <c r="R72" s="619">
        <f>INDEX(CostProjections!$Q$9:$W$91,MATCH($C72,CostProjections!$N$9:$N$91,0),MATCH(R$15,CostProjections!$Q$8:$W$8,0))*0.001</f>
        <v>499.59389474185099</v>
      </c>
      <c r="S72" s="619">
        <f>INDEX(CostProjections!$Q$9:$W$91,MATCH($C72,CostProjections!$N$9:$N$91,0),MATCH(S$15,CostProjections!$Q$8:$W$8,0))*0.001</f>
        <v>502.82668430327698</v>
      </c>
      <c r="T72" s="619">
        <f>INDEX(CostProjections!$Q$9:$W$91,MATCH($C72,CostProjections!$N$9:$N$91,0),MATCH(T$15,CostProjections!$Q$8:$W$8,0))*0.001</f>
        <v>515.56504220864781</v>
      </c>
      <c r="U72" s="619">
        <f>INDEX(CostProjections!$Q$9:$W$91,MATCH($C72,CostProjections!$N$9:$N$91,0),MATCH(U$15,CostProjections!$Q$8:$W$8,0))*0.001</f>
        <v>501.6853529086232</v>
      </c>
      <c r="V72" s="619">
        <f>INDEX(CostProjections!$Z$9:$AF$91,MATCH($C72,CostProjections!$N$9:$N$91,0),MATCH(V$15,CostProjections!$Z$8:$AF$8,0))*0.001</f>
        <v>13.256213777105032</v>
      </c>
      <c r="W72" s="619">
        <f>INDEX(CostProjections!$Z$9:$AF$91,MATCH($C72,CostProjections!$N$9:$N$91,0),MATCH(W$15,CostProjections!$Z$8:$AF$8,0))*0.001</f>
        <v>13.489035158029976</v>
      </c>
      <c r="X72" s="619">
        <f>INDEX(CostProjections!$Z$9:$AF$91,MATCH($C72,CostProjections!$N$9:$N$91,0),MATCH(X$15,CostProjections!$Z$8:$AF$8,0))*0.001</f>
        <v>13.920256139633489</v>
      </c>
      <c r="Y72" s="619">
        <f>INDEX(CostProjections!$Z$9:$AF$91,MATCH($C72,CostProjections!$N$9:$N$91,0),MATCH(Y$15,CostProjections!$Z$8:$AF$8,0))*0.001</f>
        <v>13.545504528532826</v>
      </c>
      <c r="Z72" s="689">
        <v>20</v>
      </c>
      <c r="AA72" s="689">
        <f t="shared" si="10"/>
        <v>20</v>
      </c>
      <c r="AB72" s="689">
        <f t="shared" si="12"/>
        <v>2018</v>
      </c>
      <c r="AC72" s="1">
        <f t="shared" ca="1" si="11"/>
        <v>55</v>
      </c>
    </row>
    <row r="73" spans="1:30" x14ac:dyDescent="0.2">
      <c r="A73" s="1" t="str">
        <f t="shared" si="5"/>
        <v/>
      </c>
      <c r="B73" s="190" t="str">
        <f>ITEMS_nTech!C64</f>
        <v>Transport Freight - HCV1 Oil Gasoline-N</v>
      </c>
      <c r="C73" s="190" t="str">
        <f t="shared" si="13"/>
        <v>TFHCV1OGS-N</v>
      </c>
      <c r="D73" s="611" t="str">
        <f>H6</f>
        <v>TRAOGS</v>
      </c>
      <c r="E73" s="611" t="str">
        <f>TRP!B32</f>
        <v>TFHCV1</v>
      </c>
      <c r="F73" s="692">
        <f>1.08 * F72</f>
        <v>0.18450306602470448</v>
      </c>
      <c r="G73" s="692">
        <f>1.08 * G72</f>
        <v>0.19496457750529306</v>
      </c>
      <c r="H73" s="692">
        <f>1.08 * H72</f>
        <v>0.21557766666637554</v>
      </c>
      <c r="I73" s="692">
        <f>1.08 * I72</f>
        <v>0.2383701232294734</v>
      </c>
      <c r="J73" s="1001">
        <v>1</v>
      </c>
      <c r="K73" s="1001">
        <v>1</v>
      </c>
      <c r="L73" s="1001">
        <v>1</v>
      </c>
      <c r="M73" s="1001">
        <v>1</v>
      </c>
      <c r="N73" s="1001">
        <v>1</v>
      </c>
      <c r="O73" s="692">
        <f t="array" ref="O73">IFERROR(INDEX(Analytica!$F$59:$AY$138,MATCH($C73,Analytica!$B$59:$B$168,0),MATCH(O$15&amp;O$10,Analytica!$F$58:$AY$58&amp;Analytica!$F$51:'Analytica'!$AY$51,0)),"")</f>
        <v>4.8000000000000001E-2</v>
      </c>
      <c r="P73" s="619">
        <f>INDEX(CostProjections!$Q$9:$W$91,MATCH($C73,CostProjections!$N$9:$N$91,0),MATCH(P$15,CostProjections!$Q$8:$W$8,0))*0.001</f>
        <v>490.9708806335197</v>
      </c>
      <c r="Q73" s="619">
        <f>INDEX(CostProjections!$Q$9:$W$91,MATCH($C73,CostProjections!$N$9:$N$91,0),MATCH(Q$15,CostProjections!$Q$8:$W$8,0))*0.001</f>
        <v>494.8472425564612</v>
      </c>
      <c r="R73" s="619">
        <f>INDEX(CostProjections!$Q$9:$W$91,MATCH($C73,CostProjections!$N$9:$N$91,0),MATCH(R$15,CostProjections!$Q$8:$W$8,0))*0.001</f>
        <v>499.59389474185099</v>
      </c>
      <c r="S73" s="619">
        <f>INDEX(CostProjections!$Q$9:$W$91,MATCH($C73,CostProjections!$N$9:$N$91,0),MATCH(S$15,CostProjections!$Q$8:$W$8,0))*0.001</f>
        <v>502.82668430327698</v>
      </c>
      <c r="T73" s="619">
        <f>INDEX(CostProjections!$Q$9:$W$91,MATCH($C73,CostProjections!$N$9:$N$91,0),MATCH(T$15,CostProjections!$Q$8:$W$8,0))*0.001</f>
        <v>515.56504220864781</v>
      </c>
      <c r="U73" s="619">
        <f>INDEX(CostProjections!$Q$9:$W$91,MATCH($C73,CostProjections!$N$9:$N$91,0),MATCH(U$15,CostProjections!$Q$8:$W$8,0))*0.001</f>
        <v>501.6853529086232</v>
      </c>
      <c r="V73" s="619">
        <f>INDEX(CostProjections!$Z$9:$AF$91,MATCH($C73,CostProjections!$N$9:$N$91,0),MATCH(V$15,CostProjections!$Z$8:$AF$8,0))*0.001</f>
        <v>13.256213777105032</v>
      </c>
      <c r="W73" s="619">
        <f>INDEX(CostProjections!$Z$9:$AF$91,MATCH($C73,CostProjections!$N$9:$N$91,0),MATCH(W$15,CostProjections!$Z$8:$AF$8,0))*0.001</f>
        <v>13.489035158029976</v>
      </c>
      <c r="X73" s="619">
        <f>INDEX(CostProjections!$Z$9:$AF$91,MATCH($C73,CostProjections!$N$9:$N$91,0),MATCH(X$15,CostProjections!$Z$8:$AF$8,0))*0.001</f>
        <v>13.920256139633489</v>
      </c>
      <c r="Y73" s="619">
        <f>INDEX(CostProjections!$Z$9:$AF$91,MATCH($C73,CostProjections!$N$9:$N$91,0),MATCH(Y$15,CostProjections!$Z$8:$AF$8,0))*0.001</f>
        <v>13.545504528532826</v>
      </c>
      <c r="Z73" s="689">
        <f t="shared" ref="Z73:Z107" si="14">Z72</f>
        <v>20</v>
      </c>
      <c r="AA73" s="689">
        <f t="shared" si="10"/>
        <v>20</v>
      </c>
      <c r="AB73" s="689">
        <f t="shared" si="12"/>
        <v>2018</v>
      </c>
      <c r="AC73" s="1">
        <f t="shared" ca="1" si="11"/>
        <v>56</v>
      </c>
    </row>
    <row r="74" spans="1:30" x14ac:dyDescent="0.2">
      <c r="A74" s="1" t="str">
        <f t="shared" si="5"/>
        <v/>
      </c>
      <c r="B74" s="190" t="str">
        <f>ITEMS_nTech!C65</f>
        <v>Transport Freight - HCV2 Oil Diesel-N</v>
      </c>
      <c r="C74" s="190" t="str">
        <f t="shared" si="13"/>
        <v>TFHCV2ODS-N</v>
      </c>
      <c r="D74" s="611" t="str">
        <f t="shared" ref="D74:D81" si="15">$E$6</f>
        <v>TRAODS</v>
      </c>
      <c r="E74" s="611" t="str">
        <f>TRP!B33</f>
        <v>TFHCV2</v>
      </c>
      <c r="F74" s="692">
        <f t="array" ref="F74">IFERROR(INDEX(Analytica!$F$59:$AY$138,MATCH($C74,Analytica!$B$59:$B$168,0),MATCH(F$15&amp;F$10,Analytica!$F$58:$AY$58&amp;Analytica!$F$51:'Analytica'!$AY$51,0)),"")</f>
        <v>0.13684194378774683</v>
      </c>
      <c r="G74" s="692">
        <f t="array" ref="G74">IFERROR(INDEX(Analytica!$F$59:$AY$138,MATCH($C74,Analytica!$B$59:$B$168,0),MATCH(G$15&amp;G$10,Analytica!$F$58:$AY$58&amp;Analytica!$F$51:'Analytica'!$AY$51,0)),"")</f>
        <v>0.14460102116681806</v>
      </c>
      <c r="H74" s="692">
        <f t="array" ref="H74">IFERROR(INDEX(Analytica!$F$59:$AY$138,MATCH($C74,Analytica!$B$59:$B$168,0),MATCH(H$15&amp;H$10,Analytica!$F$58:$AY$58&amp;Analytica!$F$51:'Analytica'!$AY$51,0)),"")</f>
        <v>0.15988930471162904</v>
      </c>
      <c r="I74" s="692">
        <f t="array" ref="I74">IFERROR(INDEX(Analytica!$F$59:$AY$138,MATCH($C74,Analytica!$B$59:$B$168,0),MATCH(I$15&amp;I$10,Analytica!$F$58:$AY$58&amp;Analytica!$F$51:'Analytica'!$AY$51,0)),"")</f>
        <v>0.17679397804304392</v>
      </c>
      <c r="J74" s="1001">
        <v>1</v>
      </c>
      <c r="K74" s="1001">
        <v>1</v>
      </c>
      <c r="L74" s="1001">
        <v>1</v>
      </c>
      <c r="M74" s="1001">
        <v>1</v>
      </c>
      <c r="N74" s="1001">
        <v>1</v>
      </c>
      <c r="O74" s="692">
        <f t="array" ref="O74">IFERROR(INDEX(Analytica!$F$59:$AY$138,MATCH($C74,Analytica!$B$59:$B$168,0),MATCH(O$15&amp;O$10,Analytica!$F$58:$AY$58&amp;Analytica!$F$51:'Analytica'!$AY$51,0)),"")</f>
        <v>4.8000000000000001E-2</v>
      </c>
      <c r="P74" s="619">
        <f>INDEX(CostProjections!$Q$9:$W$91,MATCH($C74,CostProjections!$N$9:$N$91,0),MATCH(P$15,CostProjections!$Q$8:$W$8,0))*0.001</f>
        <v>490.9708806335197</v>
      </c>
      <c r="Q74" s="619">
        <f>INDEX(CostProjections!$Q$9:$W$91,MATCH($C74,CostProjections!$N$9:$N$91,0),MATCH(Q$15,CostProjections!$Q$8:$W$8,0))*0.001</f>
        <v>494.8472425564612</v>
      </c>
      <c r="R74" s="619">
        <f>INDEX(CostProjections!$Q$9:$W$91,MATCH($C74,CostProjections!$N$9:$N$91,0),MATCH(R$15,CostProjections!$Q$8:$W$8,0))*0.001</f>
        <v>499.59389474185099</v>
      </c>
      <c r="S74" s="619">
        <f>INDEX(CostProjections!$Q$9:$W$91,MATCH($C74,CostProjections!$N$9:$N$91,0),MATCH(S$15,CostProjections!$Q$8:$W$8,0))*0.001</f>
        <v>502.82668430327698</v>
      </c>
      <c r="T74" s="619">
        <f>INDEX(CostProjections!$Q$9:$W$91,MATCH($C74,CostProjections!$N$9:$N$91,0),MATCH(T$15,CostProjections!$Q$8:$W$8,0))*0.001</f>
        <v>515.56504220864781</v>
      </c>
      <c r="U74" s="619">
        <f>INDEX(CostProjections!$Q$9:$W$91,MATCH($C74,CostProjections!$N$9:$N$91,0),MATCH(U$15,CostProjections!$Q$8:$W$8,0))*0.001</f>
        <v>501.6853529086232</v>
      </c>
      <c r="V74" s="619">
        <f>INDEX(CostProjections!$Z$9:$AF$91,MATCH($C74,CostProjections!$N$9:$N$91,0),MATCH(V$15,CostProjections!$Z$8:$AF$8,0))*0.001</f>
        <v>13.256213777105032</v>
      </c>
      <c r="W74" s="619">
        <f>INDEX(CostProjections!$Z$9:$AF$91,MATCH($C74,CostProjections!$N$9:$N$91,0),MATCH(W$15,CostProjections!$Z$8:$AF$8,0))*0.001</f>
        <v>13.489035158029976</v>
      </c>
      <c r="X74" s="619">
        <f>INDEX(CostProjections!$Z$9:$AF$91,MATCH($C74,CostProjections!$N$9:$N$91,0),MATCH(X$15,CostProjections!$Z$8:$AF$8,0))*0.001</f>
        <v>13.920256139633489</v>
      </c>
      <c r="Y74" s="619">
        <f>INDEX(CostProjections!$Z$9:$AF$91,MATCH($C74,CostProjections!$N$9:$N$91,0),MATCH(Y$15,CostProjections!$Z$8:$AF$8,0))*0.001</f>
        <v>13.545504528532826</v>
      </c>
      <c r="Z74" s="689">
        <f t="shared" si="14"/>
        <v>20</v>
      </c>
      <c r="AA74" s="689">
        <f t="shared" si="10"/>
        <v>20</v>
      </c>
      <c r="AB74" s="689">
        <f t="shared" si="12"/>
        <v>2018</v>
      </c>
      <c r="AC74" s="1">
        <f t="shared" ca="1" si="11"/>
        <v>57</v>
      </c>
    </row>
    <row r="75" spans="1:30" x14ac:dyDescent="0.2">
      <c r="A75" s="1" t="str">
        <f t="shared" si="5"/>
        <v/>
      </c>
      <c r="B75" s="190" t="str">
        <f>ITEMS_nTech!C66</f>
        <v>Transport Freight - HCV3 Oil Diesel-N</v>
      </c>
      <c r="C75" s="190" t="str">
        <f t="shared" si="13"/>
        <v>TFHCV3ODS-N</v>
      </c>
      <c r="D75" s="611" t="str">
        <f t="shared" si="15"/>
        <v>TRAODS</v>
      </c>
      <c r="E75" s="611" t="str">
        <f>TRP!B34</f>
        <v>TFHCV3</v>
      </c>
      <c r="F75" s="692">
        <f t="array" ref="F75">IFERROR(INDEX(Analytica!$F$59:$AY$138,MATCH($C75,Analytica!$B$59:$B$168,0),MATCH(F$15&amp;F$10,Analytica!$F$58:$AY$58&amp;Analytica!$F$51:'Analytica'!$AY$51,0)),"")</f>
        <v>0.11964033060753712</v>
      </c>
      <c r="G75" s="692">
        <f t="array" ref="G75">IFERROR(INDEX(Analytica!$F$59:$AY$138,MATCH($C75,Analytica!$B$59:$B$168,0),MATCH(G$15&amp;G$10,Analytica!$F$58:$AY$58&amp;Analytica!$F$51:'Analytica'!$AY$51,0)),"")</f>
        <v>0.12642405902549511</v>
      </c>
      <c r="H75" s="692">
        <f t="array" ref="H75">IFERROR(INDEX(Analytica!$F$59:$AY$138,MATCH($C75,Analytica!$B$59:$B$168,0),MATCH(H$15&amp;H$10,Analytica!$F$58:$AY$58&amp;Analytica!$F$51:'Analytica'!$AY$51,0)),"")</f>
        <v>0.13979054043531805</v>
      </c>
      <c r="I75" s="692">
        <f t="array" ref="I75">IFERROR(INDEX(Analytica!$F$59:$AY$138,MATCH($C75,Analytica!$B$59:$B$168,0),MATCH(I$15&amp;I$10,Analytica!$F$58:$AY$58&amp;Analytica!$F$51:'Analytica'!$AY$51,0)),"")</f>
        <v>0.15457022457456068</v>
      </c>
      <c r="J75" s="1001">
        <v>1</v>
      </c>
      <c r="K75" s="1001">
        <v>1</v>
      </c>
      <c r="L75" s="1001">
        <v>1</v>
      </c>
      <c r="M75" s="1001">
        <v>1</v>
      </c>
      <c r="N75" s="1001">
        <v>1</v>
      </c>
      <c r="O75" s="692">
        <f t="array" ref="O75">IFERROR(INDEX(Analytica!$F$59:$AY$138,MATCH($C75,Analytica!$B$59:$B$168,0),MATCH(O$15&amp;O$10,Analytica!$F$58:$AY$58&amp;Analytica!$F$51:'Analytica'!$AY$51,0)),"")</f>
        <v>8.4999999999999992E-2</v>
      </c>
      <c r="P75" s="619">
        <f>INDEX(CostProjections!$Q$9:$W$91,MATCH($C75,CostProjections!$N$9:$N$91,0),MATCH(P$15,CostProjections!$Q$8:$W$8,0))*0.001</f>
        <v>490.9708806335197</v>
      </c>
      <c r="Q75" s="619">
        <f>INDEX(CostProjections!$Q$9:$W$91,MATCH($C75,CostProjections!$N$9:$N$91,0),MATCH(Q$15,CostProjections!$Q$8:$W$8,0))*0.001</f>
        <v>494.8472425564612</v>
      </c>
      <c r="R75" s="619">
        <f>INDEX(CostProjections!$Q$9:$W$91,MATCH($C75,CostProjections!$N$9:$N$91,0),MATCH(R$15,CostProjections!$Q$8:$W$8,0))*0.001</f>
        <v>499.59389474185099</v>
      </c>
      <c r="S75" s="619">
        <f>INDEX(CostProjections!$Q$9:$W$91,MATCH($C75,CostProjections!$N$9:$N$91,0),MATCH(S$15,CostProjections!$Q$8:$W$8,0))*0.001</f>
        <v>502.82668430327698</v>
      </c>
      <c r="T75" s="619">
        <f>INDEX(CostProjections!$Q$9:$W$91,MATCH($C75,CostProjections!$N$9:$N$91,0),MATCH(T$15,CostProjections!$Q$8:$W$8,0))*0.001</f>
        <v>515.56504220864781</v>
      </c>
      <c r="U75" s="619">
        <f>INDEX(CostProjections!$Q$9:$W$91,MATCH($C75,CostProjections!$N$9:$N$91,0),MATCH(U$15,CostProjections!$Q$8:$W$8,0))*0.001</f>
        <v>501.6853529086232</v>
      </c>
      <c r="V75" s="619">
        <f>INDEX(CostProjections!$Z$9:$AF$91,MATCH($C75,CostProjections!$N$9:$N$91,0),MATCH(V$15,CostProjections!$Z$8:$AF$8,0))*0.001</f>
        <v>13.256213777105032</v>
      </c>
      <c r="W75" s="619">
        <f>INDEX(CostProjections!$Z$9:$AF$91,MATCH($C75,CostProjections!$N$9:$N$91,0),MATCH(W$15,CostProjections!$Z$8:$AF$8,0))*0.001</f>
        <v>13.489035158029976</v>
      </c>
      <c r="X75" s="619">
        <f>INDEX(CostProjections!$Z$9:$AF$91,MATCH($C75,CostProjections!$N$9:$N$91,0),MATCH(X$15,CostProjections!$Z$8:$AF$8,0))*0.001</f>
        <v>13.920256139633489</v>
      </c>
      <c r="Y75" s="619">
        <f>INDEX(CostProjections!$Z$9:$AF$91,MATCH($C75,CostProjections!$N$9:$N$91,0),MATCH(Y$15,CostProjections!$Z$8:$AF$8,0))*0.001</f>
        <v>13.545504528532826</v>
      </c>
      <c r="Z75" s="689">
        <f t="shared" si="14"/>
        <v>20</v>
      </c>
      <c r="AA75" s="689">
        <f t="shared" si="10"/>
        <v>20</v>
      </c>
      <c r="AB75" s="689">
        <f t="shared" si="12"/>
        <v>2018</v>
      </c>
      <c r="AC75" s="1">
        <f t="shared" ca="1" si="11"/>
        <v>58</v>
      </c>
    </row>
    <row r="76" spans="1:30" x14ac:dyDescent="0.2">
      <c r="A76" s="1" t="str">
        <f t="shared" si="5"/>
        <v/>
      </c>
      <c r="B76" s="190" t="str">
        <f>ITEMS_nTech!C67</f>
        <v>Transport Freight - HCV4 Oil Diesel-N</v>
      </c>
      <c r="C76" s="190" t="str">
        <f t="shared" si="13"/>
        <v>TFHCV4ODS-N</v>
      </c>
      <c r="D76" s="611" t="str">
        <f t="shared" si="15"/>
        <v>TRAODS</v>
      </c>
      <c r="E76" s="611" t="str">
        <f>TRP!B35</f>
        <v>TFHCV4</v>
      </c>
      <c r="F76" s="692">
        <f t="array" ref="F76">IFERROR(INDEX(Analytica!$F$59:$AY$138,MATCH($C76,Analytica!$B$59:$B$168,0),MATCH(F$15&amp;F$10,Analytica!$F$58:$AY$58&amp;Analytica!$F$51:'Analytica'!$AY$51,0)),"")</f>
        <v>0.10281963637464944</v>
      </c>
      <c r="G76" s="692">
        <f t="array" ref="G76">IFERROR(INDEX(Analytica!$F$59:$AY$138,MATCH($C76,Analytica!$B$59:$B$168,0),MATCH(G$15&amp;G$10,Analytica!$F$58:$AY$58&amp;Analytica!$F$51:'Analytica'!$AY$51,0)),"")</f>
        <v>0.10864961432319646</v>
      </c>
      <c r="H76" s="692">
        <f t="array" ref="H76">IFERROR(INDEX(Analytica!$F$59:$AY$138,MATCH($C76,Analytica!$B$59:$B$168,0),MATCH(H$15&amp;H$10,Analytica!$F$58:$AY$58&amp;Analytica!$F$51:'Analytica'!$AY$51,0)),"")</f>
        <v>0.12013685070233035</v>
      </c>
      <c r="I76" s="692">
        <f t="array" ref="I76">IFERROR(INDEX(Analytica!$F$59:$AY$138,MATCH($C76,Analytica!$B$59:$B$168,0),MATCH(I$15&amp;I$10,Analytica!$F$58:$AY$58&amp;Analytica!$F$51:'Analytica'!$AY$51,0)),"")</f>
        <v>0.13283860220378738</v>
      </c>
      <c r="J76" s="1001">
        <v>1</v>
      </c>
      <c r="K76" s="1001">
        <v>1</v>
      </c>
      <c r="L76" s="1001">
        <v>1</v>
      </c>
      <c r="M76" s="1001">
        <v>1</v>
      </c>
      <c r="N76" s="1001">
        <v>1</v>
      </c>
      <c r="O76" s="692">
        <f t="array" ref="O76">IFERROR(INDEX(Analytica!$F$59:$AY$138,MATCH($C76,Analytica!$B$59:$B$168,0),MATCH(O$15&amp;O$10,Analytica!$F$58:$AY$58&amp;Analytica!$F$51:'Analytica'!$AY$51,0)),"")</f>
        <v>8.4999999999999992E-2</v>
      </c>
      <c r="P76" s="619">
        <f>INDEX(CostProjections!$Q$9:$W$91,MATCH($C76,CostProjections!$N$9:$N$91,0),MATCH(P$15,CostProjections!$Q$8:$W$8,0))*0.001</f>
        <v>683.94236766876691</v>
      </c>
      <c r="Q76" s="619">
        <f>INDEX(CostProjections!$Q$9:$W$91,MATCH($C76,CostProjections!$N$9:$N$91,0),MATCH(Q$15,CostProjections!$Q$8:$W$8,0))*0.001</f>
        <v>705.61361392123843</v>
      </c>
      <c r="R76" s="619">
        <f>INDEX(CostProjections!$Q$9:$W$91,MATCH($C76,CostProjections!$N$9:$N$91,0),MATCH(R$15,CostProjections!$Q$8:$W$8,0))*0.001</f>
        <v>712.92897408386318</v>
      </c>
      <c r="S76" s="619">
        <f>INDEX(CostProjections!$Q$9:$W$91,MATCH($C76,CostProjections!$N$9:$N$91,0),MATCH(S$15,CostProjections!$Q$8:$W$8,0))*0.001</f>
        <v>718.00473098411464</v>
      </c>
      <c r="T76" s="619">
        <f>INDEX(CostProjections!$Q$9:$W$91,MATCH($C76,CostProjections!$N$9:$N$91,0),MATCH(T$15,CostProjections!$Q$8:$W$8,0))*0.001</f>
        <v>723.08048788436611</v>
      </c>
      <c r="U76" s="619">
        <f>INDEX(CostProjections!$Q$9:$W$91,MATCH($C76,CostProjections!$N$9:$N$91,0),MATCH(U$15,CostProjections!$Q$8:$W$8,0))*0.001</f>
        <v>716.02515536563271</v>
      </c>
      <c r="V76" s="619">
        <f>INDEX(CostProjections!$Z$9:$AF$91,MATCH($C76,CostProjections!$N$9:$N$91,0),MATCH(V$15,CostProjections!$Z$8:$AF$8,0))*0.001</f>
        <v>18.466443927056705</v>
      </c>
      <c r="W76" s="619">
        <f>INDEX(CostProjections!$Z$9:$AF$91,MATCH($C76,CostProjections!$N$9:$N$91,0),MATCH(W$15,CostProjections!$Z$8:$AF$8,0))*0.001</f>
        <v>19.249082300264305</v>
      </c>
      <c r="X76" s="619">
        <f>INDEX(CostProjections!$Z$9:$AF$91,MATCH($C76,CostProjections!$N$9:$N$91,0),MATCH(X$15,CostProjections!$Z$8:$AF$8,0))*0.001</f>
        <v>19.523173172877883</v>
      </c>
      <c r="Y76" s="619">
        <f>INDEX(CostProjections!$Z$9:$AF$91,MATCH($C76,CostProjections!$N$9:$N$91,0),MATCH(Y$15,CostProjections!$Z$8:$AF$8,0))*0.001</f>
        <v>19.332679194872082</v>
      </c>
      <c r="Z76" s="689">
        <f t="shared" si="14"/>
        <v>20</v>
      </c>
      <c r="AA76" s="689">
        <f t="shared" si="10"/>
        <v>20</v>
      </c>
      <c r="AB76" s="689">
        <f t="shared" si="12"/>
        <v>2018</v>
      </c>
      <c r="AC76" s="1">
        <f t="shared" ca="1" si="11"/>
        <v>59</v>
      </c>
    </row>
    <row r="77" spans="1:30" x14ac:dyDescent="0.2">
      <c r="A77" s="1" t="str">
        <f t="shared" si="5"/>
        <v/>
      </c>
      <c r="B77" s="190" t="str">
        <f>ITEMS_nTech!C68</f>
        <v>Transport Freight - HCV5 Oil Diesel-N</v>
      </c>
      <c r="C77" s="190" t="str">
        <f t="shared" si="13"/>
        <v>TFHCV5ODS-N</v>
      </c>
      <c r="D77" s="611" t="str">
        <f t="shared" si="15"/>
        <v>TRAODS</v>
      </c>
      <c r="E77" s="611" t="str">
        <f>TRP!B36</f>
        <v>TFHCV5</v>
      </c>
      <c r="F77" s="692">
        <f t="array" ref="F77">IFERROR(INDEX(Analytica!$F$59:$AY$138,MATCH($C77,Analytica!$B$59:$B$168,0),MATCH(F$15&amp;F$10,Analytica!$F$58:$AY$58&amp;Analytica!$F$51:'Analytica'!$AY$51,0)),"")</f>
        <v>9.4723463153705931E-2</v>
      </c>
      <c r="G77" s="692">
        <f t="array" ref="G77">IFERROR(INDEX(Analytica!$F$59:$AY$138,MATCH($C77,Analytica!$B$59:$B$168,0),MATCH(G$15&amp;G$10,Analytica!$F$58:$AY$58&amp;Analytica!$F$51:'Analytica'!$AY$51,0)),"")</f>
        <v>0.1000943798469327</v>
      </c>
      <c r="H77" s="692">
        <f t="array" ref="H77">IFERROR(INDEX(Analytica!$F$59:$AY$138,MATCH($C77,Analytica!$B$59:$B$168,0),MATCH(H$15&amp;H$10,Analytica!$F$58:$AY$58&amp;Analytica!$F$51:'Analytica'!$AY$51,0)),"")</f>
        <v>0.11067709391073265</v>
      </c>
      <c r="I77" s="692">
        <f t="array" ref="I77">IFERROR(INDEX(Analytica!$F$59:$AY$138,MATCH($C77,Analytica!$B$59:$B$168,0),MATCH(I$15&amp;I$10,Analytica!$F$58:$AY$58&amp;Analytica!$F$51:'Analytica'!$AY$51,0)),"")</f>
        <v>0.12237869034462585</v>
      </c>
      <c r="J77" s="1001">
        <v>1</v>
      </c>
      <c r="K77" s="1001">
        <v>1</v>
      </c>
      <c r="L77" s="1001">
        <v>1</v>
      </c>
      <c r="M77" s="1001">
        <v>1</v>
      </c>
      <c r="N77" s="1001">
        <v>1</v>
      </c>
      <c r="O77" s="692">
        <f t="array" ref="O77">IFERROR(INDEX(Analytica!$F$59:$AY$138,MATCH($C77,Analytica!$B$59:$B$168,0),MATCH(O$15&amp;O$10,Analytica!$F$58:$AY$58&amp;Analytica!$F$51:'Analytica'!$AY$51,0)),"")</f>
        <v>0.11</v>
      </c>
      <c r="P77" s="619">
        <f>INDEX(CostProjections!$Q$9:$W$91,MATCH($C77,CostProjections!$N$9:$N$91,0),MATCH(P$15,CostProjections!$Q$8:$W$8,0))*0.001</f>
        <v>1236.8754586946309</v>
      </c>
      <c r="Q77" s="619">
        <f>INDEX(CostProjections!$Q$9:$W$91,MATCH($C77,CostProjections!$N$9:$N$91,0),MATCH(Q$15,CostProjections!$Q$8:$W$8,0))*0.001</f>
        <v>1259.3001215790691</v>
      </c>
      <c r="R77" s="619">
        <f>INDEX(CostProjections!$Q$9:$W$91,MATCH($C77,CostProjections!$N$9:$N$91,0),MATCH(R$15,CostProjections!$Q$8:$W$8,0))*0.001</f>
        <v>1268.6066034712414</v>
      </c>
      <c r="S77" s="619">
        <f>INDEX(CostProjections!$Q$9:$W$91,MATCH($C77,CostProjections!$N$9:$N$91,0),MATCH(S$15,CostProjections!$Q$8:$W$8,0))*0.001</f>
        <v>1274.4471991043974</v>
      </c>
      <c r="T77" s="619">
        <f>INDEX(CostProjections!$Q$9:$W$91,MATCH($C77,CostProjections!$N$9:$N$91,0),MATCH(T$15,CostProjections!$Q$8:$W$8,0))*0.001</f>
        <v>1280.2877947375534</v>
      </c>
      <c r="U77" s="619">
        <f>INDEX(CostProjections!$Q$9:$W$91,MATCH($C77,CostProjections!$N$9:$N$91,0),MATCH(U$15,CostProjections!$Q$8:$W$8,0))*0.001</f>
        <v>1293.3494315949583</v>
      </c>
      <c r="V77" s="619">
        <f>INDEX(CostProjections!$Z$9:$AF$91,MATCH($C77,CostProjections!$N$9:$N$91,0),MATCH(V$15,CostProjections!$Z$8:$AF$8,0))*0.001</f>
        <v>33.395637384755027</v>
      </c>
      <c r="W77" s="619">
        <f>INDEX(CostProjections!$Z$9:$AF$91,MATCH($C77,CostProjections!$N$9:$N$91,0),MATCH(W$15,CostProjections!$Z$8:$AF$8,0))*0.001</f>
        <v>34.252378293723517</v>
      </c>
      <c r="X77" s="619">
        <f>INDEX(CostProjections!$Z$9:$AF$91,MATCH($C77,CostProjections!$N$9:$N$91,0),MATCH(X$15,CostProjections!$Z$8:$AF$8,0))*0.001</f>
        <v>34.567770457913944</v>
      </c>
      <c r="Y77" s="619">
        <f>INDEX(CostProjections!$Z$9:$AF$91,MATCH($C77,CostProjections!$N$9:$N$91,0),MATCH(Y$15,CostProjections!$Z$8:$AF$8,0))*0.001</f>
        <v>34.920434653063872</v>
      </c>
      <c r="Z77" s="689">
        <f t="shared" si="14"/>
        <v>20</v>
      </c>
      <c r="AA77" s="689">
        <f t="shared" si="10"/>
        <v>20</v>
      </c>
      <c r="AB77" s="689">
        <f t="shared" si="12"/>
        <v>2018</v>
      </c>
      <c r="AC77" s="1">
        <f t="shared" ca="1" si="11"/>
        <v>60</v>
      </c>
    </row>
    <row r="78" spans="1:30" x14ac:dyDescent="0.2">
      <c r="A78" s="1" t="str">
        <f t="shared" si="5"/>
        <v/>
      </c>
      <c r="B78" s="190" t="str">
        <f>ITEMS_nTech!C69</f>
        <v>Transport Freight - HCV6 Oil Diesel-N</v>
      </c>
      <c r="C78" s="190" t="str">
        <f t="shared" si="13"/>
        <v>TFHCV6ODS-N</v>
      </c>
      <c r="D78" s="611" t="str">
        <f t="shared" si="15"/>
        <v>TRAODS</v>
      </c>
      <c r="E78" s="611" t="str">
        <f>TRP!B37</f>
        <v>TFHCV6</v>
      </c>
      <c r="F78" s="692">
        <f t="array" ref="F78">IFERROR(INDEX(Analytica!$F$59:$AY$138,MATCH($C78,Analytica!$B$59:$B$168,0),MATCH(F$15&amp;F$10,Analytica!$F$58:$AY$58&amp;Analytica!$F$51:'Analytica'!$AY$51,0)),"")</f>
        <v>6.5335885867528767E-2</v>
      </c>
      <c r="G78" s="692">
        <f t="array" ref="G78">IFERROR(INDEX(Analytica!$F$59:$AY$138,MATCH($C78,Analytica!$B$59:$B$168,0),MATCH(G$15&amp;G$10,Analytica!$F$58:$AY$58&amp;Analytica!$F$51:'Analytica'!$AY$51,0)),"")</f>
        <v>6.9040497041882143E-2</v>
      </c>
      <c r="H78" s="692">
        <f t="array" ref="H78">IFERROR(INDEX(Analytica!$F$59:$AY$138,MATCH($C78,Analytica!$B$59:$B$168,0),MATCH(H$15&amp;H$10,Analytica!$F$58:$AY$58&amp;Analytica!$F$51:'Analytica'!$AY$51,0)),"")</f>
        <v>7.6339966204228477E-2</v>
      </c>
      <c r="I78" s="692">
        <f t="array" ref="I78">IFERROR(INDEX(Analytica!$F$59:$AY$138,MATCH($C78,Analytica!$B$59:$B$168,0),MATCH(I$15&amp;I$10,Analytica!$F$58:$AY$58&amp;Analytica!$F$51:'Analytica'!$AY$51,0)),"")</f>
        <v>8.4411188936363318E-2</v>
      </c>
      <c r="J78" s="1001">
        <v>1</v>
      </c>
      <c r="K78" s="1001">
        <v>1</v>
      </c>
      <c r="L78" s="1001">
        <v>1</v>
      </c>
      <c r="M78" s="1001">
        <v>1</v>
      </c>
      <c r="N78" s="1001">
        <v>1</v>
      </c>
      <c r="O78" s="692">
        <f t="array" ref="O78">IFERROR(INDEX(Analytica!$F$59:$AY$138,MATCH($C78,Analytica!$B$59:$B$168,0),MATCH(O$15&amp;O$10,Analytica!$F$58:$AY$58&amp;Analytica!$F$51:'Analytica'!$AY$51,0)),"")</f>
        <v>0.11</v>
      </c>
      <c r="P78" s="619">
        <f>INDEX(CostProjections!$Q$9:$W$91,MATCH($C78,CostProjections!$N$9:$N$91,0),MATCH(P$15,CostProjections!$Q$8:$W$8,0))*0.001</f>
        <v>1236.8754586946309</v>
      </c>
      <c r="Q78" s="619">
        <f>INDEX(CostProjections!$Q$9:$W$91,MATCH($C78,CostProjections!$N$9:$N$91,0),MATCH(Q$15,CostProjections!$Q$8:$W$8,0))*0.001</f>
        <v>1259.3001215790691</v>
      </c>
      <c r="R78" s="619">
        <f>INDEX(CostProjections!$Q$9:$W$91,MATCH($C78,CostProjections!$N$9:$N$91,0),MATCH(R$15,CostProjections!$Q$8:$W$8,0))*0.001</f>
        <v>1268.6066034712414</v>
      </c>
      <c r="S78" s="619">
        <f>INDEX(CostProjections!$Q$9:$W$91,MATCH($C78,CostProjections!$N$9:$N$91,0),MATCH(S$15,CostProjections!$Q$8:$W$8,0))*0.001</f>
        <v>1274.4471991043974</v>
      </c>
      <c r="T78" s="619">
        <f>INDEX(CostProjections!$Q$9:$W$91,MATCH($C78,CostProjections!$N$9:$N$91,0),MATCH(T$15,CostProjections!$Q$8:$W$8,0))*0.001</f>
        <v>1280.2877947375534</v>
      </c>
      <c r="U78" s="619">
        <f>INDEX(CostProjections!$Q$9:$W$91,MATCH($C78,CostProjections!$N$9:$N$91,0),MATCH(U$15,CostProjections!$Q$8:$W$8,0))*0.001</f>
        <v>1293.3494315949583</v>
      </c>
      <c r="V78" s="619">
        <f>INDEX(CostProjections!$Z$9:$AF$91,MATCH($C78,CostProjections!$N$9:$N$91,0),MATCH(V$15,CostProjections!$Z$8:$AF$8,0))*0.001</f>
        <v>33.395637384755027</v>
      </c>
      <c r="W78" s="619">
        <f>INDEX(CostProjections!$Z$9:$AF$91,MATCH($C78,CostProjections!$N$9:$N$91,0),MATCH(W$15,CostProjections!$Z$8:$AF$8,0))*0.001</f>
        <v>34.252378293723517</v>
      </c>
      <c r="X78" s="619">
        <f>INDEX(CostProjections!$Z$9:$AF$91,MATCH($C78,CostProjections!$N$9:$N$91,0),MATCH(X$15,CostProjections!$Z$8:$AF$8,0))*0.001</f>
        <v>34.567770457913944</v>
      </c>
      <c r="Y78" s="619">
        <f>INDEX(CostProjections!$Z$9:$AF$91,MATCH($C78,CostProjections!$N$9:$N$91,0),MATCH(Y$15,CostProjections!$Z$8:$AF$8,0))*0.001</f>
        <v>34.920434653063872</v>
      </c>
      <c r="Z78" s="689">
        <f t="shared" si="14"/>
        <v>20</v>
      </c>
      <c r="AA78" s="689">
        <f t="shared" si="10"/>
        <v>20</v>
      </c>
      <c r="AB78" s="689">
        <f t="shared" si="12"/>
        <v>2018</v>
      </c>
      <c r="AC78" s="1">
        <f t="shared" ca="1" si="11"/>
        <v>61</v>
      </c>
    </row>
    <row r="79" spans="1:30" x14ac:dyDescent="0.2">
      <c r="A79" s="1" t="str">
        <f t="shared" si="5"/>
        <v/>
      </c>
      <c r="B79" s="190" t="str">
        <f>ITEMS_nTech!C70</f>
        <v>Transport Freight - HCV7 Oil Diesel-N</v>
      </c>
      <c r="C79" s="190" t="str">
        <f t="shared" si="13"/>
        <v>TFHCV7ODS-N</v>
      </c>
      <c r="D79" s="611" t="str">
        <f t="shared" si="15"/>
        <v>TRAODS</v>
      </c>
      <c r="E79" s="611" t="str">
        <f>TRP!B38</f>
        <v>TFHCV7</v>
      </c>
      <c r="F79" s="692">
        <f t="array" ref="F79">IFERROR(INDEX(Analytica!$F$59:$AY$138,MATCH($C79,Analytica!$B$59:$B$168,0),MATCH(F$15&amp;F$10,Analytica!$F$58:$AY$58&amp;Analytica!$F$51:'Analytica'!$AY$51,0)),"")</f>
        <v>7.0529217664861518E-2</v>
      </c>
      <c r="G79" s="692">
        <f t="array" ref="G79">IFERROR(INDEX(Analytica!$F$59:$AY$138,MATCH($C79,Analytica!$B$59:$B$168,0),MATCH(G$15&amp;G$10,Analytica!$F$58:$AY$58&amp;Analytica!$F$51:'Analytica'!$AY$51,0)),"")</f>
        <v>7.4528296033668062E-2</v>
      </c>
      <c r="H79" s="692">
        <f t="array" ref="H79">IFERROR(INDEX(Analytica!$F$59:$AY$138,MATCH($C79,Analytica!$B$59:$B$168,0),MATCH(H$15&amp;H$10,Analytica!$F$58:$AY$58&amp;Analytica!$F$51:'Analytica'!$AY$51,0)),"")</f>
        <v>8.2407975669954003E-2</v>
      </c>
      <c r="I79" s="692">
        <f t="array" ref="I79">IFERROR(INDEX(Analytica!$F$59:$AY$138,MATCH($C79,Analytica!$B$59:$B$168,0),MATCH(I$15&amp;I$10,Analytica!$F$58:$AY$58&amp;Analytica!$F$51:'Analytica'!$AY$51,0)),"")</f>
        <v>9.1120752994968135E-2</v>
      </c>
      <c r="J79" s="1001">
        <v>1</v>
      </c>
      <c r="K79" s="1001">
        <v>1</v>
      </c>
      <c r="L79" s="1001">
        <v>1</v>
      </c>
      <c r="M79" s="1001">
        <v>1</v>
      </c>
      <c r="N79" s="1001">
        <v>1</v>
      </c>
      <c r="O79" s="692">
        <f t="array" ref="O79">IFERROR(INDEX(Analytica!$F$59:$AY$138,MATCH($C79,Analytica!$B$59:$B$168,0),MATCH(O$15&amp;O$10,Analytica!$F$58:$AY$58&amp;Analytica!$F$51:'Analytica'!$AY$51,0)),"")</f>
        <v>0.16</v>
      </c>
      <c r="P79" s="619">
        <f>INDEX(CostProjections!$Q$9:$W$91,MATCH($C79,CostProjections!$N$9:$N$91,0),MATCH(P$15,CostProjections!$Q$8:$W$8,0))*0.001</f>
        <v>1949.6242731762372</v>
      </c>
      <c r="Q79" s="619">
        <f>INDEX(CostProjections!$Q$9:$W$91,MATCH($C79,CostProjections!$N$9:$N$91,0),MATCH(Q$15,CostProjections!$Q$8:$W$8,0))*0.001</f>
        <v>1983.4172204832014</v>
      </c>
      <c r="R79" s="619">
        <f>INDEX(CostProjections!$Q$9:$W$91,MATCH($C79,CostProjections!$N$9:$N$91,0),MATCH(R$15,CostProjections!$Q$8:$W$8,0))*0.001</f>
        <v>1990.1429808259747</v>
      </c>
      <c r="S79" s="619">
        <f>INDEX(CostProjections!$Q$9:$W$91,MATCH($C79,CostProjections!$N$9:$N$91,0),MATCH(S$15,CostProjections!$Q$8:$W$8,0))*0.001</f>
        <v>1999.8998869915054</v>
      </c>
      <c r="T79" s="619">
        <f>INDEX(CostProjections!$Q$9:$W$91,MATCH($C79,CostProjections!$N$9:$N$91,0),MATCH(T$15,CostProjections!$Q$8:$W$8,0))*0.001</f>
        <v>2009.656793157036</v>
      </c>
      <c r="U79" s="619">
        <f>INDEX(CostProjections!$Q$9:$W$91,MATCH($C79,CostProjections!$N$9:$N$91,0),MATCH(U$15,CostProjections!$Q$8:$W$8,0))*0.001</f>
        <v>2036.5139777974439</v>
      </c>
      <c r="V79" s="619">
        <f>INDEX(CostProjections!$Z$9:$AF$91,MATCH($C79,CostProjections!$N$9:$N$91,0),MATCH(V$15,CostProjections!$Z$8:$AF$8,0))*0.001</f>
        <v>52.639855375758401</v>
      </c>
      <c r="W79" s="619">
        <f>INDEX(CostProjections!$Z$9:$AF$91,MATCH($C79,CostProjections!$N$9:$N$91,0),MATCH(W$15,CostProjections!$Z$8:$AF$8,0))*0.001</f>
        <v>53.733860482301317</v>
      </c>
      <c r="X79" s="619">
        <f>INDEX(CostProjections!$Z$9:$AF$91,MATCH($C79,CostProjections!$N$9:$N$91,0),MATCH(X$15,CostProjections!$Z$8:$AF$8,0))*0.001</f>
        <v>54.260733415239969</v>
      </c>
      <c r="Y79" s="619">
        <f>INDEX(CostProjections!$Z$9:$AF$91,MATCH($C79,CostProjections!$N$9:$N$91,0),MATCH(Y$15,CostProjections!$Z$8:$AF$8,0))*0.001</f>
        <v>54.985877400530981</v>
      </c>
      <c r="Z79" s="689">
        <f t="shared" si="14"/>
        <v>20</v>
      </c>
      <c r="AA79" s="689">
        <f t="shared" si="10"/>
        <v>20</v>
      </c>
      <c r="AB79" s="689">
        <f t="shared" si="12"/>
        <v>2018</v>
      </c>
      <c r="AC79" s="1">
        <f t="shared" ca="1" si="11"/>
        <v>62</v>
      </c>
    </row>
    <row r="80" spans="1:30" x14ac:dyDescent="0.2">
      <c r="A80" s="1" t="str">
        <f t="shared" si="5"/>
        <v/>
      </c>
      <c r="B80" s="190" t="str">
        <f>ITEMS_nTech!C71</f>
        <v>Transport Freight - HCV8 Oil Diesel-N</v>
      </c>
      <c r="C80" s="190" t="str">
        <f t="shared" si="13"/>
        <v>TFHCV8ODS-N</v>
      </c>
      <c r="D80" s="611" t="str">
        <f t="shared" si="15"/>
        <v>TRAODS</v>
      </c>
      <c r="E80" s="611" t="str">
        <f>TRP!B39</f>
        <v>TFHCV8</v>
      </c>
      <c r="F80" s="692">
        <f t="array" ref="F80">IFERROR(INDEX(Analytica!$F$59:$AY$138,MATCH($C80,Analytica!$B$59:$B$168,0),MATCH(F$15&amp;F$10,Analytica!$F$58:$AY$58&amp;Analytica!$F$51:'Analytica'!$AY$51,0)),"")</f>
        <v>6.9401604619788601E-2</v>
      </c>
      <c r="G80" s="692">
        <f t="array" ref="G80">IFERROR(INDEX(Analytica!$F$59:$AY$138,MATCH($C80,Analytica!$B$59:$B$168,0),MATCH(G$15&amp;G$10,Analytica!$F$58:$AY$58&amp;Analytica!$F$51:'Analytica'!$AY$51,0)),"")</f>
        <v>7.3336746182173118E-2</v>
      </c>
      <c r="H80" s="692">
        <f t="array" ref="H80">IFERROR(INDEX(Analytica!$F$59:$AY$138,MATCH($C80,Analytica!$B$59:$B$168,0),MATCH(H$15&amp;H$10,Analytica!$F$58:$AY$58&amp;Analytica!$F$51:'Analytica'!$AY$51,0)),"")</f>
        <v>8.109044640392632E-2</v>
      </c>
      <c r="I80" s="692">
        <f t="array" ref="I80">IFERROR(INDEX(Analytica!$F$59:$AY$138,MATCH($C80,Analytica!$B$59:$B$168,0),MATCH(I$15&amp;I$10,Analytica!$F$58:$AY$58&amp;Analytica!$F$51:'Analytica'!$AY$51,0)),"")</f>
        <v>8.966392484408417E-2</v>
      </c>
      <c r="J80" s="1001">
        <v>1</v>
      </c>
      <c r="K80" s="1001">
        <v>1</v>
      </c>
      <c r="L80" s="1001">
        <v>1</v>
      </c>
      <c r="M80" s="1001">
        <v>1</v>
      </c>
      <c r="N80" s="1001">
        <v>1</v>
      </c>
      <c r="O80" s="692">
        <f t="array" ref="O80">IFERROR(INDEX(Analytica!$F$59:$AY$138,MATCH($C80,Analytica!$B$59:$B$168,0),MATCH(O$15&amp;O$10,Analytica!$F$58:$AY$58&amp;Analytica!$F$51:'Analytica'!$AY$51,0)),"")</f>
        <v>0.16</v>
      </c>
      <c r="P80" s="619">
        <f>INDEX(CostProjections!$Q$9:$W$91,MATCH($C80,CostProjections!$N$9:$N$91,0),MATCH(P$15,CostProjections!$Q$8:$W$8,0))*0.001</f>
        <v>1949.6242731762372</v>
      </c>
      <c r="Q80" s="619">
        <f>INDEX(CostProjections!$Q$9:$W$91,MATCH($C80,CostProjections!$N$9:$N$91,0),MATCH(Q$15,CostProjections!$Q$8:$W$8,0))*0.001</f>
        <v>1983.4172204832014</v>
      </c>
      <c r="R80" s="619">
        <f>INDEX(CostProjections!$Q$9:$W$91,MATCH($C80,CostProjections!$N$9:$N$91,0),MATCH(R$15,CostProjections!$Q$8:$W$8,0))*0.001</f>
        <v>1990.1429808259747</v>
      </c>
      <c r="S80" s="619">
        <f>INDEX(CostProjections!$Q$9:$W$91,MATCH($C80,CostProjections!$N$9:$N$91,0),MATCH(S$15,CostProjections!$Q$8:$W$8,0))*0.001</f>
        <v>1999.8998869915054</v>
      </c>
      <c r="T80" s="619">
        <f>INDEX(CostProjections!$Q$9:$W$91,MATCH($C80,CostProjections!$N$9:$N$91,0),MATCH(T$15,CostProjections!$Q$8:$W$8,0))*0.001</f>
        <v>2009.656793157036</v>
      </c>
      <c r="U80" s="619">
        <f>INDEX(CostProjections!$Q$9:$W$91,MATCH($C80,CostProjections!$N$9:$N$91,0),MATCH(U$15,CostProjections!$Q$8:$W$8,0))*0.001</f>
        <v>2036.5139777974439</v>
      </c>
      <c r="V80" s="619">
        <f>INDEX(CostProjections!$Z$9:$AF$91,MATCH($C80,CostProjections!$N$9:$N$91,0),MATCH(V$15,CostProjections!$Z$8:$AF$8,0))*0.001</f>
        <v>52.639855375758401</v>
      </c>
      <c r="W80" s="619">
        <f>INDEX(CostProjections!$Z$9:$AF$91,MATCH($C80,CostProjections!$N$9:$N$91,0),MATCH(W$15,CostProjections!$Z$8:$AF$8,0))*0.001</f>
        <v>53.733860482301317</v>
      </c>
      <c r="X80" s="619">
        <f>INDEX(CostProjections!$Z$9:$AF$91,MATCH($C80,CostProjections!$N$9:$N$91,0),MATCH(X$15,CostProjections!$Z$8:$AF$8,0))*0.001</f>
        <v>54.260733415239969</v>
      </c>
      <c r="Y80" s="619">
        <f>INDEX(CostProjections!$Z$9:$AF$91,MATCH($C80,CostProjections!$N$9:$N$91,0),MATCH(Y$15,CostProjections!$Z$8:$AF$8,0))*0.001</f>
        <v>54.985877400530981</v>
      </c>
      <c r="Z80" s="689">
        <f t="shared" si="14"/>
        <v>20</v>
      </c>
      <c r="AA80" s="689">
        <f t="shared" si="10"/>
        <v>20</v>
      </c>
      <c r="AB80" s="689">
        <f t="shared" si="12"/>
        <v>2018</v>
      </c>
      <c r="AC80" s="1">
        <f t="shared" ca="1" si="11"/>
        <v>63</v>
      </c>
    </row>
    <row r="81" spans="1:30" x14ac:dyDescent="0.2">
      <c r="A81" s="1" t="str">
        <f t="shared" si="5"/>
        <v/>
      </c>
      <c r="B81" s="190" t="str">
        <f>ITEMS_nTech!C72</f>
        <v>Transport Freight - HCV9 Oil Diesel-N</v>
      </c>
      <c r="C81" s="190" t="str">
        <f t="shared" si="13"/>
        <v>TFHCV9ODS-N</v>
      </c>
      <c r="D81" s="611" t="str">
        <f t="shared" si="15"/>
        <v>TRAODS</v>
      </c>
      <c r="E81" s="611" t="str">
        <f>TRP!B40</f>
        <v>TFHCV9</v>
      </c>
      <c r="F81" s="692">
        <f t="array" ref="F81">IFERROR(INDEX(Analytica!$F$59:$AY$138,MATCH($C81,Analytica!$B$59:$B$168,0),MATCH(F$15&amp;F$10,Analytica!$F$58:$AY$58&amp;Analytica!$F$51:'Analytica'!$AY$51,0)),"")</f>
        <v>5.4534804966928384E-2</v>
      </c>
      <c r="G81" s="692">
        <f t="array" ref="G81">IFERROR(INDEX(Analytica!$F$59:$AY$138,MATCH($C81,Analytica!$B$59:$B$168,0),MATCH(G$15&amp;G$10,Analytica!$F$58:$AY$58&amp;Analytica!$F$51:'Analytica'!$AY$51,0)),"")</f>
        <v>5.7626983869672431E-2</v>
      </c>
      <c r="H81" s="692">
        <f t="array" ref="H81">IFERROR(INDEX(Analytica!$F$59:$AY$138,MATCH($C81,Analytica!$B$59:$B$168,0),MATCH(H$15&amp;H$10,Analytica!$F$58:$AY$58&amp;Analytica!$F$51:'Analytica'!$AY$51,0)),"")</f>
        <v>6.3719732469389584E-2</v>
      </c>
      <c r="I81" s="692">
        <f t="array" ref="I81">IFERROR(INDEX(Analytica!$F$59:$AY$138,MATCH($C81,Analytica!$B$59:$B$168,0),MATCH(I$15&amp;I$10,Analytica!$F$58:$AY$58&amp;Analytica!$F$51:'Analytica'!$AY$51,0)),"")</f>
        <v>7.0456651265195916E-2</v>
      </c>
      <c r="J81" s="1001">
        <v>1</v>
      </c>
      <c r="K81" s="1001">
        <v>1</v>
      </c>
      <c r="L81" s="1001">
        <v>1</v>
      </c>
      <c r="M81" s="1001">
        <v>1</v>
      </c>
      <c r="N81" s="1001">
        <v>1</v>
      </c>
      <c r="O81" s="692">
        <f t="array" ref="O81">IFERROR(INDEX(Analytica!$F$59:$AY$138,MATCH($C81,Analytica!$B$59:$B$168,0),MATCH(O$15&amp;O$10,Analytica!$F$58:$AY$58&amp;Analytica!$F$51:'Analytica'!$AY$51,0)),"")</f>
        <v>0.18</v>
      </c>
      <c r="P81" s="619">
        <f>INDEX(CostProjections!$Q$9:$W$91,MATCH($C81,CostProjections!$N$9:$N$91,0),MATCH(P$15,CostProjections!$Q$8:$W$8,0))*0.001</f>
        <v>1949.6242731762372</v>
      </c>
      <c r="Q81" s="619">
        <f>INDEX(CostProjections!$Q$9:$W$91,MATCH($C81,CostProjections!$N$9:$N$91,0),MATCH(Q$15,CostProjections!$Q$8:$W$8,0))*0.001</f>
        <v>1983.4172204832014</v>
      </c>
      <c r="R81" s="619">
        <f>INDEX(CostProjections!$Q$9:$W$91,MATCH($C81,CostProjections!$N$9:$N$91,0),MATCH(R$15,CostProjections!$Q$8:$W$8,0))*0.001</f>
        <v>1990.1429808259747</v>
      </c>
      <c r="S81" s="619">
        <f>INDEX(CostProjections!$Q$9:$W$91,MATCH($C81,CostProjections!$N$9:$N$91,0),MATCH(S$15,CostProjections!$Q$8:$W$8,0))*0.001</f>
        <v>1999.8998869915054</v>
      </c>
      <c r="T81" s="619">
        <f>INDEX(CostProjections!$Q$9:$W$91,MATCH($C81,CostProjections!$N$9:$N$91,0),MATCH(T$15,CostProjections!$Q$8:$W$8,0))*0.001</f>
        <v>2009.656793157036</v>
      </c>
      <c r="U81" s="619">
        <f>INDEX(CostProjections!$Q$9:$W$91,MATCH($C81,CostProjections!$N$9:$N$91,0),MATCH(U$15,CostProjections!$Q$8:$W$8,0))*0.001</f>
        <v>2036.5139777974439</v>
      </c>
      <c r="V81" s="619">
        <f>INDEX(CostProjections!$Z$9:$AF$91,MATCH($C81,CostProjections!$N$9:$N$91,0),MATCH(V$15,CostProjections!$Z$8:$AF$8,0))*0.001</f>
        <v>52.639855375758401</v>
      </c>
      <c r="W81" s="619">
        <f>INDEX(CostProjections!$Z$9:$AF$91,MATCH($C81,CostProjections!$N$9:$N$91,0),MATCH(W$15,CostProjections!$Z$8:$AF$8,0))*0.001</f>
        <v>53.733860482301317</v>
      </c>
      <c r="X81" s="619">
        <f>INDEX(CostProjections!$Z$9:$AF$91,MATCH($C81,CostProjections!$N$9:$N$91,0),MATCH(X$15,CostProjections!$Z$8:$AF$8,0))*0.001</f>
        <v>54.260733415239969</v>
      </c>
      <c r="Y81" s="619">
        <f>INDEX(CostProjections!$Z$9:$AF$91,MATCH($C81,CostProjections!$N$9:$N$91,0),MATCH(Y$15,CostProjections!$Z$8:$AF$8,0))*0.001</f>
        <v>54.985877400530981</v>
      </c>
      <c r="Z81" s="689">
        <f t="shared" si="14"/>
        <v>20</v>
      </c>
      <c r="AA81" s="689">
        <f t="shared" si="10"/>
        <v>20</v>
      </c>
      <c r="AB81" s="689">
        <f t="shared" si="12"/>
        <v>2018</v>
      </c>
      <c r="AC81" s="1">
        <f t="shared" ca="1" si="11"/>
        <v>64</v>
      </c>
    </row>
    <row r="82" spans="1:30" x14ac:dyDescent="0.2">
      <c r="A82" s="1" t="str">
        <f t="shared" si="5"/>
        <v>*</v>
      </c>
      <c r="B82" s="190" t="str">
        <f>ITEMS_nTech!C73</f>
        <v>Transport Freight - HCV1 Gas-N</v>
      </c>
      <c r="C82" s="190" t="str">
        <f t="shared" si="13"/>
        <v>TFHCV1GAS-N</v>
      </c>
      <c r="D82" s="611" t="str">
        <f t="shared" ref="D82:D90" si="16">$G$6</f>
        <v>TRAGAS</v>
      </c>
      <c r="E82" s="611" t="str">
        <f>TRP!B32</f>
        <v>TFHCV1</v>
      </c>
      <c r="F82" s="692">
        <f t="array" ref="F82">IFERROR(INDEX(Analytica!$F$59:$AY$138,MATCH($C82,Analytica!$B$59:$B$168,0),MATCH(F$15&amp;F$10,Analytica!$F$58:$AY$58&amp;Analytica!$F$51:'Analytica'!$AY$51,0)),"")</f>
        <v>0.14855319325660585</v>
      </c>
      <c r="G82" s="692">
        <f t="array" ref="G82">IFERROR(INDEX(Analytica!$F$59:$AY$138,MATCH($C82,Analytica!$B$59:$B$168,0),MATCH(G$15&amp;G$10,Analytica!$F$58:$AY$58&amp;Analytica!$F$51:'Analytica'!$AY$51,0)),"")</f>
        <v>0.15697631039073517</v>
      </c>
      <c r="H82" s="692">
        <f t="array" ref="H82">IFERROR(INDEX(Analytica!$F$59:$AY$138,MATCH($C82,Analytica!$B$59:$B$168,0),MATCH(H$15&amp;H$10,Analytica!$F$58:$AY$58&amp;Analytica!$F$51:'Analytica'!$AY$51,0)),"")</f>
        <v>0.17357300053653429</v>
      </c>
      <c r="I82" s="692">
        <f t="array" ref="I82">IFERROR(INDEX(Analytica!$F$59:$AY$138,MATCH($C82,Analytica!$B$59:$B$168,0),MATCH(I$15&amp;I$10,Analytica!$F$58:$AY$58&amp;Analytica!$F$51:'Analytica'!$AY$51,0)),"")</f>
        <v>0.19192441483854544</v>
      </c>
      <c r="J82" s="1001">
        <v>1</v>
      </c>
      <c r="K82" s="1001">
        <v>1</v>
      </c>
      <c r="L82" s="1001">
        <v>1</v>
      </c>
      <c r="M82" s="1001">
        <v>1</v>
      </c>
      <c r="N82" s="1001">
        <v>1</v>
      </c>
      <c r="O82" s="692">
        <f t="array" ref="O82">IFERROR(INDEX(Analytica!$F$59:$AY$138,MATCH($C82,Analytica!$B$59:$B$168,0),MATCH(O$15&amp;O$10,Analytica!$F$58:$AY$58&amp;Analytica!$F$51:'Analytica'!$AY$51,0)),"")</f>
        <v>4.8000000000000001E-2</v>
      </c>
      <c r="P82" s="619">
        <f>INDEX(CostProjections!$Q$9:$W$91,MATCH($C82,CostProjections!$N$9:$N$91,0),MATCH(P$15,CostProjections!$Q$8:$W$8,0))*0.001</f>
        <v>626.09577316793082</v>
      </c>
      <c r="Q82" s="619">
        <f>INDEX(CostProjections!$Q$9:$W$91,MATCH($C82,CostProjections!$N$9:$N$91,0),MATCH(Q$15,CostProjections!$Q$8:$W$8,0))*0.001</f>
        <v>624.93521780148774</v>
      </c>
      <c r="R82" s="619">
        <f>INDEX(CostProjections!$Q$9:$W$91,MATCH($C82,CostProjections!$N$9:$N$91,0),MATCH(R$15,CostProjections!$Q$8:$W$8,0))*0.001</f>
        <v>623.77466243504477</v>
      </c>
      <c r="S82" s="619">
        <f>INDEX(CostProjections!$Q$9:$W$91,MATCH($C82,CostProjections!$N$9:$N$91,0),MATCH(S$15,CostProjections!$Q$8:$W$8,0))*0.001</f>
        <v>622.61410706860181</v>
      </c>
      <c r="T82" s="619">
        <f>INDEX(CostProjections!$Q$9:$W$91,MATCH($C82,CostProjections!$N$9:$N$91,0),MATCH(T$15,CostProjections!$Q$8:$W$8,0))*0.001</f>
        <v>621.45355170215873</v>
      </c>
      <c r="U82" s="619">
        <f>INDEX(CostProjections!$Q$9:$W$91,MATCH($C82,CostProjections!$N$9:$N$91,0),MATCH(U$15,CostProjections!$Q$8:$W$8,0))*0.001</f>
        <v>619.13244096927281</v>
      </c>
      <c r="V82" s="619">
        <f>INDEX(CostProjections!$Z$9:$AF$91,MATCH($C82,CostProjections!$N$9:$N$91,0),MATCH(V$15,CostProjections!$Z$8:$AF$8,0))*0.001</f>
        <v>16.904585875534131</v>
      </c>
      <c r="W82" s="619">
        <f>INDEX(CostProjections!$Z$9:$AF$91,MATCH($C82,CostProjections!$N$9:$N$91,0),MATCH(W$15,CostProjections!$Z$8:$AF$8,0))*0.001</f>
        <v>16.841915885746211</v>
      </c>
      <c r="X82" s="619">
        <f>INDEX(CostProjections!$Z$9:$AF$91,MATCH($C82,CostProjections!$N$9:$N$91,0),MATCH(X$15,CostProjections!$Z$8:$AF$8,0))*0.001</f>
        <v>16.779245895958287</v>
      </c>
      <c r="Y82" s="619">
        <f>INDEX(CostProjections!$Z$9:$AF$91,MATCH($C82,CostProjections!$N$9:$N$91,0),MATCH(Y$15,CostProjections!$Z$8:$AF$8,0))*0.001</f>
        <v>16.716575906170366</v>
      </c>
      <c r="Z82" s="689">
        <f t="shared" si="14"/>
        <v>20</v>
      </c>
      <c r="AA82" s="689">
        <f t="shared" ref="AA82:AA107" si="17">Z82</f>
        <v>20</v>
      </c>
      <c r="AB82" s="855">
        <v>2080</v>
      </c>
      <c r="AC82" s="1">
        <f t="shared" ref="AC82:AC124" ca="1" si="18">OFFSET(AC82,-1,0)+1</f>
        <v>65</v>
      </c>
      <c r="AD82" s="1">
        <v>1</v>
      </c>
    </row>
    <row r="83" spans="1:30" x14ac:dyDescent="0.2">
      <c r="A83" s="1" t="str">
        <f t="shared" ref="A83:A122" si="19">IF(AB83=2080,"*","")</f>
        <v>*</v>
      </c>
      <c r="B83" s="190" t="str">
        <f>ITEMS_nTech!C74</f>
        <v>Transport Freight - HCV2 Gas-N</v>
      </c>
      <c r="C83" s="190" t="str">
        <f t="shared" si="13"/>
        <v>TFHCV2GAS-N</v>
      </c>
      <c r="D83" s="611" t="str">
        <f t="shared" si="16"/>
        <v>TRAGAS</v>
      </c>
      <c r="E83" s="611" t="str">
        <f>TRP!B33</f>
        <v>TFHCV2</v>
      </c>
      <c r="F83" s="692">
        <f t="array" ref="F83">IFERROR(INDEX(Analytica!$F$59:$AY$138,MATCH($C83,Analytica!$B$59:$B$168,0),MATCH(F$15&amp;F$10,Analytica!$F$58:$AY$58&amp;Analytica!$F$51:'Analytica'!$AY$51,0)),"")</f>
        <v>0.11899299459804072</v>
      </c>
      <c r="G83" s="692">
        <f t="array" ref="G83">IFERROR(INDEX(Analytica!$F$59:$AY$138,MATCH($C83,Analytica!$B$59:$B$168,0),MATCH(G$15&amp;G$10,Analytica!$F$58:$AY$58&amp;Analytica!$F$51:'Analytica'!$AY$51,0)),"")</f>
        <v>0.12574001840592877</v>
      </c>
      <c r="H83" s="692">
        <f t="array" ref="H83">IFERROR(INDEX(Analytica!$F$59:$AY$138,MATCH($C83,Analytica!$B$59:$B$168,0),MATCH(H$15&amp;H$10,Analytica!$F$58:$AY$58&amp;Analytica!$F$51:'Analytica'!$AY$51,0)),"")</f>
        <v>0.13903417801011222</v>
      </c>
      <c r="I83" s="692">
        <f t="array" ref="I83">IFERROR(INDEX(Analytica!$F$59:$AY$138,MATCH($C83,Analytica!$B$59:$B$168,0),MATCH(I$15&amp;I$10,Analytica!$F$58:$AY$58&amp;Analytica!$F$51:'Analytica'!$AY$51,0)),"")</f>
        <v>0.15373389395047296</v>
      </c>
      <c r="J83" s="1001">
        <v>1</v>
      </c>
      <c r="K83" s="1001">
        <v>1</v>
      </c>
      <c r="L83" s="1001">
        <v>1</v>
      </c>
      <c r="M83" s="1001">
        <v>1</v>
      </c>
      <c r="N83" s="1001">
        <v>1</v>
      </c>
      <c r="O83" s="692">
        <f t="array" ref="O83">IFERROR(INDEX(Analytica!$F$59:$AY$138,MATCH($C83,Analytica!$B$59:$B$168,0),MATCH(O$15&amp;O$10,Analytica!$F$58:$AY$58&amp;Analytica!$F$51:'Analytica'!$AY$51,0)),"")</f>
        <v>4.8000000000000001E-2</v>
      </c>
      <c r="P83" s="619">
        <f>INDEX(CostProjections!$Q$9:$W$91,MATCH($C83,CostProjections!$N$9:$N$91,0),MATCH(P$15,CostProjections!$Q$8:$W$8,0))*0.001</f>
        <v>626.09577316793082</v>
      </c>
      <c r="Q83" s="619">
        <f>INDEX(CostProjections!$Q$9:$W$91,MATCH($C83,CostProjections!$N$9:$N$91,0),MATCH(Q$15,CostProjections!$Q$8:$W$8,0))*0.001</f>
        <v>624.93521780148774</v>
      </c>
      <c r="R83" s="619">
        <f>INDEX(CostProjections!$Q$9:$W$91,MATCH($C83,CostProjections!$N$9:$N$91,0),MATCH(R$15,CostProjections!$Q$8:$W$8,0))*0.001</f>
        <v>623.77466243504477</v>
      </c>
      <c r="S83" s="619">
        <f>INDEX(CostProjections!$Q$9:$W$91,MATCH($C83,CostProjections!$N$9:$N$91,0),MATCH(S$15,CostProjections!$Q$8:$W$8,0))*0.001</f>
        <v>622.61410706860181</v>
      </c>
      <c r="T83" s="619">
        <f>INDEX(CostProjections!$Q$9:$W$91,MATCH($C83,CostProjections!$N$9:$N$91,0),MATCH(T$15,CostProjections!$Q$8:$W$8,0))*0.001</f>
        <v>621.45355170215873</v>
      </c>
      <c r="U83" s="619">
        <f>INDEX(CostProjections!$Q$9:$W$91,MATCH($C83,CostProjections!$N$9:$N$91,0),MATCH(U$15,CostProjections!$Q$8:$W$8,0))*0.001</f>
        <v>619.13244096927281</v>
      </c>
      <c r="V83" s="619">
        <f>INDEX(CostProjections!$Z$9:$AF$91,MATCH($C83,CostProjections!$N$9:$N$91,0),MATCH(V$15,CostProjections!$Z$8:$AF$8,0))*0.001</f>
        <v>16.904585875534131</v>
      </c>
      <c r="W83" s="619">
        <f>INDEX(CostProjections!$Z$9:$AF$91,MATCH($C83,CostProjections!$N$9:$N$91,0),MATCH(W$15,CostProjections!$Z$8:$AF$8,0))*0.001</f>
        <v>16.841915885746211</v>
      </c>
      <c r="X83" s="619">
        <f>INDEX(CostProjections!$Z$9:$AF$91,MATCH($C83,CostProjections!$N$9:$N$91,0),MATCH(X$15,CostProjections!$Z$8:$AF$8,0))*0.001</f>
        <v>16.779245895958287</v>
      </c>
      <c r="Y83" s="619">
        <f>INDEX(CostProjections!$Z$9:$AF$91,MATCH($C83,CostProjections!$N$9:$N$91,0),MATCH(Y$15,CostProjections!$Z$8:$AF$8,0))*0.001</f>
        <v>16.716575906170366</v>
      </c>
      <c r="Z83" s="689">
        <f t="shared" si="14"/>
        <v>20</v>
      </c>
      <c r="AA83" s="689">
        <f t="shared" si="17"/>
        <v>20</v>
      </c>
      <c r="AB83" s="855">
        <v>2080</v>
      </c>
      <c r="AC83" s="1">
        <f t="shared" ca="1" si="18"/>
        <v>66</v>
      </c>
      <c r="AD83" s="1">
        <v>1</v>
      </c>
    </row>
    <row r="84" spans="1:30" x14ac:dyDescent="0.2">
      <c r="A84" s="1" t="str">
        <f t="shared" si="19"/>
        <v>*</v>
      </c>
      <c r="B84" s="190" t="str">
        <f>ITEMS_nTech!C75</f>
        <v>Transport Freight - HCV3 Gas-N</v>
      </c>
      <c r="C84" s="190" t="str">
        <f t="shared" si="13"/>
        <v>TFHCV3GAS-N</v>
      </c>
      <c r="D84" s="611" t="str">
        <f t="shared" si="16"/>
        <v>TRAGAS</v>
      </c>
      <c r="E84" s="611" t="str">
        <f>TRP!B34</f>
        <v>TFHCV3</v>
      </c>
      <c r="F84" s="692">
        <f t="array" ref="F84">IFERROR(INDEX(Analytica!$F$59:$AY$138,MATCH($C84,Analytica!$B$59:$B$168,0),MATCH(F$15&amp;F$10,Analytica!$F$58:$AY$58&amp;Analytica!$F$51:'Analytica'!$AY$51,0)),"")</f>
        <v>0.10403507009351054</v>
      </c>
      <c r="G84" s="692">
        <f t="array" ref="G84">IFERROR(INDEX(Analytica!$F$59:$AY$138,MATCH($C84,Analytica!$B$59:$B$168,0),MATCH(G$15&amp;G$10,Analytica!$F$58:$AY$58&amp;Analytica!$F$51:'Analytica'!$AY$51,0)),"")</f>
        <v>0.10993396436999574</v>
      </c>
      <c r="H84" s="692">
        <f t="array" ref="H84">IFERROR(INDEX(Analytica!$F$59:$AY$138,MATCH($C84,Analytica!$B$59:$B$168,0),MATCH(H$15&amp;H$10,Analytica!$F$58:$AY$58&amp;Analytica!$F$51:'Analytica'!$AY$51,0)),"")</f>
        <v>0.12155699168288527</v>
      </c>
      <c r="I84" s="692">
        <f t="array" ref="I84">IFERROR(INDEX(Analytica!$F$59:$AY$138,MATCH($C84,Analytica!$B$59:$B$168,0),MATCH(I$15&amp;I$10,Analytica!$F$58:$AY$58&amp;Analytica!$F$51:'Analytica'!$AY$51,0)),"")</f>
        <v>0.13440889093440059</v>
      </c>
      <c r="J84" s="1001">
        <v>1</v>
      </c>
      <c r="K84" s="1001">
        <v>1</v>
      </c>
      <c r="L84" s="1001">
        <v>1</v>
      </c>
      <c r="M84" s="1001">
        <v>1</v>
      </c>
      <c r="N84" s="1001">
        <v>1</v>
      </c>
      <c r="O84" s="692">
        <f t="array" ref="O84">IFERROR(INDEX(Analytica!$F$59:$AY$138,MATCH($C84,Analytica!$B$59:$B$168,0),MATCH(O$15&amp;O$10,Analytica!$F$58:$AY$58&amp;Analytica!$F$51:'Analytica'!$AY$51,0)),"")</f>
        <v>8.4999999999999992E-2</v>
      </c>
      <c r="P84" s="619">
        <f>INDEX(CostProjections!$Q$9:$W$91,MATCH($C84,CostProjections!$N$9:$N$91,0),MATCH(P$15,CostProjections!$Q$8:$W$8,0))*0.001</f>
        <v>626.09577316793082</v>
      </c>
      <c r="Q84" s="619">
        <f>INDEX(CostProjections!$Q$9:$W$91,MATCH($C84,CostProjections!$N$9:$N$91,0),MATCH(Q$15,CostProjections!$Q$8:$W$8,0))*0.001</f>
        <v>624.93521780148774</v>
      </c>
      <c r="R84" s="619">
        <f>INDEX(CostProjections!$Q$9:$W$91,MATCH($C84,CostProjections!$N$9:$N$91,0),MATCH(R$15,CostProjections!$Q$8:$W$8,0))*0.001</f>
        <v>623.77466243504477</v>
      </c>
      <c r="S84" s="619">
        <f>INDEX(CostProjections!$Q$9:$W$91,MATCH($C84,CostProjections!$N$9:$N$91,0),MATCH(S$15,CostProjections!$Q$8:$W$8,0))*0.001</f>
        <v>622.61410706860181</v>
      </c>
      <c r="T84" s="619">
        <f>INDEX(CostProjections!$Q$9:$W$91,MATCH($C84,CostProjections!$N$9:$N$91,0),MATCH(T$15,CostProjections!$Q$8:$W$8,0))*0.001</f>
        <v>621.45355170215873</v>
      </c>
      <c r="U84" s="619">
        <f>INDEX(CostProjections!$Q$9:$W$91,MATCH($C84,CostProjections!$N$9:$N$91,0),MATCH(U$15,CostProjections!$Q$8:$W$8,0))*0.001</f>
        <v>619.13244096927281</v>
      </c>
      <c r="V84" s="619">
        <f>INDEX(CostProjections!$Z$9:$AF$91,MATCH($C84,CostProjections!$N$9:$N$91,0),MATCH(V$15,CostProjections!$Z$8:$AF$8,0))*0.001</f>
        <v>16.904585875534131</v>
      </c>
      <c r="W84" s="619">
        <f>INDEX(CostProjections!$Z$9:$AF$91,MATCH($C84,CostProjections!$N$9:$N$91,0),MATCH(W$15,CostProjections!$Z$8:$AF$8,0))*0.001</f>
        <v>16.841915885746211</v>
      </c>
      <c r="X84" s="619">
        <f>INDEX(CostProjections!$Z$9:$AF$91,MATCH($C84,CostProjections!$N$9:$N$91,0),MATCH(X$15,CostProjections!$Z$8:$AF$8,0))*0.001</f>
        <v>16.779245895958287</v>
      </c>
      <c r="Y84" s="619">
        <f>INDEX(CostProjections!$Z$9:$AF$91,MATCH($C84,CostProjections!$N$9:$N$91,0),MATCH(Y$15,CostProjections!$Z$8:$AF$8,0))*0.001</f>
        <v>16.716575906170366</v>
      </c>
      <c r="Z84" s="689">
        <f t="shared" si="14"/>
        <v>20</v>
      </c>
      <c r="AA84" s="689">
        <f t="shared" si="17"/>
        <v>20</v>
      </c>
      <c r="AB84" s="855">
        <v>2080</v>
      </c>
      <c r="AC84" s="1">
        <f t="shared" ca="1" si="18"/>
        <v>67</v>
      </c>
      <c r="AD84" s="1">
        <v>1</v>
      </c>
    </row>
    <row r="85" spans="1:30" x14ac:dyDescent="0.2">
      <c r="A85" s="1" t="str">
        <f t="shared" si="19"/>
        <v>*</v>
      </c>
      <c r="B85" s="190" t="str">
        <f>ITEMS_nTech!C76</f>
        <v>Transport Freight - HCV4 Gas-N</v>
      </c>
      <c r="C85" s="190" t="str">
        <f t="shared" si="13"/>
        <v>TFHCV4GAS-N</v>
      </c>
      <c r="D85" s="611" t="str">
        <f t="shared" si="16"/>
        <v>TRAGAS</v>
      </c>
      <c r="E85" s="611" t="str">
        <f>TRP!B35</f>
        <v>TFHCV4</v>
      </c>
      <c r="F85" s="692">
        <f t="array" ref="F85">IFERROR(INDEX(Analytica!$F$59:$AY$138,MATCH($C85,Analytica!$B$59:$B$168,0),MATCH(F$15&amp;F$10,Analytica!$F$58:$AY$58&amp;Analytica!$F$51:'Analytica'!$AY$51,0)),"")</f>
        <v>8.9408379456216935E-2</v>
      </c>
      <c r="G85" s="692">
        <f t="array" ref="G85">IFERROR(INDEX(Analytica!$F$59:$AY$138,MATCH($C85,Analytica!$B$59:$B$168,0),MATCH(G$15&amp;G$10,Analytica!$F$58:$AY$58&amp;Analytica!$F$51:'Analytica'!$AY$51,0)),"")</f>
        <v>9.4477925498431731E-2</v>
      </c>
      <c r="H85" s="692">
        <f t="array" ref="H85">IFERROR(INDEX(Analytica!$F$59:$AY$138,MATCH($C85,Analytica!$B$59:$B$168,0),MATCH(H$15&amp;H$10,Analytica!$F$58:$AY$58&amp;Analytica!$F$51:'Analytica'!$AY$51,0)),"")</f>
        <v>0.10446682669767859</v>
      </c>
      <c r="I85" s="692">
        <f t="array" ref="I85">IFERROR(INDEX(Analytica!$F$59:$AY$138,MATCH($C85,Analytica!$B$59:$B$168,0),MATCH(I$15&amp;I$10,Analytica!$F$58:$AY$58&amp;Analytica!$F$51:'Analytica'!$AY$51,0)),"")</f>
        <v>0.11551182800329342</v>
      </c>
      <c r="J85" s="1001">
        <v>1</v>
      </c>
      <c r="K85" s="1001">
        <v>1</v>
      </c>
      <c r="L85" s="1001">
        <v>1</v>
      </c>
      <c r="M85" s="1001">
        <v>1</v>
      </c>
      <c r="N85" s="1001">
        <v>1</v>
      </c>
      <c r="O85" s="692">
        <f t="array" ref="O85">IFERROR(INDEX(Analytica!$F$59:$AY$138,MATCH($C85,Analytica!$B$59:$B$168,0),MATCH(O$15&amp;O$10,Analytica!$F$58:$AY$58&amp;Analytica!$F$51:'Analytica'!$AY$51,0)),"")</f>
        <v>8.4999999999999992E-2</v>
      </c>
      <c r="P85" s="619">
        <f>INDEX(CostProjections!$Q$9:$W$91,MATCH($C85,CostProjections!$N$9:$N$91,0),MATCH(P$15,CostProjections!$Q$8:$W$8,0))*0.001</f>
        <v>822.96843895314646</v>
      </c>
      <c r="Q85" s="619">
        <f>INDEX(CostProjections!$Q$9:$W$91,MATCH($C85,CostProjections!$N$9:$N$91,0),MATCH(Q$15,CostProjections!$Q$8:$W$8,0))*0.001</f>
        <v>828.14424684914377</v>
      </c>
      <c r="R85" s="619">
        <f>INDEX(CostProjections!$Q$9:$W$91,MATCH($C85,CostProjections!$N$9:$N$91,0),MATCH(R$15,CostProjections!$Q$8:$W$8,0))*0.001</f>
        <v>816.71579676773115</v>
      </c>
      <c r="S85" s="619">
        <f>INDEX(CostProjections!$Q$9:$W$91,MATCH($C85,CostProjections!$N$9:$N$91,0),MATCH(S$15,CostProjections!$Q$8:$W$8,0))*0.001</f>
        <v>811.64448935129371</v>
      </c>
      <c r="T85" s="619">
        <f>INDEX(CostProjections!$Q$9:$W$91,MATCH($C85,CostProjections!$N$9:$N$91,0),MATCH(T$15,CostProjections!$Q$8:$W$8,0))*0.001</f>
        <v>806.86525345684186</v>
      </c>
      <c r="U85" s="619">
        <f>INDEX(CostProjections!$Q$9:$W$91,MATCH($C85,CostProjections!$N$9:$N$91,0),MATCH(U$15,CostProjections!$Q$8:$W$8,0))*0.001</f>
        <v>785.1831767619924</v>
      </c>
      <c r="V85" s="619">
        <f>INDEX(CostProjections!$Z$9:$AF$91,MATCH($C85,CostProjections!$N$9:$N$91,0),MATCH(V$15,CostProjections!$Z$8:$AF$8,0))*0.001</f>
        <v>22.220147851734954</v>
      </c>
      <c r="W85" s="619">
        <f>INDEX(CostProjections!$Z$9:$AF$91,MATCH($C85,CostProjections!$N$9:$N$91,0),MATCH(W$15,CostProjections!$Z$8:$AF$8,0))*0.001</f>
        <v>22.051326512728739</v>
      </c>
      <c r="X85" s="619">
        <f>INDEX(CostProjections!$Z$9:$AF$91,MATCH($C85,CostProjections!$N$9:$N$91,0),MATCH(X$15,CostProjections!$Z$8:$AF$8,0))*0.001</f>
        <v>21.78536184333473</v>
      </c>
      <c r="Y85" s="619">
        <f>INDEX(CostProjections!$Z$9:$AF$91,MATCH($C85,CostProjections!$N$9:$N$91,0),MATCH(Y$15,CostProjections!$Z$8:$AF$8,0))*0.001</f>
        <v>21.199945772573795</v>
      </c>
      <c r="Z85" s="689">
        <f t="shared" si="14"/>
        <v>20</v>
      </c>
      <c r="AA85" s="689">
        <f t="shared" si="17"/>
        <v>20</v>
      </c>
      <c r="AB85" s="855">
        <v>2080</v>
      </c>
      <c r="AC85" s="1">
        <f t="shared" ca="1" si="18"/>
        <v>68</v>
      </c>
      <c r="AD85" s="1">
        <v>1</v>
      </c>
    </row>
    <row r="86" spans="1:30" x14ac:dyDescent="0.2">
      <c r="A86" s="1" t="str">
        <f t="shared" si="19"/>
        <v>*</v>
      </c>
      <c r="B86" s="190" t="str">
        <f>ITEMS_nTech!C77</f>
        <v>Transport Freight - HCV5 Gas-N</v>
      </c>
      <c r="C86" s="190" t="str">
        <f t="shared" si="13"/>
        <v>TFHCV5GAS-N</v>
      </c>
      <c r="D86" s="611" t="str">
        <f t="shared" si="16"/>
        <v>TRAGAS</v>
      </c>
      <c r="E86" s="611" t="str">
        <f>TRP!B36</f>
        <v>TFHCV5</v>
      </c>
      <c r="F86" s="692">
        <f t="array" ref="F86">IFERROR(INDEX(Analytica!$F$59:$AY$138,MATCH($C86,Analytica!$B$59:$B$168,0),MATCH(F$15&amp;F$10,Analytica!$F$58:$AY$58&amp;Analytica!$F$51:'Analytica'!$AY$51,0)),"")</f>
        <v>8.2368228829309525E-2</v>
      </c>
      <c r="G86" s="692">
        <f t="array" ref="G86">IFERROR(INDEX(Analytica!$F$59:$AY$138,MATCH($C86,Analytica!$B$59:$B$168,0),MATCH(G$15&amp;G$10,Analytica!$F$58:$AY$58&amp;Analytica!$F$51:'Analytica'!$AY$51,0)),"")</f>
        <v>8.7038591171245835E-2</v>
      </c>
      <c r="H86" s="692">
        <f t="array" ref="H86">IFERROR(INDEX(Analytica!$F$59:$AY$138,MATCH($C86,Analytica!$B$59:$B$168,0),MATCH(H$15&amp;H$10,Analytica!$F$58:$AY$58&amp;Analytica!$F$51:'Analytica'!$AY$51,0)),"")</f>
        <v>9.6240951226724075E-2</v>
      </c>
      <c r="I86" s="692">
        <f t="array" ref="I86">IFERROR(INDEX(Analytica!$F$59:$AY$138,MATCH($C86,Analytica!$B$59:$B$168,0),MATCH(I$15&amp;I$10,Analytica!$F$58:$AY$58&amp;Analytica!$F$51:'Analytica'!$AY$51,0)),"")</f>
        <v>0.10641625247358774</v>
      </c>
      <c r="J86" s="1001">
        <v>1</v>
      </c>
      <c r="K86" s="1001">
        <v>1</v>
      </c>
      <c r="L86" s="1001">
        <v>1</v>
      </c>
      <c r="M86" s="1001">
        <v>1</v>
      </c>
      <c r="N86" s="1001">
        <v>1</v>
      </c>
      <c r="O86" s="692">
        <f t="array" ref="O86">IFERROR(INDEX(Analytica!$F$59:$AY$138,MATCH($C86,Analytica!$B$59:$B$168,0),MATCH(O$15&amp;O$10,Analytica!$F$58:$AY$58&amp;Analytica!$F$51:'Analytica'!$AY$51,0)),"")</f>
        <v>0.11</v>
      </c>
      <c r="P86" s="619">
        <f>INDEX(CostProjections!$Q$9:$W$91,MATCH($C86,CostProjections!$N$9:$N$91,0),MATCH(P$15,CostProjections!$Q$8:$W$8,0))*0.001</f>
        <v>1428.4187997002371</v>
      </c>
      <c r="Q86" s="619">
        <f>INDEX(CostProjections!$Q$9:$W$91,MATCH($C86,CostProjections!$N$9:$N$91,0),MATCH(Q$15,CostProjections!$Q$8:$W$8,0))*0.001</f>
        <v>1416.8666801157008</v>
      </c>
      <c r="R86" s="619">
        <f>INDEX(CostProjections!$Q$9:$W$91,MATCH($C86,CostProjections!$N$9:$N$91,0),MATCH(R$15,CostProjections!$Q$8:$W$8,0))*0.001</f>
        <v>1391.9033152903003</v>
      </c>
      <c r="S86" s="619">
        <f>INDEX(CostProjections!$Q$9:$W$91,MATCH($C86,CostProjections!$N$9:$N$91,0),MATCH(S$15,CostProjections!$Q$8:$W$8,0))*0.001</f>
        <v>1382.5195112325509</v>
      </c>
      <c r="T86" s="619">
        <f>INDEX(CostProjections!$Q$9:$W$91,MATCH($C86,CostProjections!$N$9:$N$91,0),MATCH(T$15,CostProjections!$Q$8:$W$8,0))*0.001</f>
        <v>1373.5863418311469</v>
      </c>
      <c r="U86" s="619">
        <f>INDEX(CostProjections!$Q$9:$W$91,MATCH($C86,CostProjections!$N$9:$N$91,0),MATCH(U$15,CostProjections!$Q$8:$W$8,0))*0.001</f>
        <v>1367.6765656424498</v>
      </c>
      <c r="V86" s="619">
        <f>INDEX(CostProjections!$Z$9:$AF$91,MATCH($C86,CostProjections!$N$9:$N$91,0),MATCH(V$15,CostProjections!$Z$8:$AF$8,0))*0.001</f>
        <v>38.567307591906399</v>
      </c>
      <c r="W86" s="619">
        <f>INDEX(CostProjections!$Z$9:$AF$91,MATCH($C86,CostProjections!$N$9:$N$91,0),MATCH(W$15,CostProjections!$Z$8:$AF$8,0))*0.001</f>
        <v>37.581389512838108</v>
      </c>
      <c r="X86" s="619">
        <f>INDEX(CostProjections!$Z$9:$AF$91,MATCH($C86,CostProjections!$N$9:$N$91,0),MATCH(X$15,CostProjections!$Z$8:$AF$8,0))*0.001</f>
        <v>37.086831229440968</v>
      </c>
      <c r="Y86" s="619">
        <f>INDEX(CostProjections!$Z$9:$AF$91,MATCH($C86,CostProjections!$N$9:$N$91,0),MATCH(Y$15,CostProjections!$Z$8:$AF$8,0))*0.001</f>
        <v>36.927267272346143</v>
      </c>
      <c r="Z86" s="689">
        <f t="shared" si="14"/>
        <v>20</v>
      </c>
      <c r="AA86" s="689">
        <f t="shared" si="17"/>
        <v>20</v>
      </c>
      <c r="AB86" s="855">
        <v>2080</v>
      </c>
      <c r="AC86" s="1">
        <f t="shared" ca="1" si="18"/>
        <v>69</v>
      </c>
      <c r="AD86" s="1">
        <v>1</v>
      </c>
    </row>
    <row r="87" spans="1:30" x14ac:dyDescent="0.2">
      <c r="A87" s="1" t="str">
        <f t="shared" si="19"/>
        <v>*</v>
      </c>
      <c r="B87" s="190" t="str">
        <f>ITEMS_nTech!C78</f>
        <v>Transport Freight - HCV6 Gas-N</v>
      </c>
      <c r="C87" s="190" t="str">
        <f t="shared" si="13"/>
        <v>TFHCV6GAS-N</v>
      </c>
      <c r="D87" s="611" t="str">
        <f t="shared" si="16"/>
        <v>TRAGAS</v>
      </c>
      <c r="E87" s="611" t="str">
        <f>TRP!B37</f>
        <v>TFHCV6</v>
      </c>
      <c r="F87" s="692">
        <f t="array" ref="F87">IFERROR(INDEX(Analytica!$F$59:$AY$138,MATCH($C87,Analytica!$B$59:$B$168,0),MATCH(F$15&amp;F$10,Analytica!$F$58:$AY$58&amp;Analytica!$F$51:'Analytica'!$AY$51,0)),"")</f>
        <v>5.6813813797851109E-2</v>
      </c>
      <c r="G87" s="692">
        <f t="array" ref="G87">IFERROR(INDEX(Analytica!$F$59:$AY$138,MATCH($C87,Analytica!$B$59:$B$168,0),MATCH(G$15&amp;G$10,Analytica!$F$58:$AY$58&amp;Analytica!$F$51:'Analytica'!$AY$51,0)),"")</f>
        <v>6.0035214819027953E-2</v>
      </c>
      <c r="H87" s="692">
        <f t="array" ref="H87">IFERROR(INDEX(Analytica!$F$59:$AY$138,MATCH($C87,Analytica!$B$59:$B$168,0),MATCH(H$15&amp;H$10,Analytica!$F$58:$AY$58&amp;Analytica!$F$51:'Analytica'!$AY$51,0)),"")</f>
        <v>6.6382579308024769E-2</v>
      </c>
      <c r="I87" s="692">
        <f t="array" ref="I87">IFERROR(INDEX(Analytica!$F$59:$AY$138,MATCH($C87,Analytica!$B$59:$B$168,0),MATCH(I$15&amp;I$10,Analytica!$F$58:$AY$58&amp;Analytica!$F$51:'Analytica'!$AY$51,0)),"")</f>
        <v>7.3401033857707229E-2</v>
      </c>
      <c r="J87" s="1001">
        <v>1</v>
      </c>
      <c r="K87" s="1001">
        <v>1</v>
      </c>
      <c r="L87" s="1001">
        <v>1</v>
      </c>
      <c r="M87" s="1001">
        <v>1</v>
      </c>
      <c r="N87" s="1001">
        <v>1</v>
      </c>
      <c r="O87" s="692">
        <f t="array" ref="O87">IFERROR(INDEX(Analytica!$F$59:$AY$138,MATCH($C87,Analytica!$B$59:$B$168,0),MATCH(O$15&amp;O$10,Analytica!$F$58:$AY$58&amp;Analytica!$F$51:'Analytica'!$AY$51,0)),"")</f>
        <v>0.11</v>
      </c>
      <c r="P87" s="619">
        <f>INDEX(CostProjections!$Q$9:$W$91,MATCH($C87,CostProjections!$N$9:$N$91,0),MATCH(P$15,CostProjections!$Q$8:$W$8,0))*0.001</f>
        <v>1356.2100205732422</v>
      </c>
      <c r="Q87" s="619">
        <f>INDEX(CostProjections!$Q$9:$W$91,MATCH($C87,CostProjections!$N$9:$N$91,0),MATCH(Q$15,CostProjections!$Q$8:$W$8,0))*0.001</f>
        <v>1350.2255130966216</v>
      </c>
      <c r="R87" s="619">
        <f>INDEX(CostProjections!$Q$9:$W$91,MATCH($C87,CostProjections!$N$9:$N$91,0),MATCH(R$15,CostProjections!$Q$8:$W$8,0))*0.001</f>
        <v>1330.9191635879463</v>
      </c>
      <c r="S87" s="619">
        <f>INDEX(CostProjections!$Q$9:$W$91,MATCH($C87,CostProjections!$N$9:$N$91,0),MATCH(S$15,CostProjections!$Q$8:$W$8,0))*0.001</f>
        <v>1321.4157483544093</v>
      </c>
      <c r="T87" s="619">
        <f>INDEX(CostProjections!$Q$9:$W$91,MATCH($C87,CostProjections!$N$9:$N$91,0),MATCH(T$15,CostProjections!$Q$8:$W$8,0))*0.001</f>
        <v>1312.3492139531782</v>
      </c>
      <c r="U87" s="619">
        <f>INDEX(CostProjections!$Q$9:$W$91,MATCH($C87,CostProjections!$N$9:$N$91,0),MATCH(U$15,CostProjections!$Q$8:$W$8,0))*0.001</f>
        <v>1310.9362527254561</v>
      </c>
      <c r="V87" s="619">
        <f>INDEX(CostProjections!$Z$9:$AF$91,MATCH($C87,CostProjections!$N$9:$N$91,0),MATCH(V$15,CostProjections!$Z$8:$AF$8,0))*0.001</f>
        <v>36.617670555477538</v>
      </c>
      <c r="W87" s="619">
        <f>INDEX(CostProjections!$Z$9:$AF$91,MATCH($C87,CostProjections!$N$9:$N$91,0),MATCH(W$15,CostProjections!$Z$8:$AF$8,0))*0.001</f>
        <v>35.934817416874544</v>
      </c>
      <c r="X87" s="619">
        <f>INDEX(CostProjections!$Z$9:$AF$91,MATCH($C87,CostProjections!$N$9:$N$91,0),MATCH(X$15,CostProjections!$Z$8:$AF$8,0))*0.001</f>
        <v>35.433428776735809</v>
      </c>
      <c r="Y87" s="619">
        <f>INDEX(CostProjections!$Z$9:$AF$91,MATCH($C87,CostProjections!$N$9:$N$91,0),MATCH(Y$15,CostProjections!$Z$8:$AF$8,0))*0.001</f>
        <v>35.395278823587319</v>
      </c>
      <c r="Z87" s="689">
        <f t="shared" si="14"/>
        <v>20</v>
      </c>
      <c r="AA87" s="689">
        <f t="shared" si="17"/>
        <v>20</v>
      </c>
      <c r="AB87" s="855">
        <v>2080</v>
      </c>
      <c r="AC87" s="1">
        <f t="shared" ca="1" si="18"/>
        <v>70</v>
      </c>
      <c r="AD87" s="1">
        <v>1</v>
      </c>
    </row>
    <row r="88" spans="1:30" x14ac:dyDescent="0.2">
      <c r="A88" s="1" t="str">
        <f t="shared" si="19"/>
        <v>*</v>
      </c>
      <c r="B88" s="190" t="str">
        <f>ITEMS_nTech!C79</f>
        <v>Transport Freight - HCV7 Gas-N</v>
      </c>
      <c r="C88" s="190" t="str">
        <f t="shared" si="13"/>
        <v>TFHCV7GAS-N</v>
      </c>
      <c r="D88" s="611" t="str">
        <f t="shared" si="16"/>
        <v>TRAGAS</v>
      </c>
      <c r="E88" s="611" t="str">
        <f>TRP!B38</f>
        <v>TFHCV7</v>
      </c>
      <c r="F88" s="692">
        <f t="array" ref="F88">IFERROR(INDEX(Analytica!$F$59:$AY$138,MATCH($C88,Analytica!$B$59:$B$168,0),MATCH(F$15&amp;F$10,Analytica!$F$58:$AY$58&amp;Analytica!$F$51:'Analytica'!$AY$51,0)),"")</f>
        <v>6.1329754491183934E-2</v>
      </c>
      <c r="G88" s="692">
        <f t="array" ref="G88">IFERROR(INDEX(Analytica!$F$59:$AY$138,MATCH($C88,Analytica!$B$59:$B$168,0),MATCH(G$15&amp;G$10,Analytica!$F$58:$AY$58&amp;Analytica!$F$51:'Analytica'!$AY$51,0)),"")</f>
        <v>6.4807213942320058E-2</v>
      </c>
      <c r="H88" s="692">
        <f t="array" ref="H88">IFERROR(INDEX(Analytica!$F$59:$AY$138,MATCH($C88,Analytica!$B$59:$B$168,0),MATCH(H$15&amp;H$10,Analytica!$F$58:$AY$58&amp;Analytica!$F$51:'Analytica'!$AY$51,0)),"")</f>
        <v>7.1659109278220876E-2</v>
      </c>
      <c r="I88" s="692">
        <f t="array" ref="I88">IFERROR(INDEX(Analytica!$F$59:$AY$138,MATCH($C88,Analytica!$B$59:$B$168,0),MATCH(I$15&amp;I$10,Analytica!$F$58:$AY$58&amp;Analytica!$F$51:'Analytica'!$AY$51,0)),"")</f>
        <v>7.9235437386928814E-2</v>
      </c>
      <c r="J88" s="1001">
        <v>1</v>
      </c>
      <c r="K88" s="1001">
        <v>1</v>
      </c>
      <c r="L88" s="1001">
        <v>1</v>
      </c>
      <c r="M88" s="1001">
        <v>1</v>
      </c>
      <c r="N88" s="1001">
        <v>1</v>
      </c>
      <c r="O88" s="692">
        <f t="array" ref="O88">IFERROR(INDEX(Analytica!$F$59:$AY$138,MATCH($C88,Analytica!$B$59:$B$168,0),MATCH(O$15&amp;O$10,Analytica!$F$58:$AY$58&amp;Analytica!$F$51:'Analytica'!$AY$51,0)),"")</f>
        <v>0.16</v>
      </c>
      <c r="P88" s="619">
        <f>INDEX(CostProjections!$Q$9:$W$91,MATCH($C88,CostProjections!$N$9:$N$91,0),MATCH(P$15,CostProjections!$Q$8:$W$8,0))*0.001</f>
        <v>2261.0260678429513</v>
      </c>
      <c r="Q88" s="619">
        <f>INDEX(CostProjections!$Q$9:$W$91,MATCH($C88,CostProjections!$N$9:$N$91,0),MATCH(Q$15,CostProjections!$Q$8:$W$8,0))*0.001</f>
        <v>2235.789511402786</v>
      </c>
      <c r="R88" s="619">
        <f>INDEX(CostProjections!$Q$9:$W$91,MATCH($C88,CostProjections!$N$9:$N$91,0),MATCH(R$15,CostProjections!$Q$8:$W$8,0))*0.001</f>
        <v>2181.9031091055458</v>
      </c>
      <c r="S88" s="619">
        <f>INDEX(CostProjections!$Q$9:$W$91,MATCH($C88,CostProjections!$N$9:$N$91,0),MATCH(S$15,CostProjections!$Q$8:$W$8,0))*0.001</f>
        <v>2167.4925676747189</v>
      </c>
      <c r="T88" s="619">
        <f>INDEX(CostProjections!$Q$9:$W$91,MATCH($C88,CostProjections!$N$9:$N$91,0),MATCH(T$15,CostProjections!$Q$8:$W$8,0))*0.001</f>
        <v>2153.7691968837516</v>
      </c>
      <c r="U88" s="619">
        <f>INDEX(CostProjections!$Q$9:$W$91,MATCH($C88,CostProjections!$N$9:$N$91,0),MATCH(U$15,CostProjections!$Q$8:$W$8,0))*0.001</f>
        <v>2152.1528398992391</v>
      </c>
      <c r="V88" s="619">
        <f>INDEX(CostProjections!$Z$9:$AF$91,MATCH($C88,CostProjections!$N$9:$N$91,0),MATCH(V$15,CostProjections!$Z$8:$AF$8,0))*0.001</f>
        <v>61.047703831759677</v>
      </c>
      <c r="W88" s="619">
        <f>INDEX(CostProjections!$Z$9:$AF$91,MATCH($C88,CostProjections!$N$9:$N$91,0),MATCH(W$15,CostProjections!$Z$8:$AF$8,0))*0.001</f>
        <v>58.911383945849735</v>
      </c>
      <c r="X88" s="619">
        <f>INDEX(CostProjections!$Z$9:$AF$91,MATCH($C88,CostProjections!$N$9:$N$91,0),MATCH(X$15,CostProjections!$Z$8:$AF$8,0))*0.001</f>
        <v>58.151768315861297</v>
      </c>
      <c r="Y88" s="619">
        <f>INDEX(CostProjections!$Z$9:$AF$91,MATCH($C88,CostProjections!$N$9:$N$91,0),MATCH(Y$15,CostProjections!$Z$8:$AF$8,0))*0.001</f>
        <v>58.108126677279458</v>
      </c>
      <c r="Z88" s="689">
        <f t="shared" si="14"/>
        <v>20</v>
      </c>
      <c r="AA88" s="689">
        <f t="shared" si="17"/>
        <v>20</v>
      </c>
      <c r="AB88" s="855">
        <v>2080</v>
      </c>
      <c r="AC88" s="1">
        <f t="shared" ca="1" si="18"/>
        <v>71</v>
      </c>
      <c r="AD88" s="1">
        <v>1</v>
      </c>
    </row>
    <row r="89" spans="1:30" x14ac:dyDescent="0.2">
      <c r="A89" s="1" t="str">
        <f t="shared" si="19"/>
        <v>*</v>
      </c>
      <c r="B89" s="190" t="str">
        <f>ITEMS_nTech!C80</f>
        <v>Transport Freight - HCV8 Gas-N</v>
      </c>
      <c r="C89" s="190" t="str">
        <f t="shared" si="13"/>
        <v>TFHCV8GAS-N</v>
      </c>
      <c r="D89" s="611" t="str">
        <f t="shared" si="16"/>
        <v>TRAGAS</v>
      </c>
      <c r="E89" s="611" t="str">
        <f>TRP!B39</f>
        <v>TFHCV8</v>
      </c>
      <c r="F89" s="692">
        <f t="array" ref="F89">IFERROR(INDEX(Analytica!$F$59:$AY$138,MATCH($C89,Analytica!$B$59:$B$168,0),MATCH(F$15&amp;F$10,Analytica!$F$58:$AY$58&amp;Analytica!$F$51:'Analytica'!$AY$51,0)),"")</f>
        <v>6.0349221408511837E-2</v>
      </c>
      <c r="G89" s="692">
        <f t="array" ref="G89">IFERROR(INDEX(Analytica!$F$59:$AY$138,MATCH($C89,Analytica!$B$59:$B$168,0),MATCH(G$15&amp;G$10,Analytica!$F$58:$AY$58&amp;Analytica!$F$51:'Analytica'!$AY$51,0)),"")</f>
        <v>6.3771083636672277E-2</v>
      </c>
      <c r="H89" s="692">
        <f t="array" ref="H89">IFERROR(INDEX(Analytica!$F$59:$AY$138,MATCH($C89,Analytica!$B$59:$B$168,0),MATCH(H$15&amp;H$10,Analytica!$F$58:$AY$58&amp;Analytica!$F$51:'Analytica'!$AY$51,0)),"")</f>
        <v>7.0513431655588113E-2</v>
      </c>
      <c r="I89" s="692">
        <f t="array" ref="I89">IFERROR(INDEX(Analytica!$F$59:$AY$138,MATCH($C89,Analytica!$B$59:$B$168,0),MATCH(I$15&amp;I$10,Analytica!$F$58:$AY$58&amp;Analytica!$F$51:'Analytica'!$AY$51,0)),"")</f>
        <v>7.7968630299203631E-2</v>
      </c>
      <c r="J89" s="1001">
        <v>1</v>
      </c>
      <c r="K89" s="1001">
        <v>1</v>
      </c>
      <c r="L89" s="1001">
        <v>1</v>
      </c>
      <c r="M89" s="1001">
        <v>1</v>
      </c>
      <c r="N89" s="1001">
        <v>1</v>
      </c>
      <c r="O89" s="692">
        <f t="array" ref="O89">IFERROR(INDEX(Analytica!$F$59:$AY$138,MATCH($C89,Analytica!$B$59:$B$168,0),MATCH(O$15&amp;O$10,Analytica!$F$58:$AY$58&amp;Analytica!$F$51:'Analytica'!$AY$51,0)),"")</f>
        <v>0.16</v>
      </c>
      <c r="P89" s="619">
        <f>INDEX(CostProjections!$Q$9:$W$91,MATCH($C89,CostProjections!$N$9:$N$91,0),MATCH(P$15,CostProjections!$Q$8:$W$8,0))*0.001</f>
        <v>2261.0260678429513</v>
      </c>
      <c r="Q89" s="619">
        <f>INDEX(CostProjections!$Q$9:$W$91,MATCH($C89,CostProjections!$N$9:$N$91,0),MATCH(Q$15,CostProjections!$Q$8:$W$8,0))*0.001</f>
        <v>2235.789511402786</v>
      </c>
      <c r="R89" s="619">
        <f>INDEX(CostProjections!$Q$9:$W$91,MATCH($C89,CostProjections!$N$9:$N$91,0),MATCH(R$15,CostProjections!$Q$8:$W$8,0))*0.001</f>
        <v>2181.9031091055458</v>
      </c>
      <c r="S89" s="619">
        <f>INDEX(CostProjections!$Q$9:$W$91,MATCH($C89,CostProjections!$N$9:$N$91,0),MATCH(S$15,CostProjections!$Q$8:$W$8,0))*0.001</f>
        <v>2167.4925676747189</v>
      </c>
      <c r="T89" s="619">
        <f>INDEX(CostProjections!$Q$9:$W$91,MATCH($C89,CostProjections!$N$9:$N$91,0),MATCH(T$15,CostProjections!$Q$8:$W$8,0))*0.001</f>
        <v>2153.7691968837516</v>
      </c>
      <c r="U89" s="619">
        <f>INDEX(CostProjections!$Q$9:$W$91,MATCH($C89,CostProjections!$N$9:$N$91,0),MATCH(U$15,CostProjections!$Q$8:$W$8,0))*0.001</f>
        <v>2152.1528398992391</v>
      </c>
      <c r="V89" s="619">
        <f>INDEX(CostProjections!$Z$9:$AF$91,MATCH($C89,CostProjections!$N$9:$N$91,0),MATCH(V$15,CostProjections!$Z$8:$AF$8,0))*0.001</f>
        <v>61.047703831759677</v>
      </c>
      <c r="W89" s="619">
        <f>INDEX(CostProjections!$Z$9:$AF$91,MATCH($C89,CostProjections!$N$9:$N$91,0),MATCH(W$15,CostProjections!$Z$8:$AF$8,0))*0.001</f>
        <v>58.911383945849735</v>
      </c>
      <c r="X89" s="619">
        <f>INDEX(CostProjections!$Z$9:$AF$91,MATCH($C89,CostProjections!$N$9:$N$91,0),MATCH(X$15,CostProjections!$Z$8:$AF$8,0))*0.001</f>
        <v>58.151768315861297</v>
      </c>
      <c r="Y89" s="619">
        <f>INDEX(CostProjections!$Z$9:$AF$91,MATCH($C89,CostProjections!$N$9:$N$91,0),MATCH(Y$15,CostProjections!$Z$8:$AF$8,0))*0.001</f>
        <v>58.108126677279458</v>
      </c>
      <c r="Z89" s="689">
        <f t="shared" si="14"/>
        <v>20</v>
      </c>
      <c r="AA89" s="689">
        <f t="shared" si="17"/>
        <v>20</v>
      </c>
      <c r="AB89" s="855">
        <v>2080</v>
      </c>
      <c r="AC89" s="1">
        <f t="shared" ca="1" si="18"/>
        <v>72</v>
      </c>
      <c r="AD89" s="1">
        <v>1</v>
      </c>
    </row>
    <row r="90" spans="1:30" x14ac:dyDescent="0.2">
      <c r="A90" s="1" t="str">
        <f t="shared" si="19"/>
        <v>*</v>
      </c>
      <c r="B90" s="190" t="str">
        <f>ITEMS_nTech!C81</f>
        <v>Transport Freight - HCV9 Gas-N</v>
      </c>
      <c r="C90" s="190" t="str">
        <f t="shared" si="13"/>
        <v>TFHCV9GAS-N</v>
      </c>
      <c r="D90" s="611" t="str">
        <f t="shared" si="16"/>
        <v>TRAGAS</v>
      </c>
      <c r="E90" s="611" t="str">
        <f>TRP!B40</f>
        <v>TFHCV9</v>
      </c>
      <c r="F90" s="692">
        <f t="array" ref="F90">IFERROR(INDEX(Analytica!$F$59:$AY$138,MATCH($C90,Analytica!$B$59:$B$168,0),MATCH(F$15&amp;F$10,Analytica!$F$58:$AY$58&amp;Analytica!$F$51:'Analytica'!$AY$51,0)),"")</f>
        <v>4.7421569536459478E-2</v>
      </c>
      <c r="G90" s="692">
        <f t="array" ref="G90">IFERROR(INDEX(Analytica!$F$59:$AY$138,MATCH($C90,Analytica!$B$59:$B$168,0),MATCH(G$15&amp;G$10,Analytica!$F$58:$AY$58&amp;Analytica!$F$51:'Analytica'!$AY$51,0)),"")</f>
        <v>5.0110420756236902E-2</v>
      </c>
      <c r="H90" s="692">
        <f t="array" ref="H90">IFERROR(INDEX(Analytica!$F$59:$AY$138,MATCH($C90,Analytica!$B$59:$B$168,0),MATCH(H$15&amp;H$10,Analytica!$F$58:$AY$58&amp;Analytica!$F$51:'Analytica'!$AY$51,0)),"")</f>
        <v>5.5408463016860511E-2</v>
      </c>
      <c r="I90" s="692">
        <f t="array" ref="I90">IFERROR(INDEX(Analytica!$F$59:$AY$138,MATCH($C90,Analytica!$B$59:$B$168,0),MATCH(I$15&amp;I$10,Analytica!$F$58:$AY$58&amp;Analytica!$F$51:'Analytica'!$AY$51,0)),"")</f>
        <v>6.1266653274083406E-2</v>
      </c>
      <c r="J90" s="1001">
        <v>1</v>
      </c>
      <c r="K90" s="1001">
        <v>1</v>
      </c>
      <c r="L90" s="1001">
        <v>1</v>
      </c>
      <c r="M90" s="1001">
        <v>1</v>
      </c>
      <c r="N90" s="1001">
        <v>1</v>
      </c>
      <c r="O90" s="692">
        <f t="array" ref="O90">IFERROR(INDEX(Analytica!$F$59:$AY$138,MATCH($C90,Analytica!$B$59:$B$168,0),MATCH(O$15&amp;O$10,Analytica!$F$58:$AY$58&amp;Analytica!$F$51:'Analytica'!$AY$51,0)),"")</f>
        <v>0.18</v>
      </c>
      <c r="P90" s="619">
        <f>INDEX(CostProjections!$Q$9:$W$91,MATCH($C90,CostProjections!$N$9:$N$91,0),MATCH(P$15,CostProjections!$Q$8:$W$8,0))*0.001</f>
        <v>2261.0260678429513</v>
      </c>
      <c r="Q90" s="619">
        <f>INDEX(CostProjections!$Q$9:$W$91,MATCH($C90,CostProjections!$N$9:$N$91,0),MATCH(Q$15,CostProjections!$Q$8:$W$8,0))*0.001</f>
        <v>2235.789511402786</v>
      </c>
      <c r="R90" s="619">
        <f>INDEX(CostProjections!$Q$9:$W$91,MATCH($C90,CostProjections!$N$9:$N$91,0),MATCH(R$15,CostProjections!$Q$8:$W$8,0))*0.001</f>
        <v>2181.9031091055458</v>
      </c>
      <c r="S90" s="619">
        <f>INDEX(CostProjections!$Q$9:$W$91,MATCH($C90,CostProjections!$N$9:$N$91,0),MATCH(S$15,CostProjections!$Q$8:$W$8,0))*0.001</f>
        <v>2167.4925676747189</v>
      </c>
      <c r="T90" s="619">
        <f>INDEX(CostProjections!$Q$9:$W$91,MATCH($C90,CostProjections!$N$9:$N$91,0),MATCH(T$15,CostProjections!$Q$8:$W$8,0))*0.001</f>
        <v>2153.7691968837516</v>
      </c>
      <c r="U90" s="619">
        <f>INDEX(CostProjections!$Q$9:$W$91,MATCH($C90,CostProjections!$N$9:$N$91,0),MATCH(U$15,CostProjections!$Q$8:$W$8,0))*0.001</f>
        <v>2152.1528398992391</v>
      </c>
      <c r="V90" s="619">
        <f>INDEX(CostProjections!$Z$9:$AF$91,MATCH($C90,CostProjections!$N$9:$N$91,0),MATCH(V$15,CostProjections!$Z$8:$AF$8,0))*0.001</f>
        <v>61.047703831759677</v>
      </c>
      <c r="W90" s="619">
        <f>INDEX(CostProjections!$Z$9:$AF$91,MATCH($C90,CostProjections!$N$9:$N$91,0),MATCH(W$15,CostProjections!$Z$8:$AF$8,0))*0.001</f>
        <v>58.911383945849735</v>
      </c>
      <c r="X90" s="619">
        <f>INDEX(CostProjections!$Z$9:$AF$91,MATCH($C90,CostProjections!$N$9:$N$91,0),MATCH(X$15,CostProjections!$Z$8:$AF$8,0))*0.001</f>
        <v>58.151768315861297</v>
      </c>
      <c r="Y90" s="619">
        <f>INDEX(CostProjections!$Z$9:$AF$91,MATCH($C90,CostProjections!$N$9:$N$91,0),MATCH(Y$15,CostProjections!$Z$8:$AF$8,0))*0.001</f>
        <v>58.108126677279458</v>
      </c>
      <c r="Z90" s="689">
        <f t="shared" si="14"/>
        <v>20</v>
      </c>
      <c r="AA90" s="689">
        <f t="shared" si="17"/>
        <v>20</v>
      </c>
      <c r="AB90" s="855">
        <v>2080</v>
      </c>
      <c r="AC90" s="1">
        <f t="shared" ca="1" si="18"/>
        <v>73</v>
      </c>
      <c r="AD90" s="1">
        <v>1</v>
      </c>
    </row>
    <row r="91" spans="1:30" x14ac:dyDescent="0.2">
      <c r="A91" s="1" t="str">
        <f t="shared" si="19"/>
        <v/>
      </c>
      <c r="B91" s="190" t="str">
        <f>ITEMS_nTech!C82</f>
        <v>Transport Freight - HCV1 Electricity-N</v>
      </c>
      <c r="C91" s="190" t="str">
        <f t="shared" si="13"/>
        <v>TFHCV1ELC-N</v>
      </c>
      <c r="D91" s="611" t="str">
        <f>D70</f>
        <v>TRAELC</v>
      </c>
      <c r="E91" s="611" t="str">
        <f>TRP!B32</f>
        <v>TFHCV1</v>
      </c>
      <c r="F91" s="692">
        <f t="array" ref="F91">IFERROR(INDEX(Analytica!$F$59:$AY$138,MATCH($C91,Analytica!$B$59:$B$168,0),MATCH(F$15&amp;F$10,Analytica!$F$58:$AY$58&amp;Analytica!$F$51:'Analytica'!$AY$51,0)),"")</f>
        <v>0.55936204398784217</v>
      </c>
      <c r="G91" s="692">
        <f t="array" ref="G91">IFERROR(INDEX(Analytica!$F$59:$AY$138,MATCH($C91,Analytica!$B$59:$B$168,0),MATCH(G$15&amp;G$10,Analytica!$F$58:$AY$58&amp;Analytica!$F$51:'Analytica'!$AY$51,0)),"")</f>
        <v>0.59107844074517712</v>
      </c>
      <c r="H91" s="692">
        <f t="array" ref="H91">IFERROR(INDEX(Analytica!$F$59:$AY$138,MATCH($C91,Analytica!$B$59:$B$168,0),MATCH(H$15&amp;H$10,Analytica!$F$58:$AY$58&amp;Analytica!$F$51:'Analytica'!$AY$51,0)),"")</f>
        <v>0.65357160107294576</v>
      </c>
      <c r="I91" s="692">
        <f t="array" ref="I91">IFERROR(INDEX(Analytica!$F$59:$AY$138,MATCH($C91,Analytica!$B$59:$B$168,0),MATCH(I$15&amp;I$10,Analytica!$F$58:$AY$58&amp;Analytica!$F$51:'Analytica'!$AY$51,0)),"")</f>
        <v>0.72267199796787562</v>
      </c>
      <c r="J91" s="1001">
        <v>1</v>
      </c>
      <c r="K91" s="1001">
        <v>1</v>
      </c>
      <c r="L91" s="1001">
        <v>1</v>
      </c>
      <c r="M91" s="1001">
        <v>1</v>
      </c>
      <c r="N91" s="1001">
        <v>1</v>
      </c>
      <c r="O91" s="692">
        <f t="array" ref="O91">IFERROR(INDEX(Analytica!$F$59:$AY$138,MATCH($C91,Analytica!$B$59:$B$168,0),MATCH(O$15&amp;O$10,Analytica!$F$58:$AY$58&amp;Analytica!$F$51:'Analytica'!$AY$51,0)),"")</f>
        <v>4.8000000000000001E-2</v>
      </c>
      <c r="P91" s="619">
        <f>INDEX(CostProjections!$Q$9:$W$91,MATCH($C91,CostProjections!$N$9:$N$91,0),MATCH(P$15,CostProjections!$Q$8:$W$8,0))*0.001</f>
        <v>1387.5687699972127</v>
      </c>
      <c r="Q91" s="619">
        <f>INDEX(CostProjections!$Q$9:$W$91,MATCH($C91,CostProjections!$N$9:$N$91,0),MATCH(Q$15,CostProjections!$Q$8:$W$8,0))*0.001</f>
        <v>980.50552198871776</v>
      </c>
      <c r="R91" s="619">
        <f>INDEX(CostProjections!$Q$9:$W$91,MATCH($C91,CostProjections!$N$9:$N$91,0),MATCH(R$15,CostProjections!$Q$8:$W$8,0))*0.001</f>
        <v>781.57170301661336</v>
      </c>
      <c r="S91" s="619">
        <f>INDEX(CostProjections!$Q$9:$W$91,MATCH($C91,CostProjections!$N$9:$N$91,0),MATCH(S$15,CostProjections!$Q$8:$W$8,0))*0.001</f>
        <v>714.47895140223318</v>
      </c>
      <c r="T91" s="619">
        <f>INDEX(CostProjections!$Q$9:$W$91,MATCH($C91,CostProjections!$N$9:$N$91,0),MATCH(T$15,CostProjections!$Q$8:$W$8,0))*0.001</f>
        <v>672.38561783124862</v>
      </c>
      <c r="U91" s="619">
        <f>INDEX(CostProjections!$Q$9:$W$91,MATCH($C91,CostProjections!$N$9:$N$91,0),MATCH(U$15,CostProjections!$Q$8:$W$8,0))*0.001</f>
        <v>648.9571240849865</v>
      </c>
      <c r="V91" s="619">
        <f>INDEX(CostProjections!$Z$9:$AF$91,MATCH($C91,CostProjections!$N$9:$N$91,0),MATCH(V$15,CostProjections!$Z$8:$AF$8,0))*0.001</f>
        <v>28.098267592443559</v>
      </c>
      <c r="W91" s="619">
        <f>INDEX(CostProjections!$Z$9:$AF$91,MATCH($C91,CostProjections!$N$9:$N$91,0),MATCH(W$15,CostProjections!$Z$8:$AF$8,0))*0.001</f>
        <v>15.826826986086422</v>
      </c>
      <c r="X91" s="619">
        <f>INDEX(CostProjections!$Z$9:$AF$91,MATCH($C91,CostProjections!$N$9:$N$91,0),MATCH(X$15,CostProjections!$Z$8:$AF$8,0))*0.001</f>
        <v>13.615808761082784</v>
      </c>
      <c r="Y91" s="619">
        <f>INDEX(CostProjections!$Z$9:$AF$91,MATCH($C91,CostProjections!$N$9:$N$91,0),MATCH(Y$15,CostProjections!$Z$8:$AF$8,0))*0.001</f>
        <v>13.141381762720977</v>
      </c>
      <c r="Z91" s="689">
        <f t="shared" si="14"/>
        <v>20</v>
      </c>
      <c r="AA91" s="689">
        <f t="shared" si="17"/>
        <v>20</v>
      </c>
      <c r="AB91" s="689">
        <f t="shared" ref="AB91:AB107" si="20">IF(AD91,base.year+$AB$12,base.year+$AB$10)</f>
        <v>2025</v>
      </c>
      <c r="AC91" s="1">
        <f t="shared" ca="1" si="18"/>
        <v>74</v>
      </c>
      <c r="AD91" s="1">
        <v>1</v>
      </c>
    </row>
    <row r="92" spans="1:30" x14ac:dyDescent="0.2">
      <c r="A92" s="1" t="str">
        <f t="shared" si="19"/>
        <v/>
      </c>
      <c r="B92" s="190" t="str">
        <f>ITEMS_nTech!C83</f>
        <v>Transport Freight - HCV2 Electricity-N</v>
      </c>
      <c r="C92" s="190" t="str">
        <f t="shared" si="13"/>
        <v>TFHCV2ELC-N</v>
      </c>
      <c r="D92" s="611" t="str">
        <f>D91</f>
        <v>TRAELC</v>
      </c>
      <c r="E92" s="611" t="str">
        <f>E83</f>
        <v>TFHCV2</v>
      </c>
      <c r="F92" s="692">
        <f t="array" ref="F92">IFERROR(INDEX(Analytica!$F$59:$AY$138,MATCH($C92,Analytica!$B$59:$B$168,0),MATCH(F$15&amp;F$10,Analytica!$F$58:$AY$58&amp;Analytica!$F$51:'Analytica'!$AY$51,0)),"")</f>
        <v>0.44805610178719285</v>
      </c>
      <c r="G92" s="692">
        <f t="array" ref="G92">IFERROR(INDEX(Analytica!$F$59:$AY$138,MATCH($C92,Analytica!$B$59:$B$168,0),MATCH(G$15&amp;G$10,Analytica!$F$58:$AY$58&amp;Analytica!$F$51:'Analytica'!$AY$51,0)),"")</f>
        <v>0.47346133842519467</v>
      </c>
      <c r="H92" s="692">
        <f t="array" ref="H92">IFERROR(INDEX(Analytica!$F$59:$AY$138,MATCH($C92,Analytica!$B$59:$B$168,0),MATCH(H$15&amp;H$10,Analytica!$F$58:$AY$58&amp;Analytica!$F$51:'Analytica'!$AY$51,0)),"")</f>
        <v>0.52351915358404844</v>
      </c>
      <c r="I92" s="692">
        <f t="array" ref="I92">IFERROR(INDEX(Analytica!$F$59:$AY$138,MATCH($C92,Analytica!$B$59:$B$168,0),MATCH(I$15&amp;I$10,Analytica!$F$58:$AY$58&amp;Analytica!$F$51:'Analytica'!$AY$51,0)),"")</f>
        <v>0.57886944915283944</v>
      </c>
      <c r="J92" s="1001">
        <v>1</v>
      </c>
      <c r="K92" s="1001">
        <v>1</v>
      </c>
      <c r="L92" s="1001">
        <v>1</v>
      </c>
      <c r="M92" s="1001">
        <v>1</v>
      </c>
      <c r="N92" s="1001">
        <v>1</v>
      </c>
      <c r="O92" s="692">
        <f t="array" ref="O92">IFERROR(INDEX(Analytica!$F$59:$AY$138,MATCH($C92,Analytica!$B$59:$B$168,0),MATCH(O$15&amp;O$10,Analytica!$F$58:$AY$58&amp;Analytica!$F$51:'Analytica'!$AY$51,0)),"")</f>
        <v>4.8000000000000001E-2</v>
      </c>
      <c r="P92" s="619">
        <f>INDEX(CostProjections!$Q$9:$W$91,MATCH($C92,CostProjections!$N$9:$N$91,0),MATCH(P$15,CostProjections!$Q$8:$W$8,0))*0.001</f>
        <v>1387.5687699972127</v>
      </c>
      <c r="Q92" s="619">
        <f>INDEX(CostProjections!$Q$9:$W$91,MATCH($C92,CostProjections!$N$9:$N$91,0),MATCH(Q$15,CostProjections!$Q$8:$W$8,0))*0.001</f>
        <v>980.50552198871776</v>
      </c>
      <c r="R92" s="619">
        <f>INDEX(CostProjections!$Q$9:$W$91,MATCH($C92,CostProjections!$N$9:$N$91,0),MATCH(R$15,CostProjections!$Q$8:$W$8,0))*0.001</f>
        <v>781.57170301661336</v>
      </c>
      <c r="S92" s="619">
        <f>INDEX(CostProjections!$Q$9:$W$91,MATCH($C92,CostProjections!$N$9:$N$91,0),MATCH(S$15,CostProjections!$Q$8:$W$8,0))*0.001</f>
        <v>714.47895140223318</v>
      </c>
      <c r="T92" s="619">
        <f>INDEX(CostProjections!$Q$9:$W$91,MATCH($C92,CostProjections!$N$9:$N$91,0),MATCH(T$15,CostProjections!$Q$8:$W$8,0))*0.001</f>
        <v>672.38561783124862</v>
      </c>
      <c r="U92" s="619">
        <f>INDEX(CostProjections!$Q$9:$W$91,MATCH($C92,CostProjections!$N$9:$N$91,0),MATCH(U$15,CostProjections!$Q$8:$W$8,0))*0.001</f>
        <v>648.9571240849865</v>
      </c>
      <c r="V92" s="619">
        <f>INDEX(CostProjections!$Z$9:$AF$91,MATCH($C92,CostProjections!$N$9:$N$91,0),MATCH(V$15,CostProjections!$Z$8:$AF$8,0))*0.001</f>
        <v>28.098267592443559</v>
      </c>
      <c r="W92" s="619">
        <f>INDEX(CostProjections!$Z$9:$AF$91,MATCH($C92,CostProjections!$N$9:$N$91,0),MATCH(W$15,CostProjections!$Z$8:$AF$8,0))*0.001</f>
        <v>15.826826986086422</v>
      </c>
      <c r="X92" s="619">
        <f>INDEX(CostProjections!$Z$9:$AF$91,MATCH($C92,CostProjections!$N$9:$N$91,0),MATCH(X$15,CostProjections!$Z$8:$AF$8,0))*0.001</f>
        <v>13.615808761082784</v>
      </c>
      <c r="Y92" s="619">
        <f>INDEX(CostProjections!$Z$9:$AF$91,MATCH($C92,CostProjections!$N$9:$N$91,0),MATCH(Y$15,CostProjections!$Z$8:$AF$8,0))*0.001</f>
        <v>13.141381762720977</v>
      </c>
      <c r="Z92" s="689">
        <f t="shared" si="14"/>
        <v>20</v>
      </c>
      <c r="AA92" s="689">
        <f t="shared" si="17"/>
        <v>20</v>
      </c>
      <c r="AB92" s="689">
        <f t="shared" si="20"/>
        <v>2025</v>
      </c>
      <c r="AC92" s="1">
        <f t="shared" ca="1" si="18"/>
        <v>75</v>
      </c>
      <c r="AD92" s="1">
        <v>1</v>
      </c>
    </row>
    <row r="93" spans="1:30" x14ac:dyDescent="0.2">
      <c r="A93" s="1" t="str">
        <f t="shared" si="19"/>
        <v/>
      </c>
      <c r="B93" s="190" t="str">
        <f>ITEMS_nTech!C84</f>
        <v>Transport Freight - HCV3 Electricity-N</v>
      </c>
      <c r="C93" s="190" t="str">
        <f t="shared" si="13"/>
        <v>TFHCV3ELC-N</v>
      </c>
      <c r="D93" s="611" t="str">
        <f>D92</f>
        <v>TRAELC</v>
      </c>
      <c r="E93" s="611" t="str">
        <f>E84</f>
        <v>TFHCV3</v>
      </c>
      <c r="F93" s="692">
        <f t="array" ref="F93">IFERROR(INDEX(Analytica!$F$59:$AY$138,MATCH($C93,Analytica!$B$59:$B$168,0),MATCH(F$15&amp;F$10,Analytica!$F$58:$AY$58&amp;Analytica!$F$51:'Analytica'!$AY$51,0)),"")</f>
        <v>0.39173354795142884</v>
      </c>
      <c r="G93" s="692">
        <f t="array" ref="G93">IFERROR(INDEX(Analytica!$F$59:$AY$138,MATCH($C93,Analytica!$B$59:$B$168,0),MATCH(G$15&amp;G$10,Analytica!$F$58:$AY$58&amp;Analytica!$F$51:'Analytica'!$AY$51,0)),"")</f>
        <v>0.41394523850770848</v>
      </c>
      <c r="H93" s="692">
        <f t="array" ref="H93">IFERROR(INDEX(Analytica!$F$59:$AY$138,MATCH($C93,Analytica!$B$59:$B$168,0),MATCH(H$15&amp;H$10,Analytica!$F$58:$AY$58&amp;Analytica!$F$51:'Analytica'!$AY$51,0)),"")</f>
        <v>0.45771057382321367</v>
      </c>
      <c r="I93" s="692">
        <f t="array" ref="I93">IFERROR(INDEX(Analytica!$F$59:$AY$138,MATCH($C93,Analytica!$B$59:$B$168,0),MATCH(I$15&amp;I$10,Analytica!$F$58:$AY$58&amp;Analytica!$F$51:'Analytica'!$AY$51,0)),"")</f>
        <v>0.50610310229640254</v>
      </c>
      <c r="J93" s="1001">
        <v>1</v>
      </c>
      <c r="K93" s="1001">
        <v>1</v>
      </c>
      <c r="L93" s="1001">
        <v>1</v>
      </c>
      <c r="M93" s="1001">
        <v>1</v>
      </c>
      <c r="N93" s="1001">
        <v>1</v>
      </c>
      <c r="O93" s="692">
        <f t="array" ref="O93">IFERROR(INDEX(Analytica!$F$59:$AY$138,MATCH($C93,Analytica!$B$59:$B$168,0),MATCH(O$15&amp;O$10,Analytica!$F$58:$AY$58&amp;Analytica!$F$51:'Analytica'!$AY$51,0)),"")</f>
        <v>8.4999999999999992E-2</v>
      </c>
      <c r="P93" s="619">
        <f>INDEX(CostProjections!$Q$9:$W$91,MATCH($C93,CostProjections!$N$9:$N$91,0),MATCH(P$15,CostProjections!$Q$8:$W$8,0))*0.001</f>
        <v>1387.5687699972127</v>
      </c>
      <c r="Q93" s="619">
        <f>INDEX(CostProjections!$Q$9:$W$91,MATCH($C93,CostProjections!$N$9:$N$91,0),MATCH(Q$15,CostProjections!$Q$8:$W$8,0))*0.001</f>
        <v>980.50552198871776</v>
      </c>
      <c r="R93" s="619">
        <f>INDEX(CostProjections!$Q$9:$W$91,MATCH($C93,CostProjections!$N$9:$N$91,0),MATCH(R$15,CostProjections!$Q$8:$W$8,0))*0.001</f>
        <v>781.57170301661336</v>
      </c>
      <c r="S93" s="619">
        <f>INDEX(CostProjections!$Q$9:$W$91,MATCH($C93,CostProjections!$N$9:$N$91,0),MATCH(S$15,CostProjections!$Q$8:$W$8,0))*0.001</f>
        <v>714.47895140223318</v>
      </c>
      <c r="T93" s="619">
        <f>INDEX(CostProjections!$Q$9:$W$91,MATCH($C93,CostProjections!$N$9:$N$91,0),MATCH(T$15,CostProjections!$Q$8:$W$8,0))*0.001</f>
        <v>672.38561783124862</v>
      </c>
      <c r="U93" s="619">
        <f>INDEX(CostProjections!$Q$9:$W$91,MATCH($C93,CostProjections!$N$9:$N$91,0),MATCH(U$15,CostProjections!$Q$8:$W$8,0))*0.001</f>
        <v>648.9571240849865</v>
      </c>
      <c r="V93" s="619">
        <f>INDEX(CostProjections!$Z$9:$AF$91,MATCH($C93,CostProjections!$N$9:$N$91,0),MATCH(V$15,CostProjections!$Z$8:$AF$8,0))*0.001</f>
        <v>28.098267592443559</v>
      </c>
      <c r="W93" s="619">
        <f>INDEX(CostProjections!$Z$9:$AF$91,MATCH($C93,CostProjections!$N$9:$N$91,0),MATCH(W$15,CostProjections!$Z$8:$AF$8,0))*0.001</f>
        <v>15.826826986086422</v>
      </c>
      <c r="X93" s="619">
        <f>INDEX(CostProjections!$Z$9:$AF$91,MATCH($C93,CostProjections!$N$9:$N$91,0),MATCH(X$15,CostProjections!$Z$8:$AF$8,0))*0.001</f>
        <v>13.615808761082784</v>
      </c>
      <c r="Y93" s="619">
        <f>INDEX(CostProjections!$Z$9:$AF$91,MATCH($C93,CostProjections!$N$9:$N$91,0),MATCH(Y$15,CostProjections!$Z$8:$AF$8,0))*0.001</f>
        <v>13.141381762720977</v>
      </c>
      <c r="Z93" s="689">
        <f t="shared" si="14"/>
        <v>20</v>
      </c>
      <c r="AA93" s="689">
        <f t="shared" si="17"/>
        <v>20</v>
      </c>
      <c r="AB93" s="689">
        <f t="shared" si="20"/>
        <v>2025</v>
      </c>
      <c r="AC93" s="1">
        <f t="shared" ca="1" si="18"/>
        <v>76</v>
      </c>
      <c r="AD93" s="1">
        <v>1</v>
      </c>
    </row>
    <row r="94" spans="1:30" x14ac:dyDescent="0.2">
      <c r="A94" s="1" t="str">
        <f t="shared" si="19"/>
        <v/>
      </c>
      <c r="B94" s="190" t="str">
        <f>ITEMS_nTech!C85</f>
        <v>Transport Freight - HCV4 Electricity-N</v>
      </c>
      <c r="C94" s="190" t="str">
        <f t="shared" si="13"/>
        <v>TFHCV4ELC-N</v>
      </c>
      <c r="D94" s="611" t="str">
        <f t="shared" ref="D94:D99" si="21">D93</f>
        <v>TRAELC</v>
      </c>
      <c r="E94" s="611" t="str">
        <f t="shared" ref="E94:E99" si="22">E85</f>
        <v>TFHCV4</v>
      </c>
      <c r="F94" s="692" cm="1">
        <f t="array" ref="F94">IFERROR(INDEX(Analytica!$F$59:$AY$138,MATCH($C94,Analytica!$B$59:$B$168,0),MATCH(F$15&amp;F$10,Analytica!$F$58:$AY$58&amp;Analytica!$F$51:'Analytica'!$AY$51,0)),"")</f>
        <v>0.33665822178511917</v>
      </c>
      <c r="G94" s="692" cm="1">
        <f t="array" ref="G94">IFERROR(INDEX(Analytica!$F$59:$AY$138,MATCH($C94,Analytica!$B$59:$B$168,0),MATCH(G$15&amp;G$10,Analytica!$F$58:$AY$58&amp;Analytica!$F$51:'Analytica'!$AY$51,0)),"")</f>
        <v>0.35574708533694754</v>
      </c>
      <c r="H94" s="692" cm="1">
        <f t="array" ref="H94">IFERROR(INDEX(Analytica!$F$59:$AY$138,MATCH($C94,Analytica!$B$59:$B$168,0),MATCH(H$15&amp;H$10,Analytica!$F$58:$AY$58&amp;Analytica!$F$51:'Analytica'!$AY$51,0)),"")</f>
        <v>0.39335928383309043</v>
      </c>
      <c r="I94" s="692" cm="1">
        <f t="array" ref="I94">IFERROR(INDEX(Analytica!$F$59:$AY$138,MATCH($C94,Analytica!$B$59:$B$168,0),MATCH(I$15&amp;I$10,Analytica!$F$58:$AY$58&amp;Analytica!$F$51:'Analytica'!$AY$51,0)),"")</f>
        <v>0.43494812060407212</v>
      </c>
      <c r="J94" s="1001">
        <v>1</v>
      </c>
      <c r="K94" s="1001">
        <v>1</v>
      </c>
      <c r="L94" s="1001">
        <v>1</v>
      </c>
      <c r="M94" s="1001">
        <v>1</v>
      </c>
      <c r="N94" s="1001">
        <v>1</v>
      </c>
      <c r="O94" s="692">
        <f t="array" ref="O94">IFERROR(INDEX(Analytica!$F$59:$AY$138,MATCH($C94,Analytica!$B$59:$B$168,0),MATCH(O$15&amp;O$10,Analytica!$F$58:$AY$58&amp;Analytica!$F$51:'Analytica'!$AY$51,0)),"")</f>
        <v>8.4999999999999992E-2</v>
      </c>
      <c r="P94" s="619">
        <f>INDEX(CostProjections!$Q$9:$W$91,MATCH($C94,CostProjections!$N$9:$N$91,0),MATCH(P$15,CostProjections!$Q$8:$W$8,0))*0.001</f>
        <v>1614.7472011580503</v>
      </c>
      <c r="Q94" s="619">
        <f>INDEX(CostProjections!$Q$9:$W$91,MATCH($C94,CostProjections!$N$9:$N$91,0),MATCH(Q$15,CostProjections!$Q$8:$W$8,0))*0.001</f>
        <v>1431.4668145306835</v>
      </c>
      <c r="R94" s="619">
        <f>INDEX(CostProjections!$Q$9:$W$91,MATCH($C94,CostProjections!$N$9:$N$91,0),MATCH(R$15,CostProjections!$Q$8:$W$8,0))*0.001</f>
        <v>948.38050200993018</v>
      </c>
      <c r="S94" s="619">
        <f>INDEX(CostProjections!$Q$9:$W$91,MATCH($C94,CostProjections!$N$9:$N$91,0),MATCH(S$15,CostProjections!$Q$8:$W$8,0))*0.001</f>
        <v>877.21316449052597</v>
      </c>
      <c r="T94" s="619">
        <f>INDEX(CostProjections!$Q$9:$W$91,MATCH($C94,CostProjections!$N$9:$N$91,0),MATCH(T$15,CostProjections!$Q$8:$W$8,0))*0.001</f>
        <v>806.04582697112016</v>
      </c>
      <c r="U94" s="619">
        <f>INDEX(CostProjections!$Q$9:$W$91,MATCH($C94,CostProjections!$N$9:$N$91,0),MATCH(U$15,CostProjections!$Q$8:$W$8,0))*0.001</f>
        <v>762.89199682635774</v>
      </c>
      <c r="V94" s="619">
        <f>INDEX(CostProjections!$Z$9:$AF$91,MATCH($C94,CostProjections!$N$9:$N$91,0),MATCH(V$15,CostProjections!$Z$8:$AF$8,0))*0.001</f>
        <v>32.698630823450522</v>
      </c>
      <c r="W94" s="619">
        <f>INDEX(CostProjections!$Z$9:$AF$91,MATCH($C94,CostProjections!$N$9:$N$91,0),MATCH(W$15,CostProjections!$Z$8:$AF$8,0))*0.001</f>
        <v>19.204705165701089</v>
      </c>
      <c r="X94" s="619">
        <f>INDEX(CostProjections!$Z$9:$AF$91,MATCH($C94,CostProjections!$N$9:$N$91,0),MATCH(X$15,CostProjections!$Z$8:$AF$8,0))*0.001</f>
        <v>16.322427996165185</v>
      </c>
      <c r="Y94" s="619">
        <f>INDEX(CostProjections!$Z$9:$AF$91,MATCH($C94,CostProjections!$N$9:$N$91,0),MATCH(Y$15,CostProjections!$Z$8:$AF$8,0))*0.001</f>
        <v>15.448562935733744</v>
      </c>
      <c r="Z94" s="689">
        <f t="shared" si="14"/>
        <v>20</v>
      </c>
      <c r="AA94" s="689">
        <f t="shared" ref="AA94:AA99" si="23">Z94</f>
        <v>20</v>
      </c>
      <c r="AB94" s="689">
        <f t="shared" si="20"/>
        <v>2025</v>
      </c>
      <c r="AC94" s="1">
        <f t="shared" ca="1" si="18"/>
        <v>77</v>
      </c>
      <c r="AD94" s="1">
        <v>1</v>
      </c>
    </row>
    <row r="95" spans="1:30" x14ac:dyDescent="0.2">
      <c r="A95" s="1" t="str">
        <f t="shared" si="19"/>
        <v/>
      </c>
      <c r="B95" s="190" t="str">
        <f>ITEMS_nTech!C86</f>
        <v>Transport Freight - HCV5 Electricity-N</v>
      </c>
      <c r="C95" s="190" t="str">
        <f t="shared" si="13"/>
        <v>TFHCV5ELC-N</v>
      </c>
      <c r="D95" s="611" t="str">
        <f t="shared" si="21"/>
        <v>TRAELC</v>
      </c>
      <c r="E95" s="611" t="str">
        <f t="shared" si="22"/>
        <v>TFHCV5</v>
      </c>
      <c r="F95" s="692" cm="1">
        <f t="array" ref="F95">IFERROR(INDEX(Analytica!$F$59:$AY$138,MATCH($C95,Analytica!$B$59:$B$168,0),MATCH(F$15&amp;F$10,Analytica!$F$58:$AY$58&amp;Analytica!$F$51:'Analytica'!$AY$51,0)),"")</f>
        <v>0.31014924571856728</v>
      </c>
      <c r="G95" s="692" cm="1">
        <f t="array" ref="G95">IFERROR(INDEX(Analytica!$F$59:$AY$138,MATCH($C95,Analytica!$B$59:$B$168,0),MATCH(G$15&amp;G$10,Analytica!$F$58:$AY$58&amp;Analytica!$F$51:'Analytica'!$AY$51,0)),"")</f>
        <v>0.32773502336817145</v>
      </c>
      <c r="H95" s="692" cm="1">
        <f t="array" ref="H95">IFERROR(INDEX(Analytica!$F$59:$AY$138,MATCH($C95,Analytica!$B$59:$B$168,0),MATCH(H$15&amp;H$10,Analytica!$F$58:$AY$58&amp;Analytica!$F$51:'Analytica'!$AY$51,0)),"")</f>
        <v>0.36238558063524301</v>
      </c>
      <c r="I95" s="692" cm="1">
        <f t="array" ref="I95">IFERROR(INDEX(Analytica!$F$59:$AY$138,MATCH($C95,Analytica!$B$59:$B$168,0),MATCH(I$15&amp;I$10,Analytica!$F$58:$AY$58&amp;Analytica!$F$51:'Analytica'!$AY$51,0)),"")</f>
        <v>0.40069964968259147</v>
      </c>
      <c r="J95" s="1001">
        <v>1</v>
      </c>
      <c r="K95" s="1001">
        <v>1</v>
      </c>
      <c r="L95" s="1001">
        <v>1</v>
      </c>
      <c r="M95" s="1001">
        <v>1</v>
      </c>
      <c r="N95" s="1001">
        <v>1</v>
      </c>
      <c r="O95" s="692">
        <f t="array" ref="O95">IFERROR(INDEX(Analytica!$F$59:$AY$138,MATCH($C95,Analytica!$B$59:$B$168,0),MATCH(O$15&amp;O$10,Analytica!$F$58:$AY$58&amp;Analytica!$F$51:'Analytica'!$AY$51,0)),"")</f>
        <v>0.11</v>
      </c>
      <c r="P95" s="619">
        <f>INDEX(CostProjections!$Q$9:$W$91,MATCH($C95,CostProjections!$N$9:$N$91,0),MATCH(P$15,CostProjections!$Q$8:$W$8,0))*0.001</f>
        <v>2384.6279677860193</v>
      </c>
      <c r="Q95" s="619">
        <f>INDEX(CostProjections!$Q$9:$W$91,MATCH($C95,CostProjections!$N$9:$N$91,0),MATCH(Q$15,CostProjections!$Q$8:$W$8,0))*0.001</f>
        <v>1892.2902606066011</v>
      </c>
      <c r="R95" s="619">
        <f>INDEX(CostProjections!$Q$9:$W$91,MATCH($C95,CostProjections!$N$9:$N$91,0),MATCH(R$15,CostProjections!$Q$8:$W$8,0))*0.001</f>
        <v>1555.9562522543022</v>
      </c>
      <c r="S95" s="619">
        <f>INDEX(CostProjections!$Q$9:$W$91,MATCH($C95,CostProjections!$N$9:$N$91,0),MATCH(S$15,CostProjections!$Q$8:$W$8,0))*0.001</f>
        <v>1480.649852323113</v>
      </c>
      <c r="T95" s="619">
        <f>INDEX(CostProjections!$Q$9:$W$91,MATCH($C95,CostProjections!$N$9:$N$91,0),MATCH(T$15,CostProjections!$Q$8:$W$8,0))*0.001</f>
        <v>1405.3434523919236</v>
      </c>
      <c r="U95" s="619">
        <f>INDEX(CostProjections!$Q$9:$W$91,MATCH($C95,CostProjections!$N$9:$N$91,0),MATCH(U$15,CostProjections!$Q$8:$W$8,0))*0.001</f>
        <v>1354.6374389267246</v>
      </c>
      <c r="V95" s="619">
        <f>INDEX(CostProjections!$Z$9:$AF$91,MATCH($C95,CostProjections!$N$9:$N$91,0),MATCH(V$15,CostProjections!$Z$8:$AF$8,0))*0.001</f>
        <v>48.288716347666892</v>
      </c>
      <c r="W95" s="619">
        <f>INDEX(CostProjections!$Z$9:$AF$91,MATCH($C95,CostProjections!$N$9:$N$91,0),MATCH(W$15,CostProjections!$Z$8:$AF$8,0))*0.001</f>
        <v>31.50811410814962</v>
      </c>
      <c r="X95" s="619">
        <f>INDEX(CostProjections!$Z$9:$AF$91,MATCH($C95,CostProjections!$N$9:$N$91,0),MATCH(X$15,CostProjections!$Z$8:$AF$8,0))*0.001</f>
        <v>28.458204910936455</v>
      </c>
      <c r="Y95" s="619">
        <f>INDEX(CostProjections!$Z$9:$AF$91,MATCH($C95,CostProjections!$N$9:$N$91,0),MATCH(Y$15,CostProjections!$Z$8:$AF$8,0))*0.001</f>
        <v>27.431408138266171</v>
      </c>
      <c r="Z95" s="689">
        <f t="shared" si="14"/>
        <v>20</v>
      </c>
      <c r="AA95" s="689">
        <f t="shared" si="23"/>
        <v>20</v>
      </c>
      <c r="AB95" s="689">
        <f t="shared" si="20"/>
        <v>2025</v>
      </c>
      <c r="AC95" s="1">
        <f t="shared" ca="1" si="18"/>
        <v>78</v>
      </c>
      <c r="AD95" s="1">
        <v>1</v>
      </c>
    </row>
    <row r="96" spans="1:30" x14ac:dyDescent="0.2">
      <c r="A96" s="1" t="str">
        <f t="shared" si="19"/>
        <v/>
      </c>
      <c r="B96" s="190" t="str">
        <f>ITEMS_nTech!C87</f>
        <v>Transport Freight - HCV6 Electricity-N</v>
      </c>
      <c r="C96" s="190" t="str">
        <f t="shared" si="13"/>
        <v>TFHCV6ELC-N</v>
      </c>
      <c r="D96" s="611" t="str">
        <f t="shared" si="21"/>
        <v>TRAELC</v>
      </c>
      <c r="E96" s="611" t="str">
        <f t="shared" si="22"/>
        <v>TFHCV6</v>
      </c>
      <c r="F96" s="692" cm="1">
        <f t="array" ref="F96">IFERROR(INDEX(Analytica!$F$59:$AY$138,MATCH($C96,Analytica!$B$59:$B$168,0),MATCH(F$15&amp;F$10,Analytica!$F$58:$AY$58&amp;Analytica!$F$51:'Analytica'!$AY$51,0)),"")</f>
        <v>0.21392667714530927</v>
      </c>
      <c r="G96" s="692" cm="1">
        <f t="array" ref="G96">IFERROR(INDEX(Analytica!$F$59:$AY$138,MATCH($C96,Analytica!$B$59:$B$168,0),MATCH(G$15&amp;G$10,Analytica!$F$58:$AY$58&amp;Analytica!$F$51:'Analytica'!$AY$51,0)),"")</f>
        <v>0.22605653729982925</v>
      </c>
      <c r="H96" s="692" cm="1">
        <f t="array" ref="H96">IFERROR(INDEX(Analytica!$F$59:$AY$138,MATCH($C96,Analytica!$B$59:$B$168,0),MATCH(H$15&amp;H$10,Analytica!$F$58:$AY$58&amp;Analytica!$F$51:'Analytica'!$AY$51,0)),"")</f>
        <v>0.24995689714176231</v>
      </c>
      <c r="I96" s="692" cm="1">
        <f t="array" ref="I96">IFERROR(INDEX(Analytica!$F$59:$AY$138,MATCH($C96,Analytica!$B$59:$B$168,0),MATCH(I$15&amp;I$10,Analytica!$F$58:$AY$58&amp;Analytica!$F$51:'Analytica'!$AY$51,0)),"")</f>
        <v>0.27638417882102423</v>
      </c>
      <c r="J96" s="1001">
        <v>1</v>
      </c>
      <c r="K96" s="1001">
        <v>1</v>
      </c>
      <c r="L96" s="1001">
        <v>1</v>
      </c>
      <c r="M96" s="1001">
        <v>1</v>
      </c>
      <c r="N96" s="1001">
        <v>1</v>
      </c>
      <c r="O96" s="692">
        <f t="array" ref="O96">IFERROR(INDEX(Analytica!$F$59:$AY$138,MATCH($C96,Analytica!$B$59:$B$168,0),MATCH(O$15&amp;O$10,Analytica!$F$58:$AY$58&amp;Analytica!$F$51:'Analytica'!$AY$51,0)),"")</f>
        <v>0.11</v>
      </c>
      <c r="P96" s="619">
        <f>INDEX(CostProjections!$Q$9:$W$91,MATCH($C96,CostProjections!$N$9:$N$91,0),MATCH(P$15,CostProjections!$Q$8:$W$8,0))*0.001</f>
        <v>2384.6279677860193</v>
      </c>
      <c r="Q96" s="619">
        <f>INDEX(CostProjections!$Q$9:$W$91,MATCH($C96,CostProjections!$N$9:$N$91,0),MATCH(Q$15,CostProjections!$Q$8:$W$8,0))*0.001</f>
        <v>1892.2902606066011</v>
      </c>
      <c r="R96" s="619">
        <f>INDEX(CostProjections!$Q$9:$W$91,MATCH($C96,CostProjections!$N$9:$N$91,0),MATCH(R$15,CostProjections!$Q$8:$W$8,0))*0.001</f>
        <v>1555.9562522543022</v>
      </c>
      <c r="S96" s="619">
        <f>INDEX(CostProjections!$Q$9:$W$91,MATCH($C96,CostProjections!$N$9:$N$91,0),MATCH(S$15,CostProjections!$Q$8:$W$8,0))*0.001</f>
        <v>1480.649852323113</v>
      </c>
      <c r="T96" s="619">
        <f>INDEX(CostProjections!$Q$9:$W$91,MATCH($C96,CostProjections!$N$9:$N$91,0),MATCH(T$15,CostProjections!$Q$8:$W$8,0))*0.001</f>
        <v>1405.3434523919236</v>
      </c>
      <c r="U96" s="619">
        <f>INDEX(CostProjections!$Q$9:$W$91,MATCH($C96,CostProjections!$N$9:$N$91,0),MATCH(U$15,CostProjections!$Q$8:$W$8,0))*0.001</f>
        <v>1354.6374389267246</v>
      </c>
      <c r="V96" s="619">
        <f>INDEX(CostProjections!$Z$9:$AF$91,MATCH($C96,CostProjections!$N$9:$N$91,0),MATCH(V$15,CostProjections!$Z$8:$AF$8,0))*0.001</f>
        <v>48.288716347666892</v>
      </c>
      <c r="W96" s="619">
        <f>INDEX(CostProjections!$Z$9:$AF$91,MATCH($C96,CostProjections!$N$9:$N$91,0),MATCH(W$15,CostProjections!$Z$8:$AF$8,0))*0.001</f>
        <v>31.50811410814962</v>
      </c>
      <c r="X96" s="619">
        <f>INDEX(CostProjections!$Z$9:$AF$91,MATCH($C96,CostProjections!$N$9:$N$91,0),MATCH(X$15,CostProjections!$Z$8:$AF$8,0))*0.001</f>
        <v>28.458204910936455</v>
      </c>
      <c r="Y96" s="619">
        <f>INDEX(CostProjections!$Z$9:$AF$91,MATCH($C96,CostProjections!$N$9:$N$91,0),MATCH(Y$15,CostProjections!$Z$8:$AF$8,0))*0.001</f>
        <v>27.431408138266171</v>
      </c>
      <c r="Z96" s="689">
        <f t="shared" si="14"/>
        <v>20</v>
      </c>
      <c r="AA96" s="689">
        <f t="shared" si="23"/>
        <v>20</v>
      </c>
      <c r="AB96" s="689">
        <f t="shared" si="20"/>
        <v>2025</v>
      </c>
      <c r="AC96" s="1">
        <f t="shared" ca="1" si="18"/>
        <v>79</v>
      </c>
      <c r="AD96" s="1">
        <v>1</v>
      </c>
    </row>
    <row r="97" spans="1:30" x14ac:dyDescent="0.2">
      <c r="A97" s="1" t="str">
        <f t="shared" si="19"/>
        <v/>
      </c>
      <c r="B97" s="190" t="str">
        <f>ITEMS_nTech!C88</f>
        <v>Transport Freight - HCV7 Electricity-N</v>
      </c>
      <c r="C97" s="190" t="str">
        <f t="shared" si="13"/>
        <v>TFHCV7ELC-N</v>
      </c>
      <c r="D97" s="611" t="str">
        <f t="shared" si="21"/>
        <v>TRAELC</v>
      </c>
      <c r="E97" s="611" t="str">
        <f t="shared" si="22"/>
        <v>TFHCV7</v>
      </c>
      <c r="F97" s="692" cm="1">
        <f t="array" ref="F97">IFERROR(INDEX(Analytica!$F$59:$AY$138,MATCH($C97,Analytica!$B$59:$B$168,0),MATCH(F$15&amp;F$10,Analytica!$F$58:$AY$58&amp;Analytica!$F$51:'Analytica'!$AY$51,0)),"")</f>
        <v>0.2309309956750841</v>
      </c>
      <c r="G97" s="692" cm="1">
        <f t="array" ref="G97">IFERROR(INDEX(Analytica!$F$59:$AY$138,MATCH($C97,Analytica!$B$59:$B$168,0),MATCH(G$15&amp;G$10,Analytica!$F$58:$AY$58&amp;Analytica!$F$51:'Analytica'!$AY$51,0)),"")</f>
        <v>0.24402501798339182</v>
      </c>
      <c r="H97" s="692" cm="1">
        <f t="array" ref="H97">IFERROR(INDEX(Analytica!$F$59:$AY$138,MATCH($C97,Analytica!$B$59:$B$168,0),MATCH(H$15&amp;H$10,Analytica!$F$58:$AY$58&amp;Analytica!$F$51:'Analytica'!$AY$51,0)),"")</f>
        <v>0.26982513776715022</v>
      </c>
      <c r="I97" s="692" cm="1">
        <f t="array" ref="I97">IFERROR(INDEX(Analytica!$F$59:$AY$138,MATCH($C97,Analytica!$B$59:$B$168,0),MATCH(I$15&amp;I$10,Analytica!$F$58:$AY$58&amp;Analytica!$F$51:'Analytica'!$AY$51,0)),"")</f>
        <v>0.29835303598263313</v>
      </c>
      <c r="J97" s="1001">
        <v>1</v>
      </c>
      <c r="K97" s="1001">
        <v>1</v>
      </c>
      <c r="L97" s="1001">
        <v>1</v>
      </c>
      <c r="M97" s="1001">
        <v>1</v>
      </c>
      <c r="N97" s="1001">
        <v>1</v>
      </c>
      <c r="O97" s="692">
        <f t="array" ref="O97">IFERROR(INDEX(Analytica!$F$59:$AY$138,MATCH($C97,Analytica!$B$59:$B$168,0),MATCH(O$15&amp;O$10,Analytica!$F$58:$AY$58&amp;Analytica!$F$51:'Analytica'!$AY$51,0)),"")</f>
        <v>0.16</v>
      </c>
      <c r="P97" s="619">
        <f>INDEX(CostProjections!$Q$9:$W$91,MATCH($C97,CostProjections!$N$9:$N$91,0),MATCH(P$15,CostProjections!$Q$8:$W$8,0))*0.001</f>
        <v>3660.0979858331707</v>
      </c>
      <c r="Q97" s="619">
        <f>INDEX(CostProjections!$Q$9:$W$91,MATCH($C97,CostProjections!$N$9:$N$91,0),MATCH(Q$15,CostProjections!$Q$8:$W$8,0))*0.001</f>
        <v>2931.5544715875085</v>
      </c>
      <c r="R97" s="619">
        <f>INDEX(CostProjections!$Q$9:$W$91,MATCH($C97,CostProjections!$N$9:$N$91,0),MATCH(R$15,CostProjections!$Q$8:$W$8,0))*0.001</f>
        <v>2442.45661996644</v>
      </c>
      <c r="S97" s="619">
        <f>INDEX(CostProjections!$Q$9:$W$91,MATCH($C97,CostProjections!$N$9:$N$91,0),MATCH(S$15,CostProjections!$Q$8:$W$8,0))*0.001</f>
        <v>2331.3515301096672</v>
      </c>
      <c r="T97" s="619">
        <f>INDEX(CostProjections!$Q$9:$W$91,MATCH($C97,CostProjections!$N$9:$N$91,0),MATCH(T$15,CostProjections!$Q$8:$W$8,0))*0.001</f>
        <v>2220.2464402529031</v>
      </c>
      <c r="U97" s="619">
        <f>INDEX(CostProjections!$Q$9:$W$91,MATCH($C97,CostProjections!$N$9:$N$91,0),MATCH(U$15,CostProjections!$Q$8:$W$8,0))*0.001</f>
        <v>2165.6270660953105</v>
      </c>
      <c r="V97" s="619">
        <f>INDEX(CostProjections!$Z$9:$AF$91,MATCH($C97,CostProjections!$N$9:$N$91,0),MATCH(V$15,CostProjections!$Z$8:$AF$8,0))*0.001</f>
        <v>74.116984213121711</v>
      </c>
      <c r="W97" s="619">
        <f>INDEX(CostProjections!$Z$9:$AF$91,MATCH($C97,CostProjections!$N$9:$N$91,0),MATCH(W$15,CostProjections!$Z$8:$AF$8,0))*0.001</f>
        <v>49.459746554320411</v>
      </c>
      <c r="X97" s="619">
        <f>INDEX(CostProjections!$Z$9:$AF$91,MATCH($C97,CostProjections!$N$9:$N$91,0),MATCH(X$15,CostProjections!$Z$8:$AF$8,0))*0.001</f>
        <v>44.959990415121283</v>
      </c>
      <c r="Y97" s="619">
        <f>INDEX(CostProjections!$Z$9:$AF$91,MATCH($C97,CostProjections!$N$9:$N$91,0),MATCH(Y$15,CostProjections!$Z$8:$AF$8,0))*0.001</f>
        <v>43.853948088430037</v>
      </c>
      <c r="Z97" s="689">
        <f t="shared" si="14"/>
        <v>20</v>
      </c>
      <c r="AA97" s="689">
        <f t="shared" si="23"/>
        <v>20</v>
      </c>
      <c r="AB97" s="689">
        <f t="shared" si="20"/>
        <v>2025</v>
      </c>
      <c r="AC97" s="1">
        <f t="shared" ca="1" si="18"/>
        <v>80</v>
      </c>
      <c r="AD97" s="1">
        <v>1</v>
      </c>
    </row>
    <row r="98" spans="1:30" x14ac:dyDescent="0.2">
      <c r="A98" s="1" t="str">
        <f t="shared" si="19"/>
        <v/>
      </c>
      <c r="B98" s="190" t="str">
        <f>ITEMS_nTech!C89</f>
        <v>Transport Freight - HCV8 Electricity-N</v>
      </c>
      <c r="C98" s="190" t="str">
        <f t="shared" si="13"/>
        <v>TFHCV8ELC-N</v>
      </c>
      <c r="D98" s="611" t="str">
        <f t="shared" si="21"/>
        <v>TRAELC</v>
      </c>
      <c r="E98" s="611" t="str">
        <f t="shared" si="22"/>
        <v>TFHCV8</v>
      </c>
      <c r="F98" s="692" cm="1">
        <f t="array" ref="F98">IFERROR(INDEX(Analytica!$F$59:$AY$138,MATCH($C98,Analytica!$B$59:$B$168,0),MATCH(F$15&amp;F$10,Analytica!$F$58:$AY$58&amp;Analytica!$F$51:'Analytica'!$AY$51,0)),"")</f>
        <v>0.22723889739501718</v>
      </c>
      <c r="G98" s="692" cm="1">
        <f t="array" ref="G98">IFERROR(INDEX(Analytica!$F$59:$AY$138,MATCH($C98,Analytica!$B$59:$B$168,0),MATCH(G$15&amp;G$10,Analytica!$F$58:$AY$58&amp;Analytica!$F$51:'Analytica'!$AY$51,0)),"")</f>
        <v>0.24012357397603376</v>
      </c>
      <c r="H98" s="692" cm="1">
        <f t="array" ref="H98">IFERROR(INDEX(Analytica!$F$59:$AY$138,MATCH($C98,Analytica!$B$59:$B$168,0),MATCH(H$15&amp;H$10,Analytica!$F$58:$AY$58&amp;Analytica!$F$51:'Analytica'!$AY$51,0)),"")</f>
        <v>0.26551120440295778</v>
      </c>
      <c r="I98" s="692" cm="1">
        <f t="array" ref="I98">IFERROR(INDEX(Analytica!$F$59:$AY$138,MATCH($C98,Analytica!$B$59:$B$168,0),MATCH(I$15&amp;I$10,Analytica!$F$58:$AY$58&amp;Analytica!$F$51:'Analytica'!$AY$51,0)),"")</f>
        <v>0.29358300185280983</v>
      </c>
      <c r="J98" s="1001">
        <v>1</v>
      </c>
      <c r="K98" s="1001">
        <v>1</v>
      </c>
      <c r="L98" s="1001">
        <v>1</v>
      </c>
      <c r="M98" s="1001">
        <v>1</v>
      </c>
      <c r="N98" s="1001">
        <v>1</v>
      </c>
      <c r="O98" s="692">
        <f t="array" ref="O98">IFERROR(INDEX(Analytica!$F$59:$AY$138,MATCH($C98,Analytica!$B$59:$B$168,0),MATCH(O$15&amp;O$10,Analytica!$F$58:$AY$58&amp;Analytica!$F$51:'Analytica'!$AY$51,0)),"")</f>
        <v>0.16</v>
      </c>
      <c r="P98" s="619">
        <f>INDEX(CostProjections!$Q$9:$W$91,MATCH($C98,CostProjections!$N$9:$N$91,0),MATCH(P$15,CostProjections!$Q$8:$W$8,0))*0.001</f>
        <v>3660.0979858331707</v>
      </c>
      <c r="Q98" s="619">
        <f>INDEX(CostProjections!$Q$9:$W$91,MATCH($C98,CostProjections!$N$9:$N$91,0),MATCH(Q$15,CostProjections!$Q$8:$W$8,0))*0.001</f>
        <v>2931.5544715875085</v>
      </c>
      <c r="R98" s="619">
        <f>INDEX(CostProjections!$Q$9:$W$91,MATCH($C98,CostProjections!$N$9:$N$91,0),MATCH(R$15,CostProjections!$Q$8:$W$8,0))*0.001</f>
        <v>2442.45661996644</v>
      </c>
      <c r="S98" s="619">
        <f>INDEX(CostProjections!$Q$9:$W$91,MATCH($C98,CostProjections!$N$9:$N$91,0),MATCH(S$15,CostProjections!$Q$8:$W$8,0))*0.001</f>
        <v>2331.3515301096672</v>
      </c>
      <c r="T98" s="619">
        <f>INDEX(CostProjections!$Q$9:$W$91,MATCH($C98,CostProjections!$N$9:$N$91,0),MATCH(T$15,CostProjections!$Q$8:$W$8,0))*0.001</f>
        <v>2220.2464402529031</v>
      </c>
      <c r="U98" s="619">
        <f>INDEX(CostProjections!$Q$9:$W$91,MATCH($C98,CostProjections!$N$9:$N$91,0),MATCH(U$15,CostProjections!$Q$8:$W$8,0))*0.001</f>
        <v>2165.6270660953105</v>
      </c>
      <c r="V98" s="619">
        <f>INDEX(CostProjections!$Z$9:$AF$91,MATCH($C98,CostProjections!$N$9:$N$91,0),MATCH(V$15,CostProjections!$Z$8:$AF$8,0))*0.001</f>
        <v>74.116984213121711</v>
      </c>
      <c r="W98" s="619">
        <f>INDEX(CostProjections!$Z$9:$AF$91,MATCH($C98,CostProjections!$N$9:$N$91,0),MATCH(W$15,CostProjections!$Z$8:$AF$8,0))*0.001</f>
        <v>49.459746554320411</v>
      </c>
      <c r="X98" s="619">
        <f>INDEX(CostProjections!$Z$9:$AF$91,MATCH($C98,CostProjections!$N$9:$N$91,0),MATCH(X$15,CostProjections!$Z$8:$AF$8,0))*0.001</f>
        <v>44.959990415121283</v>
      </c>
      <c r="Y98" s="619">
        <f>INDEX(CostProjections!$Z$9:$AF$91,MATCH($C98,CostProjections!$N$9:$N$91,0),MATCH(Y$15,CostProjections!$Z$8:$AF$8,0))*0.001</f>
        <v>43.853948088430037</v>
      </c>
      <c r="Z98" s="689">
        <f t="shared" si="14"/>
        <v>20</v>
      </c>
      <c r="AA98" s="689">
        <f t="shared" si="23"/>
        <v>20</v>
      </c>
      <c r="AB98" s="689">
        <f t="shared" si="20"/>
        <v>2025</v>
      </c>
      <c r="AC98" s="1">
        <f t="shared" ca="1" si="18"/>
        <v>81</v>
      </c>
      <c r="AD98" s="1">
        <v>1</v>
      </c>
    </row>
    <row r="99" spans="1:30" x14ac:dyDescent="0.2">
      <c r="A99" s="1" t="str">
        <f t="shared" si="19"/>
        <v/>
      </c>
      <c r="B99" s="190" t="str">
        <f>ITEMS_nTech!C90</f>
        <v>Transport Freight - HCV9 Electricity-N</v>
      </c>
      <c r="C99" s="190" t="str">
        <f t="shared" si="13"/>
        <v>TFHCV9ELC-N</v>
      </c>
      <c r="D99" s="611" t="str">
        <f t="shared" si="21"/>
        <v>TRAELC</v>
      </c>
      <c r="E99" s="611" t="str">
        <f t="shared" si="22"/>
        <v>TFHCV9</v>
      </c>
      <c r="F99" s="692" cm="1">
        <f t="array" ref="F99">IFERROR(INDEX(Analytica!$F$59:$AY$138,MATCH($C99,Analytica!$B$59:$B$168,0),MATCH(F$15&amp;F$10,Analytica!$F$58:$AY$58&amp;Analytica!$F$51:'Analytica'!$AY$51,0)),"")</f>
        <v>0.17856113008089783</v>
      </c>
      <c r="G99" s="692" cm="1">
        <f t="array" ref="G99">IFERROR(INDEX(Analytica!$F$59:$AY$138,MATCH($C99,Analytica!$B$59:$B$168,0),MATCH(G$15&amp;G$10,Analytica!$F$58:$AY$58&amp;Analytica!$F$51:'Analytica'!$AY$51,0)),"")</f>
        <v>0.18868572775060846</v>
      </c>
      <c r="H99" s="692" cm="1">
        <f t="array" ref="H99">IFERROR(INDEX(Analytica!$F$59:$AY$138,MATCH($C99,Analytica!$B$59:$B$168,0),MATCH(H$15&amp;H$10,Analytica!$F$58:$AY$58&amp;Analytica!$F$51:'Analytica'!$AY$51,0)),"")</f>
        <v>0.20863497073266468</v>
      </c>
      <c r="I99" s="692" cm="1">
        <f t="array" ref="I99">IFERROR(INDEX(Analytica!$F$59:$AY$138,MATCH($C99,Analytica!$B$59:$B$168,0),MATCH(I$15&amp;I$10,Analytica!$F$58:$AY$58&amp;Analytica!$F$51:'Analytica'!$AY$51,0)),"")</f>
        <v>0.23069339441588732</v>
      </c>
      <c r="J99" s="1001">
        <v>1</v>
      </c>
      <c r="K99" s="1001">
        <v>1</v>
      </c>
      <c r="L99" s="1001">
        <v>1</v>
      </c>
      <c r="M99" s="1001">
        <v>1</v>
      </c>
      <c r="N99" s="1001">
        <v>1</v>
      </c>
      <c r="O99" s="692">
        <f t="array" ref="O99">IFERROR(INDEX(Analytica!$F$59:$AY$138,MATCH($C99,Analytica!$B$59:$B$168,0),MATCH(O$15&amp;O$10,Analytica!$F$58:$AY$58&amp;Analytica!$F$51:'Analytica'!$AY$51,0)),"")</f>
        <v>0.18</v>
      </c>
      <c r="P99" s="619">
        <f>INDEX(CostProjections!$Q$9:$W$91,MATCH($C99,CostProjections!$N$9:$N$91,0),MATCH(P$15,CostProjections!$Q$8:$W$8,0))*0.001</f>
        <v>3660.0979858331707</v>
      </c>
      <c r="Q99" s="619">
        <f>INDEX(CostProjections!$Q$9:$W$91,MATCH($C99,CostProjections!$N$9:$N$91,0),MATCH(Q$15,CostProjections!$Q$8:$W$8,0))*0.001</f>
        <v>2931.5544715875085</v>
      </c>
      <c r="R99" s="619">
        <f>INDEX(CostProjections!$Q$9:$W$91,MATCH($C99,CostProjections!$N$9:$N$91,0),MATCH(R$15,CostProjections!$Q$8:$W$8,0))*0.001</f>
        <v>2442.45661996644</v>
      </c>
      <c r="S99" s="619">
        <f>INDEX(CostProjections!$Q$9:$W$91,MATCH($C99,CostProjections!$N$9:$N$91,0),MATCH(S$15,CostProjections!$Q$8:$W$8,0))*0.001</f>
        <v>2331.3515301096672</v>
      </c>
      <c r="T99" s="619">
        <f>INDEX(CostProjections!$Q$9:$W$91,MATCH($C99,CostProjections!$N$9:$N$91,0),MATCH(T$15,CostProjections!$Q$8:$W$8,0))*0.001</f>
        <v>2220.2464402529031</v>
      </c>
      <c r="U99" s="619">
        <f>INDEX(CostProjections!$Q$9:$W$91,MATCH($C99,CostProjections!$N$9:$N$91,0),MATCH(U$15,CostProjections!$Q$8:$W$8,0))*0.001</f>
        <v>2165.6270660953105</v>
      </c>
      <c r="V99" s="619">
        <f>INDEX(CostProjections!$Z$9:$AF$91,MATCH($C99,CostProjections!$N$9:$N$91,0),MATCH(V$15,CostProjections!$Z$8:$AF$8,0))*0.001</f>
        <v>74.116984213121711</v>
      </c>
      <c r="W99" s="619">
        <f>INDEX(CostProjections!$Z$9:$AF$91,MATCH($C99,CostProjections!$N$9:$N$91,0),MATCH(W$15,CostProjections!$Z$8:$AF$8,0))*0.001</f>
        <v>49.459746554320411</v>
      </c>
      <c r="X99" s="619">
        <f>INDEX(CostProjections!$Z$9:$AF$91,MATCH($C99,CostProjections!$N$9:$N$91,0),MATCH(X$15,CostProjections!$Z$8:$AF$8,0))*0.001</f>
        <v>44.959990415121283</v>
      </c>
      <c r="Y99" s="619">
        <f>INDEX(CostProjections!$Z$9:$AF$91,MATCH($C99,CostProjections!$N$9:$N$91,0),MATCH(Y$15,CostProjections!$Z$8:$AF$8,0))*0.001</f>
        <v>43.853948088430037</v>
      </c>
      <c r="Z99" s="689">
        <f t="shared" si="14"/>
        <v>20</v>
      </c>
      <c r="AA99" s="689">
        <f t="shared" si="23"/>
        <v>20</v>
      </c>
      <c r="AB99" s="689">
        <f t="shared" si="20"/>
        <v>2025</v>
      </c>
      <c r="AC99" s="1">
        <f t="shared" ca="1" si="18"/>
        <v>82</v>
      </c>
      <c r="AD99" s="1">
        <v>1</v>
      </c>
    </row>
    <row r="100" spans="1:30" s="61" customFormat="1" ht="15" x14ac:dyDescent="0.25">
      <c r="A100" s="1" t="str">
        <f t="shared" si="19"/>
        <v/>
      </c>
      <c r="B100" s="190" t="str">
        <f>ITEMS_nTech!C91</f>
        <v>Transport Freight - HCV2 Hydrogen-N</v>
      </c>
      <c r="C100" s="190" t="str">
        <f t="shared" si="13"/>
        <v>TFHCV2HGN-N</v>
      </c>
      <c r="D100" s="611" t="s">
        <v>1130</v>
      </c>
      <c r="E100" s="611" t="str">
        <f>TRP!B33</f>
        <v>TFHCV2</v>
      </c>
      <c r="F100" s="692">
        <f t="array" ref="F100">IFERROR(INDEX(Analytica!$F$59:$AY$138,MATCH($C100,Analytica!$B$59:$B$168,0),MATCH(F$15&amp;F$10,Analytica!$F$58:$AY$58&amp;Analytica!$F$51:'Analytica'!$AY$51,0)),"")</f>
        <v>0.29021815683943175</v>
      </c>
      <c r="G100" s="692">
        <f t="array" ref="G100">IFERROR(INDEX(Analytica!$F$59:$AY$138,MATCH($C100,Analytica!$B$59:$B$168,0),MATCH(G$15&amp;G$10,Analytica!$F$58:$AY$58&amp;Analytica!$F$51:'Analytica'!$AY$51,0)),"")</f>
        <v>0.3066738214799557</v>
      </c>
      <c r="H100" s="692">
        <f t="array" ref="H100">IFERROR(INDEX(Analytica!$F$59:$AY$138,MATCH($C100,Analytica!$B$59:$B$168,0),MATCH(H$15&amp;H$10,Analytica!$F$58:$AY$58&amp;Analytica!$F$51:'Analytica'!$AY$51,0)),"")</f>
        <v>0.33909763357148603</v>
      </c>
      <c r="I100" s="692">
        <f t="array" ref="I100">IFERROR(INDEX(Analytica!$F$59:$AY$138,MATCH($C100,Analytica!$B$59:$B$168,0),MATCH(I$15&amp;I$10,Analytica!$F$58:$AY$58&amp;Analytica!$F$51:'Analytica'!$AY$51,0)),"")</f>
        <v>0.37494952956490746</v>
      </c>
      <c r="J100" s="1001">
        <v>1</v>
      </c>
      <c r="K100" s="1001">
        <v>1</v>
      </c>
      <c r="L100" s="1001">
        <v>1</v>
      </c>
      <c r="M100" s="1001">
        <v>1</v>
      </c>
      <c r="N100" s="1001">
        <v>1</v>
      </c>
      <c r="O100" s="692">
        <f t="array" ref="O100">IFERROR(INDEX(Analytica!$F$59:$AY$138,MATCH($C100,Analytica!$B$59:$B$168,0),MATCH(O$15&amp;O$10,Analytica!$F$58:$AY$58&amp;Analytica!$F$51:'Analytica'!$AY$51,0)),"")</f>
        <v>4.8000000000000001E-2</v>
      </c>
      <c r="P100" s="619">
        <f>INDEX(CostProjections!$Q$9:$W$91,MATCH($C100,CostProjections!$N$9:$N$91,0),MATCH(P$15,CostProjections!$Q$8:$W$8,0))*0.001</f>
        <v>1357.5671301582997</v>
      </c>
      <c r="Q100" s="619">
        <f>INDEX(CostProjections!$Q$9:$W$91,MATCH($C100,CostProjections!$N$9:$N$91,0),MATCH(Q$15,CostProjections!$Q$8:$W$8,0))*0.001</f>
        <v>1047.6904499316231</v>
      </c>
      <c r="R100" s="619">
        <f>INDEX(CostProjections!$Q$9:$W$91,MATCH($C100,CostProjections!$N$9:$N$91,0),MATCH(R$15,CostProjections!$Q$8:$W$8,0))*0.001</f>
        <v>933.79442355014669</v>
      </c>
      <c r="S100" s="619">
        <f>INDEX(CostProjections!$Q$9:$W$91,MATCH($C100,CostProjections!$N$9:$N$91,0),MATCH(S$15,CostProjections!$Q$8:$W$8,0))*0.001</f>
        <v>848.40514128543089</v>
      </c>
      <c r="T100" s="619">
        <f>INDEX(CostProjections!$Q$9:$W$91,MATCH($C100,CostProjections!$N$9:$N$91,0),MATCH(T$15,CostProjections!$Q$8:$W$8,0))*0.001</f>
        <v>793.00791646743892</v>
      </c>
      <c r="U100" s="619">
        <f>INDEX(CostProjections!$Q$9:$W$91,MATCH($C100,CostProjections!$N$9:$N$91,0),MATCH(U$15,CostProjections!$Q$8:$W$8,0))*0.001</f>
        <v>767.80835348594303</v>
      </c>
      <c r="V100" s="619">
        <f>INDEX(CostProjections!$Z$9:$AF$91,MATCH($C100,CostProjections!$N$9:$N$91,0),MATCH(V$15,CostProjections!$Z$8:$AF$8,0))*0.001</f>
        <v>36.654312514274096</v>
      </c>
      <c r="W100" s="619">
        <f>INDEX(CostProjections!$Z$9:$AF$91,MATCH($C100,CostProjections!$N$9:$N$91,0),MATCH(W$15,CostProjections!$Z$8:$AF$8,0))*0.001</f>
        <v>25.212449435853959</v>
      </c>
      <c r="X100" s="619">
        <f>INDEX(CostProjections!$Z$9:$AF$91,MATCH($C100,CostProjections!$N$9:$N$91,0),MATCH(X$15,CostProjections!$Z$8:$AF$8,0))*0.001</f>
        <v>21.411213744620852</v>
      </c>
      <c r="Y100" s="619">
        <f>INDEX(CostProjections!$Z$9:$AF$91,MATCH($C100,CostProjections!$N$9:$N$91,0),MATCH(Y$15,CostProjections!$Z$8:$AF$8,0))*0.001</f>
        <v>20.730825544120464</v>
      </c>
      <c r="Z100" s="689">
        <f>Z93</f>
        <v>20</v>
      </c>
      <c r="AA100" s="689">
        <f t="shared" si="17"/>
        <v>20</v>
      </c>
      <c r="AB100" s="689">
        <f t="shared" si="20"/>
        <v>2025</v>
      </c>
      <c r="AC100" s="61">
        <f t="shared" ca="1" si="18"/>
        <v>83</v>
      </c>
      <c r="AD100" s="1">
        <v>1</v>
      </c>
    </row>
    <row r="101" spans="1:30" s="61" customFormat="1" ht="15" x14ac:dyDescent="0.25">
      <c r="A101" s="1" t="str">
        <f t="shared" si="19"/>
        <v/>
      </c>
      <c r="B101" s="190" t="str">
        <f>ITEMS_nTech!C92</f>
        <v>Transport Freight - HCV3 Hydrogen-N</v>
      </c>
      <c r="C101" s="190" t="str">
        <f t="shared" si="13"/>
        <v>TFHCV3HGN-N</v>
      </c>
      <c r="D101" s="611" t="s">
        <v>1130</v>
      </c>
      <c r="E101" s="611" t="str">
        <f>TRP!B34</f>
        <v>TFHCV3</v>
      </c>
      <c r="F101" s="692">
        <f t="array" ref="F101">IFERROR(INDEX(Analytica!$F$59:$AY$138,MATCH($C101,Analytica!$B$59:$B$168,0),MATCH(F$15&amp;F$10,Analytica!$F$58:$AY$58&amp;Analytica!$F$51:'Analytica'!$AY$51,0)),"")</f>
        <v>0.25373650265035735</v>
      </c>
      <c r="G101" s="692">
        <f t="array" ref="G101">IFERROR(INDEX(Analytica!$F$59:$AY$138,MATCH($C101,Analytica!$B$59:$B$168,0),MATCH(G$15&amp;G$10,Analytica!$F$58:$AY$58&amp;Analytica!$F$51:'Analytica'!$AY$51,0)),"")</f>
        <v>0.26812362039703852</v>
      </c>
      <c r="H101" s="692">
        <f t="array" ref="H101">IFERROR(INDEX(Analytica!$F$59:$AY$138,MATCH($C101,Analytica!$B$59:$B$168,0),MATCH(H$15&amp;H$10,Analytica!$F$58:$AY$58&amp;Analytica!$F$51:'Analytica'!$AY$51,0)),"")</f>
        <v>0.29647162168094532</v>
      </c>
      <c r="I101" s="692">
        <f t="array" ref="I101">IFERROR(INDEX(Analytica!$F$59:$AY$138,MATCH($C101,Analytica!$B$59:$B$168,0),MATCH(I$15&amp;I$10,Analytica!$F$58:$AY$58&amp;Analytica!$F$51:'Analytica'!$AY$51,0)),"")</f>
        <v>0.32781678216926086</v>
      </c>
      <c r="J101" s="1001">
        <v>1</v>
      </c>
      <c r="K101" s="1001">
        <v>1</v>
      </c>
      <c r="L101" s="1001">
        <v>1</v>
      </c>
      <c r="M101" s="1001">
        <v>1</v>
      </c>
      <c r="N101" s="1001">
        <v>1</v>
      </c>
      <c r="O101" s="692">
        <f t="array" ref="O101">IFERROR(INDEX(Analytica!$F$59:$AY$138,MATCH($C101,Analytica!$B$59:$B$168,0),MATCH(O$15&amp;O$10,Analytica!$F$58:$AY$58&amp;Analytica!$F$51:'Analytica'!$AY$51,0)),"")</f>
        <v>8.4999999999999992E-2</v>
      </c>
      <c r="P101" s="619">
        <f>INDEX(CostProjections!$Q$9:$W$91,MATCH($C101,CostProjections!$N$9:$N$91,0),MATCH(P$15,CostProjections!$Q$8:$W$8,0))*0.001</f>
        <v>1357.5671301582997</v>
      </c>
      <c r="Q101" s="619">
        <f>INDEX(CostProjections!$Q$9:$W$91,MATCH($C101,CostProjections!$N$9:$N$91,0),MATCH(Q$15,CostProjections!$Q$8:$W$8,0))*0.001</f>
        <v>1047.6904499316231</v>
      </c>
      <c r="R101" s="619">
        <f>INDEX(CostProjections!$Q$9:$W$91,MATCH($C101,CostProjections!$N$9:$N$91,0),MATCH(R$15,CostProjections!$Q$8:$W$8,0))*0.001</f>
        <v>933.79442355014669</v>
      </c>
      <c r="S101" s="619">
        <f>INDEX(CostProjections!$Q$9:$W$91,MATCH($C101,CostProjections!$N$9:$N$91,0),MATCH(S$15,CostProjections!$Q$8:$W$8,0))*0.001</f>
        <v>848.40514128543089</v>
      </c>
      <c r="T101" s="619">
        <f>INDEX(CostProjections!$Q$9:$W$91,MATCH($C101,CostProjections!$N$9:$N$91,0),MATCH(T$15,CostProjections!$Q$8:$W$8,0))*0.001</f>
        <v>793.00791646743892</v>
      </c>
      <c r="U101" s="619">
        <f>INDEX(CostProjections!$Q$9:$W$91,MATCH($C101,CostProjections!$N$9:$N$91,0),MATCH(U$15,CostProjections!$Q$8:$W$8,0))*0.001</f>
        <v>767.80835348594303</v>
      </c>
      <c r="V101" s="619">
        <f>INDEX(CostProjections!$Z$9:$AF$91,MATCH($C101,CostProjections!$N$9:$N$91,0),MATCH(V$15,CostProjections!$Z$8:$AF$8,0))*0.001</f>
        <v>36.654312514274096</v>
      </c>
      <c r="W101" s="619">
        <f>INDEX(CostProjections!$Z$9:$AF$91,MATCH($C101,CostProjections!$N$9:$N$91,0),MATCH(W$15,CostProjections!$Z$8:$AF$8,0))*0.001</f>
        <v>25.212449435853959</v>
      </c>
      <c r="X101" s="619">
        <f>INDEX(CostProjections!$Z$9:$AF$91,MATCH($C101,CostProjections!$N$9:$N$91,0),MATCH(X$15,CostProjections!$Z$8:$AF$8,0))*0.001</f>
        <v>21.411213744620852</v>
      </c>
      <c r="Y101" s="619">
        <f>INDEX(CostProjections!$Z$9:$AF$91,MATCH($C101,CostProjections!$N$9:$N$91,0),MATCH(Y$15,CostProjections!$Z$8:$AF$8,0))*0.001</f>
        <v>20.730825544120464</v>
      </c>
      <c r="Z101" s="689">
        <f t="shared" si="14"/>
        <v>20</v>
      </c>
      <c r="AA101" s="689">
        <f t="shared" si="17"/>
        <v>20</v>
      </c>
      <c r="AB101" s="689">
        <f t="shared" si="20"/>
        <v>2025</v>
      </c>
      <c r="AC101" s="61">
        <f t="shared" ca="1" si="18"/>
        <v>84</v>
      </c>
      <c r="AD101" s="1">
        <v>1</v>
      </c>
    </row>
    <row r="102" spans="1:30" s="61" customFormat="1" ht="15" x14ac:dyDescent="0.25">
      <c r="A102" s="1" t="str">
        <f t="shared" si="19"/>
        <v/>
      </c>
      <c r="B102" s="190" t="str">
        <f>ITEMS_nTech!C93</f>
        <v>Transport Freight - HCV4 Hydrogen-N</v>
      </c>
      <c r="C102" s="190" t="str">
        <f t="shared" si="13"/>
        <v>TFHCV4HGN-N</v>
      </c>
      <c r="D102" s="611" t="s">
        <v>1130</v>
      </c>
      <c r="E102" s="611" t="str">
        <f>TRP!B35</f>
        <v>TFHCV4</v>
      </c>
      <c r="F102" s="692">
        <f t="array" ref="F102">IFERROR(INDEX(Analytica!$F$59:$AY$138,MATCH($C102,Analytica!$B$59:$B$168,0),MATCH(F$15&amp;F$10,Analytica!$F$58:$AY$58&amp;Analytica!$F$51:'Analytica'!$AY$51,0)),"")</f>
        <v>0.21692148210446247</v>
      </c>
      <c r="G102" s="692">
        <f t="array" ref="G102">IFERROR(INDEX(Analytica!$F$59:$AY$138,MATCH($C102,Analytica!$B$59:$B$168,0),MATCH(G$15&amp;G$10,Analytica!$F$58:$AY$58&amp;Analytica!$F$51:'Analytica'!$AY$51,0)),"")</f>
        <v>0.22922115074584032</v>
      </c>
      <c r="H102" s="692">
        <f t="array" ref="H102">IFERROR(INDEX(Analytica!$F$59:$AY$138,MATCH($C102,Analytica!$B$59:$B$168,0),MATCH(H$15&amp;H$10,Analytica!$F$58:$AY$58&amp;Analytica!$F$51:'Analytica'!$AY$51,0)),"")</f>
        <v>0.25345609679803616</v>
      </c>
      <c r="I102" s="692">
        <f t="array" ref="I102">IFERROR(INDEX(Analytica!$F$59:$AY$138,MATCH($C102,Analytica!$B$59:$B$168,0),MATCH(I$15&amp;I$10,Analytica!$F$58:$AY$58&amp;Analytica!$F$51:'Analytica'!$AY$51,0)),"")</f>
        <v>0.28025333960269916</v>
      </c>
      <c r="J102" s="1001">
        <v>1</v>
      </c>
      <c r="K102" s="1001">
        <v>1</v>
      </c>
      <c r="L102" s="1001">
        <v>1</v>
      </c>
      <c r="M102" s="1001">
        <v>1</v>
      </c>
      <c r="N102" s="1001">
        <v>1</v>
      </c>
      <c r="O102" s="692">
        <f t="array" ref="O102">IFERROR(INDEX(Analytica!$F$59:$AY$138,MATCH($C102,Analytica!$B$59:$B$168,0),MATCH(O$15&amp;O$10,Analytica!$F$58:$AY$58&amp;Analytica!$F$51:'Analytica'!$AY$51,0)),"")</f>
        <v>8.4999999999999992E-2</v>
      </c>
      <c r="P102" s="619">
        <f>INDEX(CostProjections!$Q$9:$W$91,MATCH($C102,CostProjections!$N$9:$N$91,0),MATCH(P$15,CostProjections!$Q$8:$W$8,0))*0.001</f>
        <v>1579.8335702032878</v>
      </c>
      <c r="Q102" s="619">
        <f>INDEX(CostProjections!$Q$9:$W$91,MATCH($C102,CostProjections!$N$9:$N$91,0),MATCH(Q$15,CostProjections!$Q$8:$W$8,0))*0.001</f>
        <v>1529.5519273935265</v>
      </c>
      <c r="R102" s="619">
        <f>INDEX(CostProjections!$Q$9:$W$91,MATCH($C102,CostProjections!$N$9:$N$91,0),MATCH(R$15,CostProjections!$Q$8:$W$8,0))*0.001</f>
        <v>1133.0917186004326</v>
      </c>
      <c r="S102" s="619">
        <f>INDEX(CostProjections!$Q$9:$W$91,MATCH($C102,CostProjections!$N$9:$N$91,0),MATCH(S$15,CostProjections!$Q$8:$W$8,0))*0.001</f>
        <v>1041.6432244734401</v>
      </c>
      <c r="T102" s="619">
        <f>INDEX(CostProjections!$Q$9:$W$91,MATCH($C102,CostProjections!$N$9:$N$91,0),MATCH(T$15,CostProjections!$Q$8:$W$8,0))*0.001</f>
        <v>950.64603535893104</v>
      </c>
      <c r="U102" s="619">
        <f>INDEX(CostProjections!$Q$9:$W$91,MATCH($C102,CostProjections!$N$9:$N$91,0),MATCH(U$15,CostProjections!$Q$8:$W$8,0))*0.001</f>
        <v>902.60947330957936</v>
      </c>
      <c r="V102" s="619">
        <f>INDEX(CostProjections!$Z$9:$AF$91,MATCH($C102,CostProjections!$N$9:$N$91,0),MATCH(V$15,CostProjections!$Z$8:$AF$8,0))*0.001</f>
        <v>42.655506395488764</v>
      </c>
      <c r="W102" s="619">
        <f>INDEX(CostProjections!$Z$9:$AF$91,MATCH($C102,CostProjections!$N$9:$N$91,0),MATCH(W$15,CostProjections!$Z$8:$AF$8,0))*0.001</f>
        <v>30.593476402211682</v>
      </c>
      <c r="X102" s="619">
        <f>INDEX(CostProjections!$Z$9:$AF$91,MATCH($C102,CostProjections!$N$9:$N$91,0),MATCH(X$15,CostProjections!$Z$8:$AF$8,0))*0.001</f>
        <v>25.66744295469114</v>
      </c>
      <c r="Y102" s="619">
        <f>INDEX(CostProjections!$Z$9:$AF$91,MATCH($C102,CostProjections!$N$9:$N$91,0),MATCH(Y$15,CostProjections!$Z$8:$AF$8,0))*0.001</f>
        <v>24.370455779358643</v>
      </c>
      <c r="Z102" s="689">
        <f t="shared" si="14"/>
        <v>20</v>
      </c>
      <c r="AA102" s="689">
        <f t="shared" si="17"/>
        <v>20</v>
      </c>
      <c r="AB102" s="689">
        <f t="shared" si="20"/>
        <v>2025</v>
      </c>
      <c r="AC102" s="61">
        <f t="shared" ca="1" si="18"/>
        <v>85</v>
      </c>
      <c r="AD102" s="1">
        <v>1</v>
      </c>
    </row>
    <row r="103" spans="1:30" s="61" customFormat="1" ht="15" x14ac:dyDescent="0.25">
      <c r="A103" s="1" t="str">
        <f t="shared" si="19"/>
        <v/>
      </c>
      <c r="B103" s="190" t="str">
        <f>ITEMS_nTech!C94</f>
        <v>Transport Freight - HCV5 Hydrogen-N</v>
      </c>
      <c r="C103" s="190" t="str">
        <f t="shared" si="13"/>
        <v>TFHCV5HGN-N</v>
      </c>
      <c r="D103" s="611" t="s">
        <v>1130</v>
      </c>
      <c r="E103" s="611" t="str">
        <f>TRP!B36</f>
        <v>TFHCV5</v>
      </c>
      <c r="F103" s="692">
        <f t="array" ref="F103">IFERROR(INDEX(Analytica!$F$59:$AY$138,MATCH($C103,Analytica!$B$59:$B$168,0),MATCH(F$15&amp;F$10,Analytica!$F$58:$AY$58&amp;Analytica!$F$51:'Analytica'!$AY$51,0)),"")</f>
        <v>0.19984075748429125</v>
      </c>
      <c r="G103" s="692">
        <f t="array" ref="G103">IFERROR(INDEX(Analytica!$F$59:$AY$138,MATCH($C103,Analytica!$B$59:$B$168,0),MATCH(G$15&amp;G$10,Analytica!$F$58:$AY$58&amp;Analytica!$F$51:'Analytica'!$AY$51,0)),"")</f>
        <v>0.21117193166885198</v>
      </c>
      <c r="H103" s="692">
        <f t="array" ref="H103">IFERROR(INDEX(Analytica!$F$59:$AY$138,MATCH($C103,Analytica!$B$59:$B$168,0),MATCH(H$15&amp;H$10,Analytica!$F$58:$AY$58&amp;Analytica!$F$51:'Analytica'!$AY$51,0)),"")</f>
        <v>0.23349858152241262</v>
      </c>
      <c r="I103" s="692">
        <f t="array" ref="I103">IFERROR(INDEX(Analytica!$F$59:$AY$138,MATCH($C103,Analytica!$B$59:$B$168,0),MATCH(I$15&amp;I$10,Analytica!$F$58:$AY$58&amp;Analytica!$F$51:'Analytica'!$AY$51,0)),"")</f>
        <v>0.25818576901818791</v>
      </c>
      <c r="J103" s="1001">
        <v>1</v>
      </c>
      <c r="K103" s="1001">
        <v>1</v>
      </c>
      <c r="L103" s="1001">
        <v>1</v>
      </c>
      <c r="M103" s="1001">
        <v>1</v>
      </c>
      <c r="N103" s="1001">
        <v>1</v>
      </c>
      <c r="O103" s="692">
        <f t="array" ref="O103">IFERROR(INDEX(Analytica!$F$59:$AY$138,MATCH($C103,Analytica!$B$59:$B$168,0),MATCH(O$15&amp;O$10,Analytica!$F$58:$AY$58&amp;Analytica!$F$51:'Analytica'!$AY$51,0)),"")</f>
        <v>0.11</v>
      </c>
      <c r="P103" s="619">
        <f>INDEX(CostProjections!$Q$9:$W$91,MATCH($C103,CostProjections!$N$9:$N$91,0),MATCH(P$15,CostProjections!$Q$8:$W$8,0))*0.001</f>
        <v>2103.5808058416173</v>
      </c>
      <c r="Q103" s="619">
        <f>INDEX(CostProjections!$Q$9:$W$91,MATCH($C103,CostProjections!$N$9:$N$91,0),MATCH(Q$15,CostProjections!$Q$8:$W$8,0))*0.001</f>
        <v>1852.7755101623939</v>
      </c>
      <c r="R103" s="619">
        <f>INDEX(CostProjections!$Q$9:$W$91,MATCH($C103,CostProjections!$N$9:$N$91,0),MATCH(R$15,CostProjections!$Q$8:$W$8,0))*0.001</f>
        <v>1739.5876503793534</v>
      </c>
      <c r="S103" s="619">
        <f>INDEX(CostProjections!$Q$9:$W$91,MATCH($C103,CostProjections!$N$9:$N$91,0),MATCH(S$15,CostProjections!$Q$8:$W$8,0))*0.001</f>
        <v>1651.2904097272744</v>
      </c>
      <c r="T103" s="619">
        <f>INDEX(CostProjections!$Q$9:$W$91,MATCH($C103,CostProjections!$N$9:$N$91,0),MATCH(T$15,CostProjections!$Q$8:$W$8,0))*0.001</f>
        <v>1562.9931690751896</v>
      </c>
      <c r="U103" s="619">
        <f>INDEX(CostProjections!$Q$9:$W$91,MATCH($C103,CostProjections!$N$9:$N$91,0),MATCH(U$15,CostProjections!$Q$8:$W$8,0))*0.001</f>
        <v>1537.4540561751762</v>
      </c>
      <c r="V103" s="619">
        <f>INDEX(CostProjections!$Z$9:$AF$91,MATCH($C103,CostProjections!$N$9:$N$91,0),MATCH(V$15,CostProjections!$Z$8:$AF$8,0))*0.001</f>
        <v>56.796681757723668</v>
      </c>
      <c r="W103" s="619">
        <f>INDEX(CostProjections!$Z$9:$AF$91,MATCH($C103,CostProjections!$N$9:$N$91,0),MATCH(W$15,CostProjections!$Z$8:$AF$8,0))*0.001</f>
        <v>46.968866560242539</v>
      </c>
      <c r="X103" s="619">
        <f>INDEX(CostProjections!$Z$9:$AF$91,MATCH($C103,CostProjections!$N$9:$N$91,0),MATCH(X$15,CostProjections!$Z$8:$AF$8,0))*0.001</f>
        <v>42.200815565030119</v>
      </c>
      <c r="Y103" s="619">
        <f>INDEX(CostProjections!$Z$9:$AF$91,MATCH($C103,CostProjections!$N$9:$N$91,0),MATCH(Y$15,CostProjections!$Z$8:$AF$8,0))*0.001</f>
        <v>41.511259516729766</v>
      </c>
      <c r="Z103" s="689">
        <f t="shared" si="14"/>
        <v>20</v>
      </c>
      <c r="AA103" s="689">
        <f t="shared" si="17"/>
        <v>20</v>
      </c>
      <c r="AB103" s="689">
        <f t="shared" si="20"/>
        <v>2025</v>
      </c>
      <c r="AC103" s="61">
        <f t="shared" ca="1" si="18"/>
        <v>86</v>
      </c>
      <c r="AD103" s="1">
        <v>1</v>
      </c>
    </row>
    <row r="104" spans="1:30" s="61" customFormat="1" ht="15" x14ac:dyDescent="0.25">
      <c r="A104" s="1" t="str">
        <f t="shared" si="19"/>
        <v/>
      </c>
      <c r="B104" s="190" t="str">
        <f>ITEMS_nTech!C95</f>
        <v>Transport Freight - HCV6 Hydrogen-N</v>
      </c>
      <c r="C104" s="190" t="str">
        <f t="shared" si="13"/>
        <v>TFHCV6HGN-N</v>
      </c>
      <c r="D104" s="611" t="s">
        <v>1130</v>
      </c>
      <c r="E104" s="611" t="str">
        <f>TRP!B37</f>
        <v>TFHCV6</v>
      </c>
      <c r="F104" s="692">
        <f t="array" ref="F104">IFERROR(INDEX(Analytica!$F$59:$AY$138,MATCH($C104,Analytica!$B$59:$B$168,0),MATCH(F$15&amp;F$10,Analytica!$F$58:$AY$58&amp;Analytica!$F$51:'Analytica'!$AY$51,0)),"")</f>
        <v>0.13784095817408171</v>
      </c>
      <c r="G104" s="692">
        <f t="array" ref="G104">IFERROR(INDEX(Analytica!$F$59:$AY$138,MATCH($C104,Analytica!$B$59:$B$168,0),MATCH(G$15&amp;G$10,Analytica!$F$58:$AY$58&amp;Analytica!$F$51:'Analytica'!$AY$51,0)),"")</f>
        <v>0.1456566806848415</v>
      </c>
      <c r="H104" s="692">
        <f t="array" ref="H104">IFERROR(INDEX(Analytica!$F$59:$AY$138,MATCH($C104,Analytica!$B$59:$B$168,0),MATCH(H$15&amp;H$10,Analytica!$F$58:$AY$58&amp;Analytica!$F$51:'Analytica'!$AY$51,0)),"")</f>
        <v>0.16105657631861348</v>
      </c>
      <c r="I104" s="692">
        <f t="array" ref="I104">IFERROR(INDEX(Analytica!$F$59:$AY$138,MATCH($C104,Analytica!$B$59:$B$168,0),MATCH(I$15&amp;I$10,Analytica!$F$58:$AY$58&amp;Analytica!$F$51:'Analytica'!$AY$51,0)),"")</f>
        <v>0.17808466218997712</v>
      </c>
      <c r="J104" s="1001">
        <v>1</v>
      </c>
      <c r="K104" s="1001">
        <v>1</v>
      </c>
      <c r="L104" s="1001">
        <v>1</v>
      </c>
      <c r="M104" s="1001">
        <v>1</v>
      </c>
      <c r="N104" s="1001">
        <v>1</v>
      </c>
      <c r="O104" s="692">
        <f t="array" ref="O104">IFERROR(INDEX(Analytica!$F$59:$AY$138,MATCH($C104,Analytica!$B$59:$B$168,0),MATCH(O$15&amp;O$10,Analytica!$F$58:$AY$58&amp;Analytica!$F$51:'Analytica'!$AY$51,0)),"")</f>
        <v>0.11</v>
      </c>
      <c r="P104" s="619">
        <f>INDEX(CostProjections!$Q$9:$W$91,MATCH($C104,CostProjections!$N$9:$N$91,0),MATCH(P$15,CostProjections!$Q$8:$W$8,0))*0.001</f>
        <v>2103.5808058416173</v>
      </c>
      <c r="Q104" s="619">
        <f>INDEX(CostProjections!$Q$9:$W$91,MATCH($C104,CostProjections!$N$9:$N$91,0),MATCH(Q$15,CostProjections!$Q$8:$W$8,0))*0.001</f>
        <v>1852.7755101623939</v>
      </c>
      <c r="R104" s="619">
        <f>INDEX(CostProjections!$Q$9:$W$91,MATCH($C104,CostProjections!$N$9:$N$91,0),MATCH(R$15,CostProjections!$Q$8:$W$8,0))*0.001</f>
        <v>1739.5876503793534</v>
      </c>
      <c r="S104" s="619">
        <f>INDEX(CostProjections!$Q$9:$W$91,MATCH($C104,CostProjections!$N$9:$N$91,0),MATCH(S$15,CostProjections!$Q$8:$W$8,0))*0.001</f>
        <v>1651.2904097272744</v>
      </c>
      <c r="T104" s="619">
        <f>INDEX(CostProjections!$Q$9:$W$91,MATCH($C104,CostProjections!$N$9:$N$91,0),MATCH(T$15,CostProjections!$Q$8:$W$8,0))*0.001</f>
        <v>1562.9931690751896</v>
      </c>
      <c r="U104" s="619">
        <f>INDEX(CostProjections!$Q$9:$W$91,MATCH($C104,CostProjections!$N$9:$N$91,0),MATCH(U$15,CostProjections!$Q$8:$W$8,0))*0.001</f>
        <v>1537.4540561751762</v>
      </c>
      <c r="V104" s="619">
        <f>INDEX(CostProjections!$Z$9:$AF$91,MATCH($C104,CostProjections!$N$9:$N$91,0),MATCH(V$15,CostProjections!$Z$8:$AF$8,0))*0.001</f>
        <v>56.796681757723668</v>
      </c>
      <c r="W104" s="619">
        <f>INDEX(CostProjections!$Z$9:$AF$91,MATCH($C104,CostProjections!$N$9:$N$91,0),MATCH(W$15,CostProjections!$Z$8:$AF$8,0))*0.001</f>
        <v>46.968866560242539</v>
      </c>
      <c r="X104" s="619">
        <f>INDEX(CostProjections!$Z$9:$AF$91,MATCH($C104,CostProjections!$N$9:$N$91,0),MATCH(X$15,CostProjections!$Z$8:$AF$8,0))*0.001</f>
        <v>42.200815565030119</v>
      </c>
      <c r="Y104" s="619">
        <f>INDEX(CostProjections!$Z$9:$AF$91,MATCH($C104,CostProjections!$N$9:$N$91,0),MATCH(Y$15,CostProjections!$Z$8:$AF$8,0))*0.001</f>
        <v>41.511259516729766</v>
      </c>
      <c r="Z104" s="689">
        <f t="shared" si="14"/>
        <v>20</v>
      </c>
      <c r="AA104" s="689">
        <f t="shared" si="17"/>
        <v>20</v>
      </c>
      <c r="AB104" s="689">
        <f t="shared" si="20"/>
        <v>2025</v>
      </c>
      <c r="AC104" s="61">
        <f t="shared" ca="1" si="18"/>
        <v>87</v>
      </c>
      <c r="AD104" s="1">
        <v>1</v>
      </c>
    </row>
    <row r="105" spans="1:30" s="61" customFormat="1" ht="15" x14ac:dyDescent="0.25">
      <c r="A105" s="1" t="str">
        <f t="shared" si="19"/>
        <v/>
      </c>
      <c r="B105" s="190" t="str">
        <f>ITEMS_nTech!C96</f>
        <v>Transport Freight - HCV7 Hydrogen-N</v>
      </c>
      <c r="C105" s="190" t="str">
        <f t="shared" si="13"/>
        <v>TFHCV7HGN-N</v>
      </c>
      <c r="D105" s="611" t="s">
        <v>1130</v>
      </c>
      <c r="E105" s="611" t="str">
        <f>TRP!B38</f>
        <v>TFHCV7</v>
      </c>
      <c r="F105" s="692">
        <f t="array" ref="F105">IFERROR(INDEX(Analytica!$F$59:$AY$138,MATCH($C105,Analytica!$B$59:$B$168,0),MATCH(F$15&amp;F$10,Analytica!$F$58:$AY$58&amp;Analytica!$F$51:'Analytica'!$AY$51,0)),"")</f>
        <v>0.14849243557825104</v>
      </c>
      <c r="G105" s="692">
        <f t="array" ref="G105">IFERROR(INDEX(Analytica!$F$59:$AY$138,MATCH($C105,Analytica!$B$59:$B$168,0),MATCH(G$15&amp;G$10,Analytica!$F$58:$AY$58&amp;Analytica!$F$51:'Analytica'!$AY$51,0)),"")</f>
        <v>0.15691210769022793</v>
      </c>
      <c r="H105" s="692">
        <f t="array" ref="H105">IFERROR(INDEX(Analytica!$F$59:$AY$138,MATCH($C105,Analytica!$B$59:$B$168,0),MATCH(H$15&amp;H$10,Analytica!$F$58:$AY$58&amp;Analytica!$F$51:'Analytica'!$AY$51,0)),"")</f>
        <v>0.17350200985429787</v>
      </c>
      <c r="I105" s="692">
        <f t="array" ref="I105">IFERROR(INDEX(Analytica!$F$59:$AY$138,MATCH($C105,Analytica!$B$59:$B$168,0),MATCH(I$15&amp;I$10,Analytica!$F$58:$AY$58&amp;Analytica!$F$51:'Analytica'!$AY$51,0)),"")</f>
        <v>0.19184591849922369</v>
      </c>
      <c r="J105" s="1001">
        <v>1</v>
      </c>
      <c r="K105" s="1001">
        <v>1</v>
      </c>
      <c r="L105" s="1001">
        <v>1</v>
      </c>
      <c r="M105" s="1001">
        <v>1</v>
      </c>
      <c r="N105" s="1001">
        <v>1</v>
      </c>
      <c r="O105" s="692">
        <f t="array" ref="O105">IFERROR(INDEX(Analytica!$F$59:$AY$138,MATCH($C105,Analytica!$B$59:$B$168,0),MATCH(O$15&amp;O$10,Analytica!$F$58:$AY$58&amp;Analytica!$F$51:'Analytica'!$AY$51,0)),"")</f>
        <v>0.16</v>
      </c>
      <c r="P105" s="619">
        <f>INDEX(CostProjections!$Q$9:$W$91,MATCH($C105,CostProjections!$N$9:$N$91,0),MATCH(P$15,CostProjections!$Q$8:$W$8,0))*0.001</f>
        <v>3580.960328716315</v>
      </c>
      <c r="Q105" s="619">
        <f>INDEX(CostProjections!$Q$9:$W$91,MATCH($C105,CostProjections!$N$9:$N$91,0),MATCH(Q$15,CostProjections!$Q$8:$W$8,0))*0.001</f>
        <v>3132.4266457031945</v>
      </c>
      <c r="R105" s="619">
        <f>INDEX(CostProjections!$Q$9:$W$91,MATCH($C105,CostProjections!$N$9:$N$91,0),MATCH(R$15,CostProjections!$Q$8:$W$8,0))*0.001</f>
        <v>2918.1613954098348</v>
      </c>
      <c r="S105" s="619">
        <f>INDEX(CostProjections!$Q$9:$W$91,MATCH($C105,CostProjections!$N$9:$N$91,0),MATCH(S$15,CostProjections!$Q$8:$W$8,0))*0.001</f>
        <v>2768.3539457765969</v>
      </c>
      <c r="T105" s="619">
        <f>INDEX(CostProjections!$Q$9:$W$91,MATCH($C105,CostProjections!$N$9:$N$91,0),MATCH(T$15,CostProjections!$Q$8:$W$8,0))*0.001</f>
        <v>2618.5464961433572</v>
      </c>
      <c r="U105" s="619">
        <f>INDEX(CostProjections!$Q$9:$W$91,MATCH($C105,CostProjections!$N$9:$N$91,0),MATCH(U$15,CostProjections!$Q$8:$W$8,0))*0.001</f>
        <v>2562.2440838872394</v>
      </c>
      <c r="V105" s="619">
        <f>INDEX(CostProjections!$Z$9:$AF$91,MATCH($C105,CostProjections!$N$9:$N$91,0),MATCH(V$15,CostProjections!$Z$8:$AF$8,0))*0.001</f>
        <v>96.685928875340494</v>
      </c>
      <c r="W105" s="619">
        <f>INDEX(CostProjections!$Z$9:$AF$91,MATCH($C105,CostProjections!$N$9:$N$91,0),MATCH(W$15,CostProjections!$Z$8:$AF$8,0))*0.001</f>
        <v>78.790357676065526</v>
      </c>
      <c r="X105" s="619">
        <f>INDEX(CostProjections!$Z$9:$AF$91,MATCH($C105,CostProjections!$N$9:$N$91,0),MATCH(X$15,CostProjections!$Z$8:$AF$8,0))*0.001</f>
        <v>70.700755395870644</v>
      </c>
      <c r="Y105" s="619">
        <f>INDEX(CostProjections!$Z$9:$AF$91,MATCH($C105,CostProjections!$N$9:$N$91,0),MATCH(Y$15,CostProjections!$Z$8:$AF$8,0))*0.001</f>
        <v>69.18059026495547</v>
      </c>
      <c r="Z105" s="689">
        <f t="shared" si="14"/>
        <v>20</v>
      </c>
      <c r="AA105" s="689">
        <f t="shared" si="17"/>
        <v>20</v>
      </c>
      <c r="AB105" s="689">
        <f t="shared" si="20"/>
        <v>2025</v>
      </c>
      <c r="AC105" s="61">
        <f t="shared" ca="1" si="18"/>
        <v>88</v>
      </c>
      <c r="AD105" s="1">
        <v>1</v>
      </c>
    </row>
    <row r="106" spans="1:30" s="61" customFormat="1" ht="15" x14ac:dyDescent="0.25">
      <c r="A106" s="1" t="str">
        <f t="shared" si="19"/>
        <v/>
      </c>
      <c r="B106" s="190" t="str">
        <f>ITEMS_nTech!C97</f>
        <v>Transport Freight - HCV8 Hydrogen-N</v>
      </c>
      <c r="C106" s="190" t="str">
        <f t="shared" si="13"/>
        <v>TFHCV8HGN-N</v>
      </c>
      <c r="D106" s="611" t="s">
        <v>1130</v>
      </c>
      <c r="E106" s="611" t="str">
        <f>TRP!B39</f>
        <v>TFHCV8</v>
      </c>
      <c r="F106" s="692">
        <f t="array" ref="F106">IFERROR(INDEX(Analytica!$F$59:$AY$138,MATCH($C106,Analytica!$B$59:$B$168,0),MATCH(F$15&amp;F$10,Analytica!$F$58:$AY$58&amp;Analytica!$F$51:'Analytica'!$AY$51,0)),"")</f>
        <v>0.14611835554452188</v>
      </c>
      <c r="G106" s="692">
        <f t="array" ref="G106">IFERROR(INDEX(Analytica!$F$59:$AY$138,MATCH($C106,Analytica!$B$59:$B$168,0),MATCH(G$15&amp;G$10,Analytica!$F$58:$AY$58&amp;Analytica!$F$51:'Analytica'!$AY$51,0)),"")</f>
        <v>0.15440341490418077</v>
      </c>
      <c r="H106" s="692">
        <f t="array" ref="H106">IFERROR(INDEX(Analytica!$F$59:$AY$138,MATCH($C106,Analytica!$B$59:$B$168,0),MATCH(H$15&amp;H$10,Analytica!$F$58:$AY$58&amp;Analytica!$F$51:'Analytica'!$AY$51,0)),"")</f>
        <v>0.17072807961466688</v>
      </c>
      <c r="I106" s="692">
        <f t="array" ref="I106">IFERROR(INDEX(Analytica!$F$59:$AY$138,MATCH($C106,Analytica!$B$59:$B$168,0),MATCH(I$15&amp;I$10,Analytica!$F$58:$AY$58&amp;Analytica!$F$51:'Analytica'!$AY$51,0)),"")</f>
        <v>0.18877870795150914</v>
      </c>
      <c r="J106" s="1001">
        <v>1</v>
      </c>
      <c r="K106" s="1001">
        <v>1</v>
      </c>
      <c r="L106" s="1001">
        <v>1</v>
      </c>
      <c r="M106" s="1001">
        <v>1</v>
      </c>
      <c r="N106" s="1001">
        <v>1</v>
      </c>
      <c r="O106" s="692">
        <f t="array" ref="O106">IFERROR(INDEX(Analytica!$F$59:$AY$138,MATCH($C106,Analytica!$B$59:$B$168,0),MATCH(O$15&amp;O$10,Analytica!$F$58:$AY$58&amp;Analytica!$F$51:'Analytica'!$AY$51,0)),"")</f>
        <v>0.16</v>
      </c>
      <c r="P106" s="619">
        <f>INDEX(CostProjections!$Q$9:$W$91,MATCH($C106,CostProjections!$N$9:$N$91,0),MATCH(P$15,CostProjections!$Q$8:$W$8,0))*0.001</f>
        <v>3580.960328716315</v>
      </c>
      <c r="Q106" s="619">
        <f>INDEX(CostProjections!$Q$9:$W$91,MATCH($C106,CostProjections!$N$9:$N$91,0),MATCH(Q$15,CostProjections!$Q$8:$W$8,0))*0.001</f>
        <v>3132.4266457031945</v>
      </c>
      <c r="R106" s="619">
        <f>INDEX(CostProjections!$Q$9:$W$91,MATCH($C106,CostProjections!$N$9:$N$91,0),MATCH(R$15,CostProjections!$Q$8:$W$8,0))*0.001</f>
        <v>2918.1613954098348</v>
      </c>
      <c r="S106" s="619">
        <f>INDEX(CostProjections!$Q$9:$W$91,MATCH($C106,CostProjections!$N$9:$N$91,0),MATCH(S$15,CostProjections!$Q$8:$W$8,0))*0.001</f>
        <v>2768.3539457765969</v>
      </c>
      <c r="T106" s="619">
        <f>INDEX(CostProjections!$Q$9:$W$91,MATCH($C106,CostProjections!$N$9:$N$91,0),MATCH(T$15,CostProjections!$Q$8:$W$8,0))*0.001</f>
        <v>2618.5464961433572</v>
      </c>
      <c r="U106" s="619">
        <f>INDEX(CostProjections!$Q$9:$W$91,MATCH($C106,CostProjections!$N$9:$N$91,0),MATCH(U$15,CostProjections!$Q$8:$W$8,0))*0.001</f>
        <v>2562.2440838872394</v>
      </c>
      <c r="V106" s="619">
        <f>INDEX(CostProjections!$Z$9:$AF$91,MATCH($C106,CostProjections!$N$9:$N$91,0),MATCH(V$15,CostProjections!$Z$8:$AF$8,0))*0.001</f>
        <v>96.685928875340494</v>
      </c>
      <c r="W106" s="619">
        <f>INDEX(CostProjections!$Z$9:$AF$91,MATCH($C106,CostProjections!$N$9:$N$91,0),MATCH(W$15,CostProjections!$Z$8:$AF$8,0))*0.001</f>
        <v>78.790357676065526</v>
      </c>
      <c r="X106" s="619">
        <f>INDEX(CostProjections!$Z$9:$AF$91,MATCH($C106,CostProjections!$N$9:$N$91,0),MATCH(X$15,CostProjections!$Z$8:$AF$8,0))*0.001</f>
        <v>70.700755395870644</v>
      </c>
      <c r="Y106" s="619">
        <f>INDEX(CostProjections!$Z$9:$AF$91,MATCH($C106,CostProjections!$N$9:$N$91,0),MATCH(Y$15,CostProjections!$Z$8:$AF$8,0))*0.001</f>
        <v>69.18059026495547</v>
      </c>
      <c r="Z106" s="689">
        <f t="shared" si="14"/>
        <v>20</v>
      </c>
      <c r="AA106" s="689">
        <f t="shared" si="17"/>
        <v>20</v>
      </c>
      <c r="AB106" s="689">
        <f t="shared" si="20"/>
        <v>2025</v>
      </c>
      <c r="AC106" s="61">
        <f t="shared" ca="1" si="18"/>
        <v>89</v>
      </c>
      <c r="AD106" s="1">
        <v>1</v>
      </c>
    </row>
    <row r="107" spans="1:30" s="61" customFormat="1" ht="15" x14ac:dyDescent="0.25">
      <c r="A107" s="1" t="str">
        <f t="shared" si="19"/>
        <v/>
      </c>
      <c r="B107" s="190" t="str">
        <f>ITEMS_nTech!C98</f>
        <v>Transport Freight - HCV9 Hydrogen-N</v>
      </c>
      <c r="C107" s="190" t="str">
        <f t="shared" si="13"/>
        <v>TFHCV9HGN-N</v>
      </c>
      <c r="D107" s="611" t="s">
        <v>1130</v>
      </c>
      <c r="E107" s="611" t="str">
        <f>TRP!B40</f>
        <v>TFHCV9</v>
      </c>
      <c r="F107" s="692">
        <f t="array" ref="F107">IFERROR(INDEX(Analytica!$F$59:$AY$138,MATCH($C107,Analytica!$B$59:$B$168,0),MATCH(F$15&amp;F$10,Analytica!$F$58:$AY$58&amp;Analytica!$F$51:'Analytica'!$AY$51,0)),"")</f>
        <v>0.11481774903280431</v>
      </c>
      <c r="G107" s="692">
        <f t="array" ref="G107">IFERROR(INDEX(Analytica!$F$59:$AY$138,MATCH($C107,Analytica!$B$59:$B$168,0),MATCH(G$15&amp;G$10,Analytica!$F$58:$AY$58&amp;Analytica!$F$51:'Analytica'!$AY$51,0)),"")</f>
        <v>0.12132803217097823</v>
      </c>
      <c r="H107" s="692">
        <f t="array" ref="H107">IFERROR(INDEX(Analytica!$F$59:$AY$138,MATCH($C107,Analytica!$B$59:$B$168,0),MATCH(H$15&amp;H$10,Analytica!$F$58:$AY$58&amp;Analytica!$F$51:'Analytica'!$AY$51,0)),"")</f>
        <v>0.13415572413882385</v>
      </c>
      <c r="I107" s="692">
        <f t="array" ref="I107">IFERROR(INDEX(Analytica!$F$59:$AY$138,MATCH($C107,Analytica!$B$59:$B$168,0),MATCH(I$15&amp;I$10,Analytica!$F$58:$AY$58&amp;Analytica!$F$51:'Analytica'!$AY$51,0)),"")</f>
        <v>0.14833965405331348</v>
      </c>
      <c r="J107" s="1001">
        <v>1</v>
      </c>
      <c r="K107" s="1001">
        <v>1</v>
      </c>
      <c r="L107" s="1001">
        <v>1</v>
      </c>
      <c r="M107" s="1001">
        <v>1</v>
      </c>
      <c r="N107" s="1001">
        <v>1</v>
      </c>
      <c r="O107" s="692">
        <f t="array" ref="O107">IFERROR(INDEX(Analytica!$F$59:$AY$138,MATCH($C107,Analytica!$B$59:$B$168,0),MATCH(O$15&amp;O$10,Analytica!$F$58:$AY$58&amp;Analytica!$F$51:'Analytica'!$AY$51,0)),"")</f>
        <v>0.18</v>
      </c>
      <c r="P107" s="619">
        <f>INDEX(CostProjections!$Q$9:$W$91,MATCH($C107,CostProjections!$N$9:$N$91,0),MATCH(P$15,CostProjections!$Q$8:$W$8,0))*0.001</f>
        <v>3580.960328716315</v>
      </c>
      <c r="Q107" s="619">
        <f>INDEX(CostProjections!$Q$9:$W$91,MATCH($C107,CostProjections!$N$9:$N$91,0),MATCH(Q$15,CostProjections!$Q$8:$W$8,0))*0.001</f>
        <v>3132.4266457031945</v>
      </c>
      <c r="R107" s="619">
        <f>INDEX(CostProjections!$Q$9:$W$91,MATCH($C107,CostProjections!$N$9:$N$91,0),MATCH(R$15,CostProjections!$Q$8:$W$8,0))*0.001</f>
        <v>2918.1613954098348</v>
      </c>
      <c r="S107" s="619">
        <f>INDEX(CostProjections!$Q$9:$W$91,MATCH($C107,CostProjections!$N$9:$N$91,0),MATCH(S$15,CostProjections!$Q$8:$W$8,0))*0.001</f>
        <v>2768.3539457765969</v>
      </c>
      <c r="T107" s="619">
        <f>INDEX(CostProjections!$Q$9:$W$91,MATCH($C107,CostProjections!$N$9:$N$91,0),MATCH(T$15,CostProjections!$Q$8:$W$8,0))*0.001</f>
        <v>2618.5464961433572</v>
      </c>
      <c r="U107" s="619">
        <f>INDEX(CostProjections!$Q$9:$W$91,MATCH($C107,CostProjections!$N$9:$N$91,0),MATCH(U$15,CostProjections!$Q$8:$W$8,0))*0.001</f>
        <v>2562.2440838872394</v>
      </c>
      <c r="V107" s="619">
        <f>INDEX(CostProjections!$Z$9:$AF$91,MATCH($C107,CostProjections!$N$9:$N$91,0),MATCH(V$15,CostProjections!$Z$8:$AF$8,0))*0.001</f>
        <v>96.685928875340494</v>
      </c>
      <c r="W107" s="619">
        <f>INDEX(CostProjections!$Z$9:$AF$91,MATCH($C107,CostProjections!$N$9:$N$91,0),MATCH(W$15,CostProjections!$Z$8:$AF$8,0))*0.001</f>
        <v>78.790357676065526</v>
      </c>
      <c r="X107" s="619">
        <f>INDEX(CostProjections!$Z$9:$AF$91,MATCH($C107,CostProjections!$N$9:$N$91,0),MATCH(X$15,CostProjections!$Z$8:$AF$8,0))*0.001</f>
        <v>70.700755395870644</v>
      </c>
      <c r="Y107" s="619">
        <f>INDEX(CostProjections!$Z$9:$AF$91,MATCH($C107,CostProjections!$N$9:$N$91,0),MATCH(Y$15,CostProjections!$Z$8:$AF$8,0))*0.001</f>
        <v>69.18059026495547</v>
      </c>
      <c r="Z107" s="689">
        <f t="shared" si="14"/>
        <v>20</v>
      </c>
      <c r="AA107" s="689">
        <f t="shared" si="17"/>
        <v>20</v>
      </c>
      <c r="AB107" s="689">
        <f t="shared" si="20"/>
        <v>2025</v>
      </c>
      <c r="AC107" s="61">
        <f t="shared" ca="1" si="18"/>
        <v>90</v>
      </c>
      <c r="AD107" s="1">
        <v>1</v>
      </c>
    </row>
    <row r="108" spans="1:30" s="617" customFormat="1" x14ac:dyDescent="0.2">
      <c r="A108" s="1" t="str">
        <f t="shared" si="19"/>
        <v/>
      </c>
      <c r="B108" s="190" t="s">
        <v>1124</v>
      </c>
      <c r="V108" s="619" t="str">
        <f t="array" ref="V108">IFERROR(INDEX(Analytica!$F$59:$AY$138,MATCH($C108,Analytica!$B$59:$B$168,0),MATCH(V$15&amp;V$10,Analytica!$F$58:$AY$58&amp;Analytica!$F$51:'Analytica'!$AY$51,0)),"")</f>
        <v/>
      </c>
      <c r="W108" s="619" t="str">
        <f t="array" ref="W108">IFERROR(INDEX(Analytica!$F$59:$AY$138,MATCH($C108,Analytica!$B$59:$B$168,0),MATCH(W$15&amp;W$10,Analytica!$F$58:$AY$58&amp;Analytica!$F$51:'Analytica'!$AY$51,0)),"")</f>
        <v/>
      </c>
      <c r="X108" s="619" t="str">
        <f t="array" ref="X108">IFERROR(INDEX(Analytica!$F$59:$AY$138,MATCH($C108,Analytica!$B$59:$B$168,0),MATCH(X$15&amp;X$10,Analytica!$F$58:$AY$58&amp;Analytica!$F$51:'Analytica'!$AY$51,0)),"")</f>
        <v/>
      </c>
      <c r="Y108" s="619" t="str">
        <f t="array" ref="Y108">IFERROR(INDEX(Analytica!$F$59:$AY$138,MATCH($C108,Analytica!$B$59:$B$168,0),MATCH(Y$15&amp;Y$10,Analytica!$F$58:$AY$58&amp;Analytica!$F$51:'Analytica'!$AY$51,0)),"")</f>
        <v/>
      </c>
      <c r="AC108" s="694">
        <f t="shared" ca="1" si="18"/>
        <v>91</v>
      </c>
    </row>
    <row r="109" spans="1:30" x14ac:dyDescent="0.2">
      <c r="A109" s="1" t="str">
        <f t="shared" si="19"/>
        <v>*</v>
      </c>
      <c r="B109" s="190" t="str">
        <f>ITEMS_nTech!C100</f>
        <v>Transport Freight - Rail Corridor Gas-N</v>
      </c>
      <c r="C109" s="190" t="str">
        <f>E109&amp;RIGHT(D109,3)&amp;"-N"</f>
        <v>TFRCOGAS-N</v>
      </c>
      <c r="D109" s="611" t="str">
        <f>$G$6</f>
        <v>TRAGAS</v>
      </c>
      <c r="E109" s="611" t="str">
        <f>TRP!$B$41</f>
        <v>TFRCO</v>
      </c>
      <c r="F109" s="692">
        <f>SUMIF(Analytica!$B$59:$B$137,$C109,Analytica!AB$59:AB$143)</f>
        <v>0</v>
      </c>
      <c r="G109" s="692">
        <f>SUMIF(Analytica!$B$59:$B$137,$C109,Analytica!AC$59:AC$148)</f>
        <v>0</v>
      </c>
      <c r="H109" s="692">
        <f>SUMIF(Analytica!$B$59:$B$137,$C109,Analytica!AD$59:AD$137)</f>
        <v>0</v>
      </c>
      <c r="I109" s="692">
        <f>SUMIF(Analytica!$B$59:$B$137,$C109,Analytica!AE$59:AE$148)</f>
        <v>0</v>
      </c>
      <c r="J109" s="1001">
        <v>1</v>
      </c>
      <c r="K109" s="1001">
        <v>1</v>
      </c>
      <c r="L109" s="1001">
        <v>1</v>
      </c>
      <c r="M109" s="1001">
        <v>1</v>
      </c>
      <c r="N109" s="1001">
        <v>1</v>
      </c>
      <c r="O109" s="691">
        <v>1</v>
      </c>
      <c r="P109" s="619">
        <v>1</v>
      </c>
      <c r="Q109" s="619">
        <f t="shared" ref="Q109:U109" si="24">P109</f>
        <v>1</v>
      </c>
      <c r="R109" s="619">
        <f t="shared" si="24"/>
        <v>1</v>
      </c>
      <c r="S109" s="619">
        <f t="shared" si="24"/>
        <v>1</v>
      </c>
      <c r="T109" s="619">
        <f t="shared" si="24"/>
        <v>1</v>
      </c>
      <c r="U109" s="619">
        <f t="shared" si="24"/>
        <v>1</v>
      </c>
      <c r="V109" s="619" t="str">
        <f t="array" ref="V109">IFERROR(INDEX(Analytica!$F$59:$AY$138,MATCH($C109,Analytica!$B$59:$B$168,0),MATCH(V$15&amp;V$10,Analytica!$F$58:$AY$58&amp;Analytica!$F$51:'Analytica'!$AY$51,0)),"")</f>
        <v/>
      </c>
      <c r="W109" s="619" t="str">
        <f t="array" ref="W109">IFERROR(INDEX(Analytica!$F$59:$AY$138,MATCH($C109,Analytica!$B$59:$B$168,0),MATCH(W$15&amp;W$10,Analytica!$F$58:$AY$58&amp;Analytica!$F$51:'Analytica'!$AY$51,0)),"")</f>
        <v/>
      </c>
      <c r="X109" s="619" t="str">
        <f t="array" ref="X109">IFERROR(INDEX(Analytica!$F$59:$AY$138,MATCH($C109,Analytica!$B$59:$B$168,0),MATCH(X$15&amp;X$10,Analytica!$F$58:$AY$58&amp;Analytica!$F$51:'Analytica'!$AY$51,0)),"")</f>
        <v/>
      </c>
      <c r="Y109" s="619" t="str">
        <f t="array" ref="Y109">IFERROR(INDEX(Analytica!$F$59:$AY$138,MATCH($C109,Analytica!$B$59:$B$168,0),MATCH(Y$15&amp;Y$10,Analytica!$F$58:$AY$58&amp;Analytica!$F$51:'Analytica'!$AY$51,0)),"")</f>
        <v/>
      </c>
      <c r="Z109" s="689">
        <v>50</v>
      </c>
      <c r="AA109" s="689">
        <f>Z109</f>
        <v>50</v>
      </c>
      <c r="AB109" s="689">
        <v>2080</v>
      </c>
      <c r="AC109" s="687">
        <f t="shared" ca="1" si="18"/>
        <v>92</v>
      </c>
      <c r="AD109" s="1">
        <v>1</v>
      </c>
    </row>
    <row r="110" spans="1:30" x14ac:dyDescent="0.2">
      <c r="A110" s="1" t="str">
        <f t="shared" si="19"/>
        <v/>
      </c>
      <c r="B110" s="190" t="s">
        <v>1124</v>
      </c>
      <c r="C110" s="190"/>
      <c r="D110" s="611"/>
      <c r="E110" s="611"/>
      <c r="F110" s="692"/>
      <c r="G110" s="692"/>
      <c r="H110" s="692"/>
      <c r="I110" s="692"/>
      <c r="J110" s="1001"/>
      <c r="K110" s="1001"/>
      <c r="L110" s="1001"/>
      <c r="M110" s="1001"/>
      <c r="N110" s="1001"/>
      <c r="O110" s="693"/>
      <c r="P110" s="619"/>
      <c r="Q110" s="619"/>
      <c r="R110" s="619"/>
      <c r="S110" s="619"/>
      <c r="T110" s="619"/>
      <c r="U110" s="619"/>
      <c r="V110" s="619" t="str">
        <f t="array" ref="V110">IFERROR(INDEX(Analytica!$F$59:$AY$138,MATCH($C110,Analytica!$B$59:$B$168,0),MATCH(V$15&amp;V$10,Analytica!$F$58:$AY$58&amp;Analytica!$F$51:'Analytica'!$AY$51,0)),"")</f>
        <v/>
      </c>
      <c r="W110" s="619" t="str">
        <f t="array" ref="W110">IFERROR(INDEX(Analytica!$F$59:$AY$138,MATCH($C110,Analytica!$B$59:$B$168,0),MATCH(W$15&amp;W$10,Analytica!$F$58:$AY$58&amp;Analytica!$F$51:'Analytica'!$AY$51,0)),"")</f>
        <v/>
      </c>
      <c r="X110" s="619" t="str">
        <f t="array" ref="X110">IFERROR(INDEX(Analytica!$F$59:$AY$138,MATCH($C110,Analytica!$B$59:$B$168,0),MATCH(X$15&amp;X$10,Analytica!$F$58:$AY$58&amp;Analytica!$F$51:'Analytica'!$AY$51,0)),"")</f>
        <v/>
      </c>
      <c r="Y110" s="619" t="str">
        <f t="array" ref="Y110">IFERROR(INDEX(Analytica!$F$59:$AY$138,MATCH($C110,Analytica!$B$59:$B$168,0),MATCH(Y$15&amp;Y$10,Analytica!$F$58:$AY$58&amp;Analytica!$F$51:'Analytica'!$AY$51,0)),"")</f>
        <v/>
      </c>
      <c r="Z110" s="619" t="str">
        <f t="array" ref="Z110">IFERROR(INDEX(Analytica!$F$59:$AY$138,MATCH($C110,Analytica!$B$59:$B$168,0),MATCH(Z$15&amp;Z$10,Analytica!$F$58:$AY$58&amp;Analytica!$F$51:'Analytica'!$AY$51,0)),"")</f>
        <v/>
      </c>
      <c r="AA110" s="619" t="str">
        <f t="array" ref="AA110">IFERROR(INDEX(Analytica!$F$59:$AY$138,MATCH($C110,Analytica!$B$59:$B$168,0),MATCH(AA$15&amp;AA$10,Analytica!$F$58:$AY$58&amp;Analytica!$F$51:'Analytica'!$AY$51,0)),"")</f>
        <v/>
      </c>
      <c r="AB110" s="619" t="str">
        <f t="array" ref="AB110">IFERROR(INDEX(Analytica!$F$59:$AY$138,MATCH($C110,Analytica!$B$59:$B$168,0),MATCH(AB$15&amp;AB$10,Analytica!$F$58:$AY$58&amp;Analytica!$F$51:'Analytica'!$AY$51,0)),"")</f>
        <v/>
      </c>
      <c r="AC110" s="687">
        <f t="shared" ca="1" si="18"/>
        <v>93</v>
      </c>
      <c r="AD110" s="1">
        <v>1</v>
      </c>
    </row>
    <row r="111" spans="1:30" x14ac:dyDescent="0.2">
      <c r="A111" s="1" t="str">
        <f t="shared" si="19"/>
        <v/>
      </c>
      <c r="B111" s="190" t="str">
        <f>ITEMS_nTech!C102</f>
        <v>Transport Freight - Rail Corridor Electricity-N</v>
      </c>
      <c r="C111" s="190" t="str">
        <f>E111&amp;RIGHT(D111,3)&amp;"-N"</f>
        <v>TFRCOELC-N</v>
      </c>
      <c r="D111" s="611" t="str">
        <f>$F$6</f>
        <v>TRAELC</v>
      </c>
      <c r="E111" s="611" t="str">
        <f>TRP!$B$41</f>
        <v>TFRCO</v>
      </c>
      <c r="F111" s="692">
        <f>Calib_2017!AG42</f>
        <v>4.0285422116338081</v>
      </c>
      <c r="G111" s="692">
        <f>F111</f>
        <v>4.0285422116338081</v>
      </c>
      <c r="H111" s="692">
        <f>G111</f>
        <v>4.0285422116338081</v>
      </c>
      <c r="I111" s="692">
        <f>H111</f>
        <v>4.0285422116338081</v>
      </c>
      <c r="J111" s="1001">
        <v>1</v>
      </c>
      <c r="K111" s="1001">
        <v>1</v>
      </c>
      <c r="L111" s="1001">
        <v>1</v>
      </c>
      <c r="M111" s="1001">
        <v>1</v>
      </c>
      <c r="N111" s="1001">
        <v>1</v>
      </c>
      <c r="O111" s="691">
        <v>1</v>
      </c>
      <c r="P111" s="619">
        <v>10</v>
      </c>
      <c r="Q111" s="619">
        <f>P111</f>
        <v>10</v>
      </c>
      <c r="R111" s="619">
        <f>Q111</f>
        <v>10</v>
      </c>
      <c r="S111" s="619">
        <f>R111</f>
        <v>10</v>
      </c>
      <c r="T111" s="619">
        <f>R111</f>
        <v>10</v>
      </c>
      <c r="U111" s="619">
        <f>T111</f>
        <v>10</v>
      </c>
      <c r="V111" s="619" t="str">
        <f t="array" ref="V111">IFERROR(INDEX(Analytica!$F$59:$AY$138,MATCH($C111,Analytica!$B$59:$B$168,0),MATCH(V$15&amp;V$10,Analytica!$F$58:$AY$58&amp;Analytica!$F$51:'Analytica'!$AY$51,0)),"")</f>
        <v/>
      </c>
      <c r="W111" s="619" t="str">
        <f t="array" ref="W111">IFERROR(INDEX(Analytica!$F$59:$AY$138,MATCH($C111,Analytica!$B$59:$B$168,0),MATCH(W$15&amp;W$10,Analytica!$F$58:$AY$58&amp;Analytica!$F$51:'Analytica'!$AY$51,0)),"")</f>
        <v/>
      </c>
      <c r="X111" s="619" t="str">
        <f t="array" ref="X111">IFERROR(INDEX(Analytica!$F$59:$AY$138,MATCH($C111,Analytica!$B$59:$B$168,0),MATCH(X$15&amp;X$10,Analytica!$F$58:$AY$58&amp;Analytica!$F$51:'Analytica'!$AY$51,0)),"")</f>
        <v/>
      </c>
      <c r="Y111" s="619" t="str">
        <f t="array" ref="Y111">IFERROR(INDEX(Analytica!$F$59:$AY$138,MATCH($C111,Analytica!$B$59:$B$168,0),MATCH(Y$15&amp;Y$10,Analytica!$F$58:$AY$58&amp;Analytica!$F$51:'Analytica'!$AY$51,0)),"")</f>
        <v/>
      </c>
      <c r="Z111" s="689">
        <v>50</v>
      </c>
      <c r="AA111" s="689">
        <f>Z111</f>
        <v>50</v>
      </c>
      <c r="AB111" s="689">
        <v>2025</v>
      </c>
      <c r="AC111" s="687">
        <f t="shared" ca="1" si="18"/>
        <v>94</v>
      </c>
      <c r="AD111" s="1">
        <v>1</v>
      </c>
    </row>
    <row r="112" spans="1:30" x14ac:dyDescent="0.2">
      <c r="A112" s="1" t="str">
        <f t="shared" si="19"/>
        <v/>
      </c>
      <c r="B112" s="190" t="s">
        <v>1124</v>
      </c>
      <c r="C112" s="190"/>
      <c r="D112" s="611"/>
      <c r="E112" s="611"/>
      <c r="F112" s="619"/>
      <c r="G112" s="619"/>
      <c r="H112" s="619"/>
      <c r="I112" s="619"/>
      <c r="J112" s="619"/>
      <c r="K112" s="619"/>
      <c r="L112" s="619"/>
      <c r="M112" s="619"/>
      <c r="N112" s="619"/>
      <c r="O112" s="689"/>
      <c r="P112" s="619"/>
      <c r="Q112" s="619"/>
      <c r="R112" s="619"/>
      <c r="S112" s="619"/>
      <c r="T112" s="690"/>
      <c r="U112" s="690"/>
      <c r="V112" s="690"/>
      <c r="W112" s="690"/>
      <c r="X112" s="690"/>
      <c r="Y112" s="690"/>
      <c r="Z112" s="690"/>
      <c r="AA112" s="690"/>
      <c r="AB112" s="690"/>
      <c r="AC112" s="687">
        <f t="shared" ca="1" si="18"/>
        <v>95</v>
      </c>
      <c r="AD112" s="1">
        <v>1</v>
      </c>
    </row>
    <row r="113" spans="1:30" x14ac:dyDescent="0.2">
      <c r="A113" s="1" t="str">
        <f t="shared" si="19"/>
        <v/>
      </c>
      <c r="B113" s="190" t="str">
        <f>ITEMS_nTech!C104</f>
        <v>Transport Freight - Rail Other Electricity-N</v>
      </c>
      <c r="C113" s="190" t="str">
        <f>E113&amp;RIGHT(D113,3)&amp;"-N"</f>
        <v>TFROTELC-N</v>
      </c>
      <c r="D113" s="611" t="str">
        <f>$F$6</f>
        <v>TRAELC</v>
      </c>
      <c r="E113" s="611" t="str">
        <f>TRP!B42</f>
        <v>TFROT</v>
      </c>
      <c r="F113" s="692">
        <f>Calib_2017!AG42</f>
        <v>4.0285422116338081</v>
      </c>
      <c r="G113" s="692">
        <f>F113</f>
        <v>4.0285422116338081</v>
      </c>
      <c r="H113" s="692">
        <f>G113</f>
        <v>4.0285422116338081</v>
      </c>
      <c r="I113" s="692">
        <f>H113</f>
        <v>4.0285422116338081</v>
      </c>
      <c r="J113" s="1001">
        <v>1</v>
      </c>
      <c r="K113" s="1001">
        <v>1</v>
      </c>
      <c r="L113" s="1001">
        <v>1</v>
      </c>
      <c r="M113" s="1001">
        <v>1</v>
      </c>
      <c r="N113" s="1001">
        <v>1</v>
      </c>
      <c r="O113" s="691">
        <v>1</v>
      </c>
      <c r="P113" s="619">
        <v>10</v>
      </c>
      <c r="Q113" s="619">
        <f>P113</f>
        <v>10</v>
      </c>
      <c r="R113" s="619">
        <f>Q113</f>
        <v>10</v>
      </c>
      <c r="S113" s="619">
        <f>R113</f>
        <v>10</v>
      </c>
      <c r="T113" s="619">
        <f>R113</f>
        <v>10</v>
      </c>
      <c r="U113" s="619">
        <f>T113</f>
        <v>10</v>
      </c>
      <c r="V113" s="619" t="str">
        <f t="array" ref="V113">IFERROR(INDEX(Analytica!$F$59:$AY$138,MATCH($C113,Analytica!$B$59:$B$168,0),MATCH(V$15&amp;V$10,Analytica!$F$58:$AY$58&amp;Analytica!$F$51:'Analytica'!$AY$51,0)),"")</f>
        <v/>
      </c>
      <c r="W113" s="619" t="str">
        <f t="array" ref="W113">IFERROR(INDEX(Analytica!$F$59:$AY$138,MATCH($C113,Analytica!$B$59:$B$168,0),MATCH(W$15&amp;W$10,Analytica!$F$58:$AY$58&amp;Analytica!$F$51:'Analytica'!$AY$51,0)),"")</f>
        <v/>
      </c>
      <c r="X113" s="619" t="str">
        <f t="array" ref="X113">IFERROR(INDEX(Analytica!$F$59:$AY$138,MATCH($C113,Analytica!$B$59:$B$168,0),MATCH(X$15&amp;X$10,Analytica!$F$58:$AY$58&amp;Analytica!$F$51:'Analytica'!$AY$51,0)),"")</f>
        <v/>
      </c>
      <c r="Y113" s="619" t="str">
        <f t="array" ref="Y113">IFERROR(INDEX(Analytica!$F$59:$AY$138,MATCH($C113,Analytica!$B$59:$B$168,0),MATCH(Y$15&amp;Y$10,Analytica!$F$58:$AY$58&amp;Analytica!$F$51:'Analytica'!$AY$51,0)),"")</f>
        <v/>
      </c>
      <c r="Z113" s="689">
        <v>50</v>
      </c>
      <c r="AA113" s="689">
        <f>Z113</f>
        <v>50</v>
      </c>
      <c r="AB113" s="689">
        <v>2025</v>
      </c>
      <c r="AC113" s="687">
        <f t="shared" ca="1" si="18"/>
        <v>96</v>
      </c>
      <c r="AD113" s="1">
        <v>1</v>
      </c>
    </row>
    <row r="114" spans="1:30" x14ac:dyDescent="0.2">
      <c r="A114" s="1" t="str">
        <f t="shared" si="19"/>
        <v/>
      </c>
      <c r="B114" s="190" t="s">
        <v>1124</v>
      </c>
      <c r="C114" s="190"/>
      <c r="D114" s="611"/>
      <c r="E114" s="611"/>
      <c r="F114" s="619"/>
      <c r="G114" s="619"/>
      <c r="H114" s="619"/>
      <c r="I114" s="619"/>
      <c r="J114" s="619"/>
      <c r="K114" s="619"/>
      <c r="L114" s="619"/>
      <c r="M114" s="619"/>
      <c r="N114" s="619"/>
      <c r="O114" s="689"/>
      <c r="P114" s="619"/>
      <c r="Q114" s="619"/>
      <c r="R114" s="619"/>
      <c r="S114" s="619"/>
      <c r="T114" s="690"/>
      <c r="U114" s="690"/>
      <c r="V114" s="619" t="str">
        <f t="array" ref="V114">IFERROR(INDEX(Analytica!$F$59:$AY$138,MATCH($C114,Analytica!$B$59:$B$168,0),MATCH(V$15&amp;V$10,Analytica!$F$58:$AY$58&amp;Analytica!$F$51:'Analytica'!$AY$51,0)),"")</f>
        <v/>
      </c>
      <c r="W114" s="619" t="str">
        <f t="array" ref="W114">IFERROR(INDEX(Analytica!$F$59:$AY$138,MATCH($C114,Analytica!$B$59:$B$168,0),MATCH(W$15&amp;W$10,Analytica!$F$58:$AY$58&amp;Analytica!$F$51:'Analytica'!$AY$51,0)),"")</f>
        <v/>
      </c>
      <c r="X114" s="619" t="str">
        <f t="array" ref="X114">IFERROR(INDEX(Analytica!$F$59:$AY$138,MATCH($C114,Analytica!$B$59:$B$168,0),MATCH(X$15&amp;X$10,Analytica!$F$58:$AY$58&amp;Analytica!$F$51:'Analytica'!$AY$51,0)),"")</f>
        <v/>
      </c>
      <c r="Y114" s="619" t="str">
        <f t="array" ref="Y114">IFERROR(INDEX(Analytica!$F$59:$AY$138,MATCH($C114,Analytica!$B$59:$B$168,0),MATCH(Y$15&amp;Y$10,Analytica!$F$58:$AY$58&amp;Analytica!$F$51:'Analytica'!$AY$51,0)),"")</f>
        <v/>
      </c>
      <c r="Z114" s="689"/>
      <c r="AA114" s="689">
        <f>Z114</f>
        <v>0</v>
      </c>
      <c r="AB114" s="689">
        <v>2025</v>
      </c>
      <c r="AC114" s="687">
        <f t="shared" ca="1" si="18"/>
        <v>97</v>
      </c>
      <c r="AD114" s="1">
        <v>1</v>
      </c>
    </row>
    <row r="115" spans="1:30" x14ac:dyDescent="0.2">
      <c r="A115" s="1" t="str">
        <f t="shared" si="19"/>
        <v/>
      </c>
      <c r="B115" s="190" t="str">
        <f>ITEMS_nTech!C106</f>
        <v>Transport Freight - Rail Export (bulk mining) Electricity-N</v>
      </c>
      <c r="C115" s="190" t="str">
        <f>E115&amp;RIGHT(D115,3)&amp;"-N"</f>
        <v>TFREXELC-N</v>
      </c>
      <c r="D115" s="611" t="str">
        <f>$F$6</f>
        <v>TRAELC</v>
      </c>
      <c r="E115" s="611" t="str">
        <f>TRP!B43</f>
        <v>TFREX</v>
      </c>
      <c r="F115" s="692">
        <f>Calib_2017!AG42</f>
        <v>4.0285422116338081</v>
      </c>
      <c r="G115" s="692">
        <f>F115</f>
        <v>4.0285422116338081</v>
      </c>
      <c r="H115" s="692">
        <f>G115</f>
        <v>4.0285422116338081</v>
      </c>
      <c r="I115" s="692">
        <f>H115</f>
        <v>4.0285422116338081</v>
      </c>
      <c r="J115" s="1001">
        <v>1</v>
      </c>
      <c r="K115" s="1001">
        <v>1</v>
      </c>
      <c r="L115" s="1001">
        <v>1</v>
      </c>
      <c r="M115" s="1001">
        <v>1</v>
      </c>
      <c r="N115" s="1001">
        <v>1</v>
      </c>
      <c r="O115" s="691">
        <v>1</v>
      </c>
      <c r="P115" s="619">
        <v>10</v>
      </c>
      <c r="Q115" s="619">
        <f>P115</f>
        <v>10</v>
      </c>
      <c r="R115" s="619">
        <f>Q115</f>
        <v>10</v>
      </c>
      <c r="S115" s="619">
        <f>R115</f>
        <v>10</v>
      </c>
      <c r="T115" s="619">
        <f>R115</f>
        <v>10</v>
      </c>
      <c r="U115" s="619">
        <f>T115</f>
        <v>10</v>
      </c>
      <c r="V115" s="619" t="str">
        <f t="array" ref="V115">IFERROR(INDEX(Analytica!$F$59:$AY$138,MATCH($C115,Analytica!$B$59:$B$168,0),MATCH(V$15&amp;V$10,Analytica!$F$58:$AY$58&amp;Analytica!$F$51:'Analytica'!$AY$51,0)),"")</f>
        <v/>
      </c>
      <c r="W115" s="619" t="str">
        <f t="array" ref="W115">IFERROR(INDEX(Analytica!$F$59:$AY$138,MATCH($C115,Analytica!$B$59:$B$168,0),MATCH(W$15&amp;W$10,Analytica!$F$58:$AY$58&amp;Analytica!$F$51:'Analytica'!$AY$51,0)),"")</f>
        <v/>
      </c>
      <c r="X115" s="619" t="str">
        <f t="array" ref="X115">IFERROR(INDEX(Analytica!$F$59:$AY$138,MATCH($C115,Analytica!$B$59:$B$168,0),MATCH(X$15&amp;X$10,Analytica!$F$58:$AY$58&amp;Analytica!$F$51:'Analytica'!$AY$51,0)),"")</f>
        <v/>
      </c>
      <c r="Y115" s="619" t="str">
        <f t="array" ref="Y115">IFERROR(INDEX(Analytica!$F$59:$AY$138,MATCH($C115,Analytica!$B$59:$B$168,0),MATCH(Y$15&amp;Y$10,Analytica!$F$58:$AY$58&amp;Analytica!$F$51:'Analytica'!$AY$51,0)),"")</f>
        <v/>
      </c>
      <c r="Z115" s="689">
        <v>50</v>
      </c>
      <c r="AA115" s="689">
        <f>Z115</f>
        <v>50</v>
      </c>
      <c r="AB115" s="689">
        <v>2025</v>
      </c>
      <c r="AC115" s="687">
        <f t="shared" ca="1" si="18"/>
        <v>98</v>
      </c>
      <c r="AD115" s="1">
        <v>1</v>
      </c>
    </row>
    <row r="116" spans="1:30" x14ac:dyDescent="0.2">
      <c r="A116" s="1" t="str">
        <f t="shared" si="19"/>
        <v/>
      </c>
      <c r="B116" s="190" t="s">
        <v>1124</v>
      </c>
      <c r="C116" s="190"/>
      <c r="D116" s="611"/>
      <c r="E116" s="611"/>
      <c r="F116" s="619"/>
      <c r="G116" s="619"/>
      <c r="H116" s="619"/>
      <c r="I116" s="619"/>
      <c r="J116" s="619"/>
      <c r="K116" s="619"/>
      <c r="L116" s="619"/>
      <c r="M116" s="619"/>
      <c r="N116" s="619"/>
      <c r="O116" s="689"/>
      <c r="P116" s="619"/>
      <c r="Q116" s="619"/>
      <c r="R116" s="619"/>
      <c r="S116" s="619"/>
      <c r="T116" s="619"/>
      <c r="U116" s="619"/>
      <c r="V116" s="619"/>
      <c r="W116" s="619"/>
      <c r="X116" s="619"/>
      <c r="Y116" s="619"/>
      <c r="Z116" s="619"/>
      <c r="AA116" s="619"/>
      <c r="AB116" s="619"/>
      <c r="AC116" s="687">
        <f t="shared" ca="1" si="18"/>
        <v>99</v>
      </c>
    </row>
    <row r="117" spans="1:30" x14ac:dyDescent="0.2">
      <c r="A117" s="1" t="str">
        <f t="shared" si="19"/>
        <v/>
      </c>
      <c r="B117" s="190" t="s">
        <v>1124</v>
      </c>
      <c r="C117" s="190"/>
      <c r="D117" s="608"/>
      <c r="E117" s="608"/>
      <c r="F117" s="621"/>
      <c r="G117" s="621"/>
      <c r="H117" s="621"/>
      <c r="I117" s="621"/>
      <c r="J117" s="619"/>
      <c r="K117" s="619"/>
      <c r="L117" s="619"/>
      <c r="M117" s="619"/>
      <c r="N117" s="619"/>
      <c r="O117" s="621"/>
      <c r="P117" s="619"/>
      <c r="Q117" s="619"/>
      <c r="R117" s="619"/>
      <c r="S117" s="619"/>
      <c r="T117" s="619"/>
      <c r="U117" s="619"/>
      <c r="V117" s="619"/>
      <c r="W117" s="619"/>
      <c r="X117" s="619"/>
      <c r="Y117" s="619"/>
      <c r="Z117" s="619"/>
      <c r="AA117" s="619"/>
      <c r="AB117" s="619"/>
      <c r="AC117" s="687">
        <f t="shared" ca="1" si="18"/>
        <v>100</v>
      </c>
    </row>
    <row r="118" spans="1:30" x14ac:dyDescent="0.2">
      <c r="A118" s="1" t="str">
        <f t="shared" si="19"/>
        <v/>
      </c>
      <c r="B118" s="190" t="str">
        <f>ITEMS_nTech!C109</f>
        <v>Transport Other - Pipeline Electricity-N</v>
      </c>
      <c r="C118" s="190" t="str">
        <f>E118&amp;RIGHT(D118,3)&amp;"-N"</f>
        <v>TFPIPELC-N</v>
      </c>
      <c r="D118" s="611" t="str">
        <f>$F$6</f>
        <v>TRAELC</v>
      </c>
      <c r="E118" s="611" t="str">
        <f>TRP!B46</f>
        <v>TFPIP</v>
      </c>
      <c r="F118" s="692">
        <v>1</v>
      </c>
      <c r="G118" s="692">
        <f t="shared" ref="G118:I122" si="25">F118</f>
        <v>1</v>
      </c>
      <c r="H118" s="692">
        <f t="shared" si="25"/>
        <v>1</v>
      </c>
      <c r="I118" s="692">
        <f t="shared" si="25"/>
        <v>1</v>
      </c>
      <c r="J118" s="1001">
        <v>1</v>
      </c>
      <c r="K118" s="1001">
        <v>1</v>
      </c>
      <c r="L118" s="1001">
        <v>1</v>
      </c>
      <c r="M118" s="1001">
        <v>1</v>
      </c>
      <c r="N118" s="1001">
        <v>1</v>
      </c>
      <c r="O118" s="691">
        <v>1</v>
      </c>
      <c r="P118" s="619">
        <v>10</v>
      </c>
      <c r="Q118" s="619">
        <f t="shared" ref="Q118:S122" si="26">P118</f>
        <v>10</v>
      </c>
      <c r="R118" s="619">
        <f t="shared" si="26"/>
        <v>10</v>
      </c>
      <c r="S118" s="619">
        <f t="shared" si="26"/>
        <v>10</v>
      </c>
      <c r="T118" s="619">
        <f>R118</f>
        <v>10</v>
      </c>
      <c r="U118" s="619">
        <f>T118</f>
        <v>10</v>
      </c>
      <c r="V118" s="619" t="str">
        <f t="array" ref="V118">IFERROR(INDEX(Analytica!$F$59:$AY$138,MATCH($C118,Analytica!$B$59:$B$168,0),MATCH(V$15&amp;V$10,Analytica!$F$58:$AY$58&amp;Analytica!$F$51:'Analytica'!$AY$51,0)),"")</f>
        <v/>
      </c>
      <c r="W118" s="619" t="str">
        <f t="array" ref="W118">IFERROR(INDEX(Analytica!$F$59:$AY$138,MATCH($C118,Analytica!$B$59:$B$168,0),MATCH(W$15&amp;W$10,Analytica!$F$58:$AY$58&amp;Analytica!$F$51:'Analytica'!$AY$51,0)),"")</f>
        <v/>
      </c>
      <c r="X118" s="619" t="str">
        <f t="array" ref="X118">IFERROR(INDEX(Analytica!$F$59:$AY$138,MATCH($C118,Analytica!$B$59:$B$168,0),MATCH(X$15&amp;X$10,Analytica!$F$58:$AY$58&amp;Analytica!$F$51:'Analytica'!$AY$51,0)),"")</f>
        <v/>
      </c>
      <c r="Y118" s="619" t="str">
        <f t="array" ref="Y118">IFERROR(INDEX(Analytica!$F$59:$AY$138,MATCH($C118,Analytica!$B$59:$B$168,0),MATCH(Y$15&amp;Y$10,Analytica!$F$58:$AY$58&amp;Analytica!$F$51:'Analytica'!$AY$51,0)),"")</f>
        <v/>
      </c>
      <c r="Z118" s="689">
        <v>50</v>
      </c>
      <c r="AA118" s="689">
        <f>Z118</f>
        <v>50</v>
      </c>
      <c r="AB118" s="689">
        <v>2030</v>
      </c>
      <c r="AC118" s="687">
        <f t="shared" ca="1" si="18"/>
        <v>101</v>
      </c>
    </row>
    <row r="119" spans="1:30" x14ac:dyDescent="0.2">
      <c r="A119" s="1" t="str">
        <f t="shared" si="19"/>
        <v/>
      </c>
      <c r="B119" s="190" t="str">
        <f>ITEMS_nTech!C110</f>
        <v>Transport Other -  Aviation Int Jet Fuel  Oil Jet Fuel-N</v>
      </c>
      <c r="C119" s="190" t="str">
        <f>E119&amp;RIGHT(D119,3)&amp;"-N"</f>
        <v>TAIJETOKE-N</v>
      </c>
      <c r="D119" s="611" t="str">
        <f>$J$6</f>
        <v>TRAOKE</v>
      </c>
      <c r="E119" s="611" t="str">
        <f>TRP!B47</f>
        <v>TAIJET</v>
      </c>
      <c r="F119" s="692">
        <v>1</v>
      </c>
      <c r="G119" s="692">
        <f t="shared" si="25"/>
        <v>1</v>
      </c>
      <c r="H119" s="692">
        <f t="shared" si="25"/>
        <v>1</v>
      </c>
      <c r="I119" s="692">
        <f t="shared" si="25"/>
        <v>1</v>
      </c>
      <c r="J119" s="1001">
        <v>1</v>
      </c>
      <c r="K119" s="1001">
        <v>1</v>
      </c>
      <c r="L119" s="1001">
        <v>1</v>
      </c>
      <c r="M119" s="1001">
        <v>1</v>
      </c>
      <c r="N119" s="1001">
        <v>1</v>
      </c>
      <c r="O119" s="691">
        <v>1</v>
      </c>
      <c r="P119" s="619">
        <v>10</v>
      </c>
      <c r="Q119" s="619">
        <f t="shared" si="26"/>
        <v>10</v>
      </c>
      <c r="R119" s="619">
        <f t="shared" si="26"/>
        <v>10</v>
      </c>
      <c r="S119" s="619">
        <f t="shared" si="26"/>
        <v>10</v>
      </c>
      <c r="T119" s="619">
        <f>R119</f>
        <v>10</v>
      </c>
      <c r="U119" s="619">
        <f>T119</f>
        <v>10</v>
      </c>
      <c r="V119" s="619" t="str">
        <f t="array" ref="V119">IFERROR(INDEX(Analytica!$F$59:$AY$138,MATCH($C119,Analytica!$B$59:$B$168,0),MATCH(V$15&amp;V$10,Analytica!$F$58:$AY$58&amp;Analytica!$F$51:'Analytica'!$AY$51,0)),"")</f>
        <v/>
      </c>
      <c r="W119" s="619" t="str">
        <f t="array" ref="W119">IFERROR(INDEX(Analytica!$F$59:$AY$138,MATCH($C119,Analytica!$B$59:$B$168,0),MATCH(W$15&amp;W$10,Analytica!$F$58:$AY$58&amp;Analytica!$F$51:'Analytica'!$AY$51,0)),"")</f>
        <v/>
      </c>
      <c r="X119" s="619" t="str">
        <f t="array" ref="X119">IFERROR(INDEX(Analytica!$F$59:$AY$138,MATCH($C119,Analytica!$B$59:$B$168,0),MATCH(X$15&amp;X$10,Analytica!$F$58:$AY$58&amp;Analytica!$F$51:'Analytica'!$AY$51,0)),"")</f>
        <v/>
      </c>
      <c r="Y119" s="619" t="str">
        <f t="array" ref="Y119">IFERROR(INDEX(Analytica!$F$59:$AY$138,MATCH($C119,Analytica!$B$59:$B$168,0),MATCH(Y$15&amp;Y$10,Analytica!$F$58:$AY$58&amp;Analytica!$F$51:'Analytica'!$AY$51,0)),"")</f>
        <v/>
      </c>
      <c r="Z119" s="689">
        <v>50</v>
      </c>
      <c r="AA119" s="689">
        <f>Z119</f>
        <v>50</v>
      </c>
      <c r="AB119" s="689">
        <v>2013</v>
      </c>
      <c r="AC119" s="687">
        <f t="shared" ca="1" si="18"/>
        <v>102</v>
      </c>
    </row>
    <row r="120" spans="1:30" x14ac:dyDescent="0.2">
      <c r="A120" s="1" t="str">
        <f t="shared" si="19"/>
        <v/>
      </c>
      <c r="B120" s="190" t="str">
        <f>ITEMS_nTech!C111</f>
        <v>Transport Other -  Aviation Dom Jet Fuel  Oil Jet Fuel-N</v>
      </c>
      <c r="C120" s="190" t="str">
        <f>E120&amp;RIGHT(D120,3)&amp;"-N"</f>
        <v>TADJETOKE-N</v>
      </c>
      <c r="D120" s="611" t="str">
        <f>$J$6</f>
        <v>TRAOKE</v>
      </c>
      <c r="E120" s="611" t="str">
        <f>TRP!B48</f>
        <v>TADJET</v>
      </c>
      <c r="F120" s="692">
        <v>1</v>
      </c>
      <c r="G120" s="692">
        <f t="shared" si="25"/>
        <v>1</v>
      </c>
      <c r="H120" s="692">
        <f t="shared" si="25"/>
        <v>1</v>
      </c>
      <c r="I120" s="692">
        <f t="shared" si="25"/>
        <v>1</v>
      </c>
      <c r="J120" s="1001">
        <v>1</v>
      </c>
      <c r="K120" s="1001">
        <v>1</v>
      </c>
      <c r="L120" s="1001">
        <v>1</v>
      </c>
      <c r="M120" s="1001">
        <v>1</v>
      </c>
      <c r="N120" s="1001">
        <v>1</v>
      </c>
      <c r="O120" s="691">
        <v>1</v>
      </c>
      <c r="P120" s="619">
        <v>10</v>
      </c>
      <c r="Q120" s="619">
        <f t="shared" si="26"/>
        <v>10</v>
      </c>
      <c r="R120" s="619">
        <f t="shared" si="26"/>
        <v>10</v>
      </c>
      <c r="S120" s="619">
        <f t="shared" si="26"/>
        <v>10</v>
      </c>
      <c r="T120" s="619">
        <f>R120</f>
        <v>10</v>
      </c>
      <c r="U120" s="619">
        <f>T120</f>
        <v>10</v>
      </c>
      <c r="V120" s="619" t="str">
        <f t="array" ref="V120">IFERROR(INDEX(Analytica!$F$59:$AY$138,MATCH($C120,Analytica!$B$59:$B$168,0),MATCH(V$15&amp;V$10,Analytica!$F$58:$AY$58&amp;Analytica!$F$51:'Analytica'!$AY$51,0)),"")</f>
        <v/>
      </c>
      <c r="W120" s="619" t="str">
        <f t="array" ref="W120">IFERROR(INDEX(Analytica!$F$59:$AY$138,MATCH($C120,Analytica!$B$59:$B$168,0),MATCH(W$15&amp;W$10,Analytica!$F$58:$AY$58&amp;Analytica!$F$51:'Analytica'!$AY$51,0)),"")</f>
        <v/>
      </c>
      <c r="X120" s="619" t="str">
        <f t="array" ref="X120">IFERROR(INDEX(Analytica!$F$59:$AY$138,MATCH($C120,Analytica!$B$59:$B$168,0),MATCH(X$15&amp;X$10,Analytica!$F$58:$AY$58&amp;Analytica!$F$51:'Analytica'!$AY$51,0)),"")</f>
        <v/>
      </c>
      <c r="Y120" s="619" t="str">
        <f t="array" ref="Y120">IFERROR(INDEX(Analytica!$F$59:$AY$138,MATCH($C120,Analytica!$B$59:$B$168,0),MATCH(Y$15&amp;Y$10,Analytica!$F$58:$AY$58&amp;Analytica!$F$51:'Analytica'!$AY$51,0)),"")</f>
        <v/>
      </c>
      <c r="Z120" s="689">
        <v>50</v>
      </c>
      <c r="AA120" s="689">
        <f>Z120</f>
        <v>50</v>
      </c>
      <c r="AB120" s="689">
        <v>2013</v>
      </c>
      <c r="AC120" s="687">
        <f t="shared" ca="1" si="18"/>
        <v>103</v>
      </c>
    </row>
    <row r="121" spans="1:30" x14ac:dyDescent="0.2">
      <c r="A121" s="1" t="str">
        <f t="shared" si="19"/>
        <v/>
      </c>
      <c r="B121" s="190" t="str">
        <f>ITEMS_nTech!C112</f>
        <v>Transport Other - Aviation Gasoline T-N</v>
      </c>
      <c r="C121" s="190" t="str">
        <f>E121&amp;RIGHT(D121,3)&amp;"-N"</f>
        <v>TAOAGOAG-N</v>
      </c>
      <c r="D121" s="611" t="str">
        <f>$D$6</f>
        <v>TRAOAG</v>
      </c>
      <c r="E121" s="611" t="str">
        <f>TRP!B49</f>
        <v>TAOAG</v>
      </c>
      <c r="F121" s="692">
        <v>1</v>
      </c>
      <c r="G121" s="692">
        <f t="shared" si="25"/>
        <v>1</v>
      </c>
      <c r="H121" s="692">
        <f t="shared" si="25"/>
        <v>1</v>
      </c>
      <c r="I121" s="692">
        <f t="shared" si="25"/>
        <v>1</v>
      </c>
      <c r="J121" s="1001">
        <v>1</v>
      </c>
      <c r="K121" s="1001">
        <v>1</v>
      </c>
      <c r="L121" s="1001">
        <v>1</v>
      </c>
      <c r="M121" s="1001">
        <v>1</v>
      </c>
      <c r="N121" s="1001">
        <v>1</v>
      </c>
      <c r="O121" s="691">
        <v>1</v>
      </c>
      <c r="P121" s="619">
        <v>10</v>
      </c>
      <c r="Q121" s="619">
        <f t="shared" si="26"/>
        <v>10</v>
      </c>
      <c r="R121" s="619">
        <f t="shared" si="26"/>
        <v>10</v>
      </c>
      <c r="S121" s="619">
        <f t="shared" si="26"/>
        <v>10</v>
      </c>
      <c r="T121" s="619">
        <f>R121</f>
        <v>10</v>
      </c>
      <c r="U121" s="619">
        <f>T121</f>
        <v>10</v>
      </c>
      <c r="V121" s="619" t="str">
        <f t="array" ref="V121">IFERROR(INDEX(Analytica!$F$59:$AY$138,MATCH($C121,Analytica!$B$59:$B$168,0),MATCH(V$15&amp;V$10,Analytica!$F$58:$AY$58&amp;Analytica!$F$51:'Analytica'!$AY$51,0)),"")</f>
        <v/>
      </c>
      <c r="W121" s="619" t="str">
        <f t="array" ref="W121">IFERROR(INDEX(Analytica!$F$59:$AY$138,MATCH($C121,Analytica!$B$59:$B$168,0),MATCH(W$15&amp;W$10,Analytica!$F$58:$AY$58&amp;Analytica!$F$51:'Analytica'!$AY$51,0)),"")</f>
        <v/>
      </c>
      <c r="X121" s="619" t="str">
        <f t="array" ref="X121">IFERROR(INDEX(Analytica!$F$59:$AY$138,MATCH($C121,Analytica!$B$59:$B$168,0),MATCH(X$15&amp;X$10,Analytica!$F$58:$AY$58&amp;Analytica!$F$51:'Analytica'!$AY$51,0)),"")</f>
        <v/>
      </c>
      <c r="Y121" s="619" t="str">
        <f t="array" ref="Y121">IFERROR(INDEX(Analytica!$F$59:$AY$138,MATCH($C121,Analytica!$B$59:$B$168,0),MATCH(Y$15&amp;Y$10,Analytica!$F$58:$AY$58&amp;Analytica!$F$51:'Analytica'!$AY$51,0)),"")</f>
        <v/>
      </c>
      <c r="Z121" s="689">
        <v>50</v>
      </c>
      <c r="AA121" s="689">
        <f>Z121</f>
        <v>50</v>
      </c>
      <c r="AB121" s="689">
        <v>2013</v>
      </c>
      <c r="AC121" s="687">
        <f t="shared" ca="1" si="18"/>
        <v>104</v>
      </c>
    </row>
    <row r="122" spans="1:30" x14ac:dyDescent="0.2">
      <c r="A122" s="1" t="str">
        <f t="shared" si="19"/>
        <v/>
      </c>
      <c r="B122" s="190" t="str">
        <f>ITEMS_nTech!C113</f>
        <v>Transport Other - HFO Oil HFO-N</v>
      </c>
      <c r="C122" s="190" t="str">
        <f>E122&amp;RIGHT(D122,3)&amp;"-N"</f>
        <v>TSHFOOHF-N</v>
      </c>
      <c r="D122" s="611" t="str">
        <f>$I$6</f>
        <v>TRAOHF</v>
      </c>
      <c r="E122" s="611" t="str">
        <f>TRP!B50</f>
        <v>TSHFO</v>
      </c>
      <c r="F122" s="692">
        <v>1</v>
      </c>
      <c r="G122" s="692">
        <f t="shared" si="25"/>
        <v>1</v>
      </c>
      <c r="H122" s="692">
        <f t="shared" si="25"/>
        <v>1</v>
      </c>
      <c r="I122" s="692">
        <f t="shared" si="25"/>
        <v>1</v>
      </c>
      <c r="J122" s="1001">
        <v>1</v>
      </c>
      <c r="K122" s="1001">
        <v>1</v>
      </c>
      <c r="L122" s="1001">
        <v>1</v>
      </c>
      <c r="M122" s="1001">
        <v>1</v>
      </c>
      <c r="N122" s="1001">
        <v>1</v>
      </c>
      <c r="O122" s="691">
        <v>1</v>
      </c>
      <c r="P122" s="619">
        <v>10</v>
      </c>
      <c r="Q122" s="619">
        <f t="shared" si="26"/>
        <v>10</v>
      </c>
      <c r="R122" s="619">
        <f t="shared" si="26"/>
        <v>10</v>
      </c>
      <c r="S122" s="619">
        <f t="shared" si="26"/>
        <v>10</v>
      </c>
      <c r="T122" s="619">
        <f>R122</f>
        <v>10</v>
      </c>
      <c r="U122" s="619">
        <f>T122</f>
        <v>10</v>
      </c>
      <c r="V122" s="619" t="str">
        <f t="array" ref="V122">IFERROR(INDEX(Analytica!$F$59:$AY$138,MATCH($C122,Analytica!$B$59:$B$168,0),MATCH(V$15&amp;V$10,Analytica!$F$58:$AY$58&amp;Analytica!$F$51:'Analytica'!$AY$51,0)),"")</f>
        <v/>
      </c>
      <c r="W122" s="619" t="str">
        <f t="array" ref="W122">IFERROR(INDEX(Analytica!$F$59:$AY$138,MATCH($C122,Analytica!$B$59:$B$168,0),MATCH(W$15&amp;W$10,Analytica!$F$58:$AY$58&amp;Analytica!$F$51:'Analytica'!$AY$51,0)),"")</f>
        <v/>
      </c>
      <c r="X122" s="619" t="str">
        <f t="array" ref="X122">IFERROR(INDEX(Analytica!$F$59:$AY$138,MATCH($C122,Analytica!$B$59:$B$168,0),MATCH(X$15&amp;X$10,Analytica!$F$58:$AY$58&amp;Analytica!$F$51:'Analytica'!$AY$51,0)),"")</f>
        <v/>
      </c>
      <c r="Y122" s="619" t="str">
        <f t="array" ref="Y122">IFERROR(INDEX(Analytica!$F$59:$AY$138,MATCH($C122,Analytica!$B$59:$B$168,0),MATCH(Y$15&amp;Y$10,Analytica!$F$58:$AY$58&amp;Analytica!$F$51:'Analytica'!$AY$51,0)),"")</f>
        <v/>
      </c>
      <c r="Z122" s="689">
        <v>50</v>
      </c>
      <c r="AA122" s="689">
        <f>Z122</f>
        <v>50</v>
      </c>
      <c r="AB122" s="689">
        <v>2013</v>
      </c>
      <c r="AC122" s="687">
        <f t="shared" ca="1" si="18"/>
        <v>105</v>
      </c>
    </row>
    <row r="123" spans="1:30" x14ac:dyDescent="0.2">
      <c r="B123" s="617"/>
      <c r="C123" s="190"/>
      <c r="D123" s="611"/>
      <c r="E123" s="611"/>
      <c r="F123" s="619"/>
      <c r="G123" s="619"/>
      <c r="H123" s="619"/>
      <c r="I123" s="619"/>
      <c r="J123" s="619"/>
      <c r="K123" s="619"/>
      <c r="L123" s="619"/>
      <c r="M123" s="619"/>
      <c r="N123" s="619"/>
      <c r="O123" s="689"/>
      <c r="P123" s="690"/>
      <c r="Q123" s="690"/>
      <c r="R123" s="690"/>
      <c r="S123" s="690"/>
      <c r="T123" s="690"/>
      <c r="U123" s="690"/>
      <c r="V123" s="690"/>
      <c r="W123" s="690"/>
      <c r="X123" s="690"/>
      <c r="Y123" s="690"/>
      <c r="Z123" s="689"/>
      <c r="AA123" s="689"/>
      <c r="AB123" s="689">
        <v>2013</v>
      </c>
      <c r="AC123" s="687">
        <f t="shared" ca="1" si="18"/>
        <v>106</v>
      </c>
    </row>
    <row r="124" spans="1:30" x14ac:dyDescent="0.2">
      <c r="O124" s="1"/>
      <c r="P124" s="1"/>
      <c r="AC124" s="687">
        <f t="shared" ca="1" si="18"/>
        <v>107</v>
      </c>
    </row>
    <row r="125" spans="1:30" x14ac:dyDescent="0.2">
      <c r="O125" s="1"/>
      <c r="P125" s="1"/>
      <c r="AD125" s="634"/>
    </row>
  </sheetData>
  <mergeCells count="1">
    <mergeCell ref="C1:E1"/>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28.5703125" style="681" customWidth="1"/>
    <col min="6" max="16384" width="9.140625" style="681"/>
  </cols>
  <sheetData>
    <row r="1" spans="1:8" x14ac:dyDescent="0.2">
      <c r="A1" s="684"/>
    </row>
    <row r="3" spans="1:8" ht="18.75" customHeight="1" x14ac:dyDescent="0.2"/>
    <row r="6" spans="1:8" ht="15" x14ac:dyDescent="0.25">
      <c r="B6" s="686" t="s">
        <v>1129</v>
      </c>
    </row>
    <row r="7" spans="1:8" ht="15" x14ac:dyDescent="0.25">
      <c r="B7" s="685" t="s">
        <v>1037</v>
      </c>
      <c r="C7" s="685" t="s">
        <v>1038</v>
      </c>
      <c r="D7" s="685" t="s">
        <v>1128</v>
      </c>
      <c r="E7" s="685" t="s">
        <v>1127</v>
      </c>
      <c r="F7" s="685" t="s">
        <v>1126</v>
      </c>
      <c r="G7" s="685" t="s">
        <v>1125</v>
      </c>
      <c r="H7" s="685" t="s">
        <v>1137</v>
      </c>
    </row>
    <row r="8" spans="1:8" x14ac:dyDescent="0.2">
      <c r="A8" s="681" t="s">
        <v>1124</v>
      </c>
      <c r="B8" s="684" t="s">
        <v>1123</v>
      </c>
      <c r="C8" s="684"/>
      <c r="D8" s="684"/>
      <c r="E8" s="684"/>
      <c r="F8" s="684"/>
    </row>
    <row r="9" spans="1:8" x14ac:dyDescent="0.2">
      <c r="A9" s="681" t="str">
        <f>IF(LEFT(NT_TRP!B18,2)="\I","*","")</f>
        <v/>
      </c>
      <c r="B9" s="681" t="str">
        <f>IF(A9="*","",NT_TRP!C18)</f>
        <v>TPPRSUVODS-N</v>
      </c>
      <c r="C9" s="681" t="s">
        <v>1170</v>
      </c>
      <c r="D9" s="683"/>
      <c r="E9" s="683"/>
      <c r="F9" s="681" t="s">
        <v>1122</v>
      </c>
      <c r="G9" s="681" t="s">
        <v>1121</v>
      </c>
      <c r="H9" s="681" t="s">
        <v>1138</v>
      </c>
    </row>
    <row r="10" spans="1:8" x14ac:dyDescent="0.2">
      <c r="A10" s="681" t="str">
        <f>IF(LEFT(NT_TRP!B19,2)="\I","*","")</f>
        <v/>
      </c>
      <c r="B10" s="681" t="str">
        <f>IF(A10="*","",NT_TRP!C19)</f>
        <v>TPPRSUVOGS-N</v>
      </c>
      <c r="C10" s="681" t="s">
        <v>1171</v>
      </c>
      <c r="D10" s="683"/>
      <c r="E10" s="683"/>
      <c r="F10" s="681" t="s">
        <v>1122</v>
      </c>
      <c r="G10" s="681" t="s">
        <v>1121</v>
      </c>
      <c r="H10" s="681" t="s">
        <v>1138</v>
      </c>
    </row>
    <row r="11" spans="1:8" x14ac:dyDescent="0.2">
      <c r="A11" s="681" t="str">
        <f>IF(LEFT(NT_TRP!B20,2)="\I","*","")</f>
        <v/>
      </c>
      <c r="B11" s="681" t="str">
        <f>IF(A11="*","",NT_TRP!C20)</f>
        <v>TPPRSUVODSH-N</v>
      </c>
      <c r="C11" s="681" t="s">
        <v>1172</v>
      </c>
      <c r="D11" s="683"/>
      <c r="E11" s="683"/>
      <c r="F11" s="681" t="s">
        <v>1122</v>
      </c>
      <c r="G11" s="681" t="s">
        <v>1121</v>
      </c>
      <c r="H11" s="681" t="s">
        <v>1138</v>
      </c>
    </row>
    <row r="12" spans="1:8" x14ac:dyDescent="0.2">
      <c r="A12" s="681" t="str">
        <f>IF(LEFT(NT_TRP!B21,2)="\I","*","")</f>
        <v/>
      </c>
      <c r="B12" s="681" t="str">
        <f>IF(A12="*","",NT_TRP!C21)</f>
        <v>TPPRSUVOGSH-N</v>
      </c>
      <c r="C12" s="681" t="s">
        <v>1173</v>
      </c>
      <c r="D12" s="683"/>
      <c r="E12" s="683"/>
      <c r="F12" s="681" t="s">
        <v>1122</v>
      </c>
      <c r="G12" s="681" t="s">
        <v>1121</v>
      </c>
      <c r="H12" s="681" t="s">
        <v>1138</v>
      </c>
    </row>
    <row r="13" spans="1:8" x14ac:dyDescent="0.2">
      <c r="A13" s="681" t="str">
        <f>IF(LEFT(NT_TRP!B22,2)="\I","*","")</f>
        <v/>
      </c>
      <c r="B13" s="681" t="str">
        <f>IF(A13="*","",NT_TRP!C22)</f>
        <v>TPPRSUVGAS-N</v>
      </c>
      <c r="C13" s="681" t="s">
        <v>1174</v>
      </c>
      <c r="D13" s="683"/>
      <c r="E13" s="683"/>
      <c r="F13" s="681" t="s">
        <v>1122</v>
      </c>
      <c r="G13" s="681" t="s">
        <v>1121</v>
      </c>
      <c r="H13" s="681" t="s">
        <v>1138</v>
      </c>
    </row>
    <row r="14" spans="1:8" x14ac:dyDescent="0.2">
      <c r="A14" s="681" t="str">
        <f>IF(LEFT(NT_TRP!B23,2)="\I","*","")</f>
        <v/>
      </c>
      <c r="B14" s="681" t="str">
        <f>IF(A14="*","",NT_TRP!C23)</f>
        <v>TPPRSUVHGNF-N</v>
      </c>
      <c r="C14" s="681" t="s">
        <v>1175</v>
      </c>
      <c r="D14" s="683"/>
      <c r="E14" s="683"/>
      <c r="F14" s="681" t="s">
        <v>1122</v>
      </c>
      <c r="G14" s="681" t="s">
        <v>1121</v>
      </c>
      <c r="H14" s="681" t="s">
        <v>1138</v>
      </c>
    </row>
    <row r="15" spans="1:8" x14ac:dyDescent="0.2">
      <c r="A15" s="681" t="str">
        <f>IF(LEFT(NT_TRP!B24,2)="\I","*","")</f>
        <v/>
      </c>
      <c r="B15" s="681" t="str">
        <f>IF(A15="*","",NT_TRP!C24)</f>
        <v>TPPRSUVBGS-N</v>
      </c>
      <c r="C15" s="681" t="s">
        <v>1176</v>
      </c>
      <c r="D15" s="683"/>
      <c r="E15" s="683"/>
      <c r="F15" s="681" t="s">
        <v>1122</v>
      </c>
      <c r="G15" s="681" t="s">
        <v>1121</v>
      </c>
      <c r="H15" s="681" t="s">
        <v>1138</v>
      </c>
    </row>
    <row r="16" spans="1:8" x14ac:dyDescent="0.2">
      <c r="A16" s="681" t="str">
        <f>IF(LEFT(NT_TRP!B25,2)="\I","*","")</f>
        <v/>
      </c>
      <c r="B16" s="681" t="str">
        <f>IF(A16="*","",NT_TRP!C25)</f>
        <v>TPPRSUVELC-N</v>
      </c>
      <c r="C16" s="681" t="s">
        <v>1177</v>
      </c>
      <c r="D16" s="683"/>
      <c r="E16" s="683"/>
      <c r="F16" s="681" t="s">
        <v>1122</v>
      </c>
      <c r="G16" s="681" t="s">
        <v>1121</v>
      </c>
      <c r="H16" s="681" t="s">
        <v>1138</v>
      </c>
    </row>
    <row r="17" spans="1:8" x14ac:dyDescent="0.2">
      <c r="A17" s="681" t="str">
        <f>IF(LEFT(NT_TRP!B26,2)="\I","*","")</f>
        <v/>
      </c>
      <c r="C17" s="681" t="s">
        <v>815</v>
      </c>
      <c r="D17" s="683"/>
      <c r="E17" s="683"/>
    </row>
    <row r="18" spans="1:8" x14ac:dyDescent="0.2">
      <c r="A18" s="681" t="str">
        <f>IF(LEFT(NT_TRP!B27,2)="\I","*","")</f>
        <v/>
      </c>
      <c r="B18" s="681" t="str">
        <f>IF(A18="*","",NT_TRP!C27)</f>
        <v>TPPRCARODS-N</v>
      </c>
      <c r="C18" s="681" t="s">
        <v>1178</v>
      </c>
      <c r="D18" s="683"/>
      <c r="E18" s="683"/>
      <c r="F18" s="681" t="s">
        <v>1122</v>
      </c>
      <c r="G18" s="681" t="s">
        <v>1121</v>
      </c>
      <c r="H18" s="681" t="s">
        <v>1138</v>
      </c>
    </row>
    <row r="19" spans="1:8" x14ac:dyDescent="0.2">
      <c r="A19" s="681" t="str">
        <f>IF(LEFT(NT_TRP!B28,2)="\I","*","")</f>
        <v/>
      </c>
      <c r="B19" s="681" t="str">
        <f>IF(A19="*","",NT_TRP!C28)</f>
        <v>TPPRCAROGS-N</v>
      </c>
      <c r="C19" s="681" t="s">
        <v>1179</v>
      </c>
      <c r="D19" s="683"/>
      <c r="E19" s="683"/>
      <c r="F19" s="681" t="s">
        <v>1122</v>
      </c>
      <c r="G19" s="681" t="s">
        <v>1121</v>
      </c>
      <c r="H19" s="681" t="s">
        <v>1138</v>
      </c>
    </row>
    <row r="20" spans="1:8" x14ac:dyDescent="0.2">
      <c r="A20" s="681" t="str">
        <f>IF(LEFT(NT_TRP!B29,2)="\I","*","")</f>
        <v/>
      </c>
      <c r="B20" s="681" t="str">
        <f>IF(A20="*","",NT_TRP!C29)</f>
        <v>TPPRCARODSH-N</v>
      </c>
      <c r="C20" s="681" t="s">
        <v>1180</v>
      </c>
      <c r="D20" s="683"/>
      <c r="E20" s="683"/>
      <c r="F20" s="681" t="s">
        <v>1122</v>
      </c>
      <c r="G20" s="681" t="s">
        <v>1121</v>
      </c>
      <c r="H20" s="681" t="s">
        <v>1138</v>
      </c>
    </row>
    <row r="21" spans="1:8" x14ac:dyDescent="0.2">
      <c r="A21" s="681" t="str">
        <f>IF(LEFT(NT_TRP!B30,2)="\I","*","")</f>
        <v/>
      </c>
      <c r="B21" s="681" t="str">
        <f>IF(A21="*","",NT_TRP!C30)</f>
        <v>TPPRCAROGSH-N</v>
      </c>
      <c r="C21" s="681" t="s">
        <v>1181</v>
      </c>
      <c r="D21" s="683"/>
      <c r="E21" s="683"/>
      <c r="F21" s="681" t="s">
        <v>1122</v>
      </c>
      <c r="G21" s="681" t="s">
        <v>1121</v>
      </c>
      <c r="H21" s="681" t="s">
        <v>1138</v>
      </c>
    </row>
    <row r="22" spans="1:8" x14ac:dyDescent="0.2">
      <c r="A22" s="681" t="str">
        <f>IF(LEFT(NT_TRP!B31,2)="\I","*","")</f>
        <v/>
      </c>
      <c r="B22" s="681" t="str">
        <f>IF(A22="*","",NT_TRP!C31)</f>
        <v>TPPRCARELC-N</v>
      </c>
      <c r="C22" s="681" t="s">
        <v>1182</v>
      </c>
      <c r="D22" s="683"/>
      <c r="E22" s="683"/>
      <c r="F22" s="681" t="s">
        <v>1122</v>
      </c>
      <c r="G22" s="681" t="s">
        <v>1121</v>
      </c>
      <c r="H22" s="681" t="s">
        <v>1138</v>
      </c>
    </row>
    <row r="23" spans="1:8" x14ac:dyDescent="0.2">
      <c r="A23" s="681" t="str">
        <f>IF(LEFT(NT_TRP!B32,2)="\I","*","")</f>
        <v/>
      </c>
      <c r="B23" s="681" t="str">
        <f>IF(A23="*","",NT_TRP!C32)</f>
        <v>TPPRCARGAS-N</v>
      </c>
      <c r="C23" s="681" t="s">
        <v>1183</v>
      </c>
      <c r="D23" s="683"/>
      <c r="E23" s="683"/>
      <c r="F23" s="681" t="s">
        <v>1122</v>
      </c>
      <c r="G23" s="681" t="s">
        <v>1121</v>
      </c>
      <c r="H23" s="681" t="s">
        <v>1138</v>
      </c>
    </row>
    <row r="24" spans="1:8" x14ac:dyDescent="0.2">
      <c r="A24" s="681" t="str">
        <f>IF(LEFT(NT_TRP!B33,2)="\I","*","")</f>
        <v/>
      </c>
      <c r="B24" s="681" t="str">
        <f>IF(A24="*","",NT_TRP!C33)</f>
        <v>TPPRCARHGNF-N</v>
      </c>
      <c r="C24" s="681" t="s">
        <v>1184</v>
      </c>
      <c r="D24" s="683"/>
      <c r="E24" s="683"/>
      <c r="F24" s="681" t="s">
        <v>1122</v>
      </c>
      <c r="G24" s="681" t="s">
        <v>1121</v>
      </c>
      <c r="H24" s="681" t="s">
        <v>1138</v>
      </c>
    </row>
    <row r="25" spans="1:8" x14ac:dyDescent="0.2">
      <c r="A25" s="681" t="str">
        <f>IF(LEFT(NT_TRP!B34,2)="\I","*","")</f>
        <v/>
      </c>
      <c r="B25" s="681" t="str">
        <f>IF(A25="*","",NT_TRP!C34)</f>
        <v>TPPRCARBGS-N</v>
      </c>
      <c r="C25" s="681" t="s">
        <v>1185</v>
      </c>
      <c r="D25" s="683"/>
      <c r="E25" s="683"/>
      <c r="F25" s="681" t="s">
        <v>1122</v>
      </c>
      <c r="G25" s="681" t="s">
        <v>1121</v>
      </c>
      <c r="H25" s="681" t="s">
        <v>1138</v>
      </c>
    </row>
    <row r="26" spans="1:8" x14ac:dyDescent="0.2">
      <c r="A26" s="681" t="str">
        <f>IF(LEFT(NT_TRP!B35,2)="\I","*","")</f>
        <v/>
      </c>
      <c r="C26" s="681" t="s">
        <v>815</v>
      </c>
      <c r="D26" s="683"/>
      <c r="E26" s="683"/>
    </row>
    <row r="27" spans="1:8" x14ac:dyDescent="0.2">
      <c r="A27" s="681" t="str">
        <f>IF(LEFT(NT_TRP!B36,2)="\I","*","")</f>
        <v/>
      </c>
      <c r="B27" s="681" t="str">
        <f>IF(A27="*","",NT_TRP!C36)</f>
        <v>TPPRMOTOGS-N</v>
      </c>
      <c r="C27" s="681" t="s">
        <v>1186</v>
      </c>
      <c r="D27" s="683"/>
      <c r="E27" s="683"/>
      <c r="F27" s="681" t="s">
        <v>1122</v>
      </c>
      <c r="G27" s="681" t="s">
        <v>1121</v>
      </c>
      <c r="H27" s="681" t="s">
        <v>1138</v>
      </c>
    </row>
    <row r="28" spans="1:8" x14ac:dyDescent="0.2">
      <c r="A28" s="681" t="str">
        <f>IF(LEFT(NT_TRP!B37,2)="\I","*","")</f>
        <v/>
      </c>
      <c r="B28" s="681" t="str">
        <f>IF(A28="*","",NT_TRP!C37)</f>
        <v>TPPRMOTELC-N</v>
      </c>
      <c r="C28" s="681" t="s">
        <v>1187</v>
      </c>
      <c r="D28" s="683"/>
      <c r="E28" s="683"/>
      <c r="F28" s="681" t="s">
        <v>1122</v>
      </c>
      <c r="G28" s="681" t="s">
        <v>1121</v>
      </c>
      <c r="H28" s="681" t="s">
        <v>1138</v>
      </c>
    </row>
    <row r="29" spans="1:8" x14ac:dyDescent="0.2">
      <c r="A29" s="681" t="str">
        <f>IF(LEFT(NT_TRP!B38,2)="\I","*","")</f>
        <v/>
      </c>
      <c r="C29" s="681" t="s">
        <v>815</v>
      </c>
      <c r="D29" s="683"/>
      <c r="E29" s="683"/>
      <c r="F29" s="681" t="s">
        <v>1122</v>
      </c>
      <c r="G29" s="681" t="s">
        <v>1121</v>
      </c>
      <c r="H29" s="681" t="s">
        <v>1138</v>
      </c>
    </row>
    <row r="30" spans="1:8" x14ac:dyDescent="0.2">
      <c r="A30" s="681" t="str">
        <f>IF(LEFT(NT_TRP!B39,2)="\I","*","")</f>
        <v/>
      </c>
      <c r="B30" s="681" t="str">
        <f>IF(A30="*","",NT_TRP!C39)</f>
        <v>TPPUBUSODS-N</v>
      </c>
      <c r="C30" s="681" t="s">
        <v>1188</v>
      </c>
      <c r="D30" s="683"/>
      <c r="E30" s="683"/>
      <c r="F30" s="681" t="s">
        <v>1122</v>
      </c>
      <c r="G30" s="681" t="s">
        <v>1121</v>
      </c>
      <c r="H30" s="681" t="s">
        <v>1138</v>
      </c>
    </row>
    <row r="31" spans="1:8" x14ac:dyDescent="0.2">
      <c r="A31" s="681" t="str">
        <f>IF(LEFT(NT_TRP!B40,2)="\I","*","")</f>
        <v/>
      </c>
      <c r="B31" s="681" t="str">
        <f>IF(A31="*","",NT_TRP!C40)</f>
        <v>TPPUBUSGAS-N</v>
      </c>
      <c r="C31" s="681" t="s">
        <v>1189</v>
      </c>
      <c r="D31" s="683"/>
      <c r="E31" s="683"/>
      <c r="F31" s="681" t="s">
        <v>1122</v>
      </c>
      <c r="G31" s="681" t="s">
        <v>1121</v>
      </c>
      <c r="H31" s="681" t="s">
        <v>1138</v>
      </c>
    </row>
    <row r="32" spans="1:8" x14ac:dyDescent="0.2">
      <c r="A32" s="681" t="str">
        <f>IF(LEFT(NT_TRP!B41,2)="\I","*","")</f>
        <v/>
      </c>
      <c r="B32" s="681" t="str">
        <f>IF(A32="*","",NT_TRP!C41)</f>
        <v>TPPUBUSHGNF-N</v>
      </c>
      <c r="C32" s="681" t="s">
        <v>1190</v>
      </c>
      <c r="D32" s="683"/>
      <c r="E32" s="683"/>
      <c r="F32" s="681" t="s">
        <v>1122</v>
      </c>
      <c r="G32" s="681" t="s">
        <v>1121</v>
      </c>
      <c r="H32" s="681" t="s">
        <v>1138</v>
      </c>
    </row>
    <row r="33" spans="1:8" x14ac:dyDescent="0.2">
      <c r="A33" s="681" t="str">
        <f>IF(LEFT(NT_TRP!B42,2)="\I","*","")</f>
        <v/>
      </c>
      <c r="B33" s="681" t="str">
        <f>IF(A33="*","",NT_TRP!C42)</f>
        <v>TPPUBUSBGS-N</v>
      </c>
      <c r="C33" s="681" t="s">
        <v>1191</v>
      </c>
      <c r="D33" s="683"/>
      <c r="E33" s="683"/>
      <c r="F33" s="681" t="s">
        <v>1122</v>
      </c>
      <c r="G33" s="681" t="s">
        <v>1121</v>
      </c>
      <c r="H33" s="681" t="s">
        <v>1138</v>
      </c>
    </row>
    <row r="34" spans="1:8" x14ac:dyDescent="0.2">
      <c r="A34" s="681" t="str">
        <f>IF(LEFT(NT_TRP!B43,2)="\I","*","")</f>
        <v/>
      </c>
      <c r="B34" s="681" t="str">
        <f>IF(A34="*","",NT_TRP!C43)</f>
        <v>TPPUBUSELC-N</v>
      </c>
      <c r="C34" s="681" t="s">
        <v>1192</v>
      </c>
      <c r="D34" s="683"/>
      <c r="E34" s="683"/>
      <c r="F34" s="681" t="s">
        <v>1122</v>
      </c>
      <c r="G34" s="681" t="s">
        <v>1121</v>
      </c>
      <c r="H34" s="681" t="s">
        <v>1138</v>
      </c>
    </row>
    <row r="35" spans="1:8" x14ac:dyDescent="0.2">
      <c r="A35" s="681" t="str">
        <f>IF(LEFT(NT_TRP!B44,2)="\I","*","")</f>
        <v/>
      </c>
      <c r="C35" s="681" t="s">
        <v>815</v>
      </c>
      <c r="D35" s="683"/>
      <c r="E35" s="683"/>
    </row>
    <row r="36" spans="1:8" x14ac:dyDescent="0.2">
      <c r="A36" s="681" t="str">
        <f>IF(LEFT(NT_TRP!B45,2)="\I","*","")</f>
        <v/>
      </c>
      <c r="B36" s="681" t="str">
        <f>IF(A36="*","",NT_TRP!C45)</f>
        <v>TPPUMBTODS-N</v>
      </c>
      <c r="C36" s="681" t="s">
        <v>1193</v>
      </c>
      <c r="D36" s="683"/>
      <c r="E36" s="683"/>
      <c r="F36" s="681" t="s">
        <v>1122</v>
      </c>
      <c r="G36" s="681" t="s">
        <v>1121</v>
      </c>
      <c r="H36" s="681" t="s">
        <v>1138</v>
      </c>
    </row>
    <row r="37" spans="1:8" x14ac:dyDescent="0.2">
      <c r="A37" s="681" t="str">
        <f>IF(LEFT(NT_TRP!B46,2)="\I","*","")</f>
        <v/>
      </c>
      <c r="B37" s="681" t="str">
        <f>IF(A37="*","",NT_TRP!C46)</f>
        <v>TPPUMBTOGS-N</v>
      </c>
      <c r="C37" s="681" t="s">
        <v>1194</v>
      </c>
      <c r="D37" s="683"/>
      <c r="E37" s="683"/>
      <c r="F37" s="681" t="s">
        <v>1122</v>
      </c>
      <c r="G37" s="681" t="s">
        <v>1121</v>
      </c>
      <c r="H37" s="681" t="s">
        <v>1138</v>
      </c>
    </row>
    <row r="38" spans="1:8" x14ac:dyDescent="0.2">
      <c r="A38" s="681" t="str">
        <f>IF(LEFT(NT_TRP!B47,2)="\I","*","")</f>
        <v/>
      </c>
      <c r="B38" s="681" t="str">
        <f>IF(A38="*","",NT_TRP!C47)</f>
        <v>TPPUMBTODSH-N</v>
      </c>
      <c r="C38" s="681" t="s">
        <v>1195</v>
      </c>
      <c r="D38" s="683"/>
      <c r="E38" s="683"/>
      <c r="F38" s="681" t="s">
        <v>1122</v>
      </c>
      <c r="G38" s="681" t="s">
        <v>1121</v>
      </c>
      <c r="H38" s="681" t="s">
        <v>1138</v>
      </c>
    </row>
    <row r="39" spans="1:8" x14ac:dyDescent="0.2">
      <c r="A39" s="681" t="str">
        <f>IF(LEFT(NT_TRP!B48,2)="\I","*","")</f>
        <v/>
      </c>
      <c r="B39" s="681" t="str">
        <f>IF(A39="*","",NT_TRP!C48)</f>
        <v>TPPUMBTGAS-N</v>
      </c>
      <c r="C39" s="681" t="s">
        <v>1196</v>
      </c>
      <c r="D39" s="683"/>
      <c r="E39" s="683"/>
      <c r="F39" s="681" t="s">
        <v>1122</v>
      </c>
      <c r="G39" s="681" t="s">
        <v>1121</v>
      </c>
      <c r="H39" s="681" t="s">
        <v>1138</v>
      </c>
    </row>
    <row r="40" spans="1:8" x14ac:dyDescent="0.2">
      <c r="A40" s="681" t="str">
        <f>IF(LEFT(NT_TRP!B49,2)="\I","*","")</f>
        <v/>
      </c>
      <c r="B40" s="681" t="str">
        <f>IF(A40="*","",NT_TRP!C49)</f>
        <v>TPPUMBTHGNF-N</v>
      </c>
      <c r="C40" s="681" t="s">
        <v>1197</v>
      </c>
      <c r="D40" s="683"/>
      <c r="E40" s="683"/>
      <c r="F40" s="681" t="s">
        <v>1122</v>
      </c>
      <c r="G40" s="681" t="s">
        <v>1121</v>
      </c>
      <c r="H40" s="681" t="s">
        <v>1138</v>
      </c>
    </row>
    <row r="41" spans="1:8" x14ac:dyDescent="0.2">
      <c r="A41" s="681" t="str">
        <f>IF(LEFT(NT_TRP!B50,2)="\I","*","")</f>
        <v/>
      </c>
      <c r="B41" s="681" t="str">
        <f>IF(A41="*","",NT_TRP!C50)</f>
        <v>TPPUMBTBGS-N</v>
      </c>
      <c r="C41" s="681" t="s">
        <v>1198</v>
      </c>
      <c r="D41" s="683"/>
      <c r="E41" s="683"/>
      <c r="F41" s="681" t="s">
        <v>1122</v>
      </c>
      <c r="G41" s="681" t="s">
        <v>1121</v>
      </c>
      <c r="H41" s="681" t="s">
        <v>1138</v>
      </c>
    </row>
    <row r="42" spans="1:8" x14ac:dyDescent="0.2">
      <c r="A42" s="681" t="str">
        <f>IF(LEFT(NT_TRP!B51,2)="\I","*","")</f>
        <v/>
      </c>
      <c r="B42" s="681" t="str">
        <f>IF(A42="*","",NT_TRP!C51)</f>
        <v>TPPUMBTELC-N</v>
      </c>
      <c r="C42" s="681" t="s">
        <v>1199</v>
      </c>
      <c r="D42" s="683"/>
      <c r="E42" s="683"/>
      <c r="F42" s="681" t="s">
        <v>1122</v>
      </c>
      <c r="G42" s="681" t="s">
        <v>1121</v>
      </c>
      <c r="H42" s="681" t="s">
        <v>1138</v>
      </c>
    </row>
    <row r="43" spans="1:8" x14ac:dyDescent="0.2">
      <c r="A43" s="681" t="str">
        <f>IF(LEFT(NT_TRP!B52,2)="\I","*","")</f>
        <v/>
      </c>
      <c r="C43" s="681" t="s">
        <v>815</v>
      </c>
      <c r="D43" s="683"/>
      <c r="E43" s="683"/>
    </row>
    <row r="44" spans="1:8" x14ac:dyDescent="0.2">
      <c r="A44" s="681" t="str">
        <f>IF(LEFT(NT_TRP!B53,2)="\I","*","")</f>
        <v/>
      </c>
      <c r="B44" s="681" t="str">
        <f>IF(A44="*","",NT_TRP!C53)</f>
        <v>TPPUBRTODS-N</v>
      </c>
      <c r="C44" s="681" t="s">
        <v>1200</v>
      </c>
      <c r="D44" s="683"/>
      <c r="E44" s="683"/>
      <c r="F44" s="681" t="s">
        <v>1122</v>
      </c>
      <c r="G44" s="681" t="s">
        <v>1121</v>
      </c>
      <c r="H44" s="681" t="s">
        <v>1138</v>
      </c>
    </row>
    <row r="45" spans="1:8" x14ac:dyDescent="0.2">
      <c r="A45" s="681" t="str">
        <f>IF(LEFT(NT_TRP!B54,2)="\I","*","")</f>
        <v/>
      </c>
      <c r="B45" s="681" t="str">
        <f>IF(A45="*","",NT_TRP!C54)</f>
        <v>TPPUBRTGAS-N</v>
      </c>
      <c r="C45" s="681" t="s">
        <v>1201</v>
      </c>
      <c r="D45" s="683"/>
      <c r="E45" s="683"/>
      <c r="F45" s="681" t="s">
        <v>1122</v>
      </c>
      <c r="G45" s="681" t="s">
        <v>1121</v>
      </c>
      <c r="H45" s="681" t="s">
        <v>1138</v>
      </c>
    </row>
    <row r="46" spans="1:8" x14ac:dyDescent="0.2">
      <c r="A46" s="681" t="str">
        <f>IF(LEFT(NT_TRP!B55,2)="\I","*","")</f>
        <v/>
      </c>
      <c r="B46" s="681" t="str">
        <f>IF(A46="*","",NT_TRP!C55)</f>
        <v>TPPUBRTELC-N</v>
      </c>
      <c r="C46" s="681" t="s">
        <v>1202</v>
      </c>
      <c r="D46" s="683"/>
      <c r="E46" s="683"/>
      <c r="F46" s="681" t="s">
        <v>1122</v>
      </c>
      <c r="G46" s="681" t="s">
        <v>1121</v>
      </c>
      <c r="H46" s="681" t="s">
        <v>1138</v>
      </c>
    </row>
    <row r="47" spans="1:8" x14ac:dyDescent="0.2">
      <c r="A47" s="681" t="str">
        <f>IF(LEFT(NT_TRP!B56,2)="\I","*","")</f>
        <v/>
      </c>
      <c r="B47" s="681" t="str">
        <f>IF(A47="*","",NT_TRP!C56)</f>
        <v>TPPUBRTHGNF-N</v>
      </c>
      <c r="C47" s="681" t="s">
        <v>1203</v>
      </c>
      <c r="D47" s="683"/>
      <c r="E47" s="683"/>
      <c r="F47" s="681" t="s">
        <v>1122</v>
      </c>
      <c r="G47" s="681" t="s">
        <v>1121</v>
      </c>
      <c r="H47" s="681" t="s">
        <v>1138</v>
      </c>
    </row>
    <row r="48" spans="1:8" x14ac:dyDescent="0.2">
      <c r="A48" s="681" t="str">
        <f>IF(LEFT(NT_TRP!B57,2)="\I","*","")</f>
        <v/>
      </c>
      <c r="B48" s="681" t="str">
        <f>IF(A48="*","",NT_TRP!C57)</f>
        <v>TPPUBRTBGS-N</v>
      </c>
      <c r="C48" s="681" t="s">
        <v>1204</v>
      </c>
      <c r="D48" s="683"/>
      <c r="E48" s="683"/>
      <c r="F48" s="681" t="s">
        <v>1122</v>
      </c>
      <c r="G48" s="681" t="s">
        <v>1121</v>
      </c>
      <c r="H48" s="681" t="s">
        <v>1138</v>
      </c>
    </row>
    <row r="49" spans="1:8" x14ac:dyDescent="0.2">
      <c r="A49" s="681" t="str">
        <f>IF(LEFT(NT_TRP!B58,2)="\I","*","")</f>
        <v/>
      </c>
      <c r="C49" s="681" t="s">
        <v>815</v>
      </c>
      <c r="D49" s="683"/>
      <c r="E49" s="683"/>
    </row>
    <row r="50" spans="1:8" x14ac:dyDescent="0.2">
      <c r="A50" s="681" t="str">
        <f>IF(LEFT(NT_TRP!B59,2)="\I","*","")</f>
        <v/>
      </c>
      <c r="B50" s="681" t="str">
        <f>IF(A50="*","",NT_TRP!C59)</f>
        <v>TPPUMERELC-N</v>
      </c>
      <c r="C50" s="681" t="s">
        <v>1205</v>
      </c>
      <c r="D50" s="683" t="s">
        <v>1149</v>
      </c>
      <c r="E50" s="683" t="s">
        <v>1150</v>
      </c>
      <c r="F50" s="681" t="s">
        <v>1122</v>
      </c>
      <c r="G50" s="681" t="s">
        <v>1121</v>
      </c>
    </row>
    <row r="51" spans="1:8" x14ac:dyDescent="0.2">
      <c r="A51" s="681" t="str">
        <f>IF(LEFT(NT_TRP!B60,2)="\I","*","")</f>
        <v/>
      </c>
      <c r="C51" s="681" t="s">
        <v>815</v>
      </c>
      <c r="D51" s="683"/>
      <c r="E51" s="683"/>
    </row>
    <row r="52" spans="1:8" x14ac:dyDescent="0.2">
      <c r="A52" s="681" t="str">
        <f>IF(LEFT(NT_TRP!B61,2)="\I","*","")</f>
        <v/>
      </c>
      <c r="B52" s="681" t="str">
        <f>IF(A52="*","",NT_TRP!C61)</f>
        <v>TPPUGATELC-N</v>
      </c>
      <c r="C52" s="681" t="s">
        <v>1206</v>
      </c>
      <c r="D52" s="683" t="s">
        <v>1149</v>
      </c>
      <c r="E52" s="683" t="s">
        <v>1150</v>
      </c>
      <c r="F52" s="681" t="s">
        <v>1122</v>
      </c>
      <c r="G52" s="681" t="s">
        <v>1121</v>
      </c>
    </row>
    <row r="53" spans="1:8" x14ac:dyDescent="0.2">
      <c r="A53" s="681" t="str">
        <f>IF(LEFT(NT_TRP!B62,2)="\I","*","")</f>
        <v/>
      </c>
      <c r="C53" s="681" t="s">
        <v>815</v>
      </c>
      <c r="D53" s="683"/>
      <c r="E53" s="683"/>
    </row>
    <row r="54" spans="1:8" x14ac:dyDescent="0.2">
      <c r="A54" s="681" t="str">
        <f>IF(LEFT(NT_TRP!B63,2)="\I","*","")</f>
        <v/>
      </c>
      <c r="C54" s="681" t="s">
        <v>815</v>
      </c>
      <c r="D54" s="683"/>
      <c r="E54" s="683"/>
    </row>
    <row r="55" spans="1:8" x14ac:dyDescent="0.2">
      <c r="A55" s="681" t="str">
        <f>IF(LEFT(NT_TRP!B64,2)="\I","*","")</f>
        <v/>
      </c>
      <c r="C55" s="681" t="s">
        <v>815</v>
      </c>
      <c r="D55" s="683"/>
      <c r="E55" s="683"/>
    </row>
    <row r="56" spans="1:8" x14ac:dyDescent="0.2">
      <c r="A56" s="681" t="str">
        <f>IF(LEFT(NT_TRP!B65,2)="\I","*","")</f>
        <v/>
      </c>
      <c r="B56" s="681" t="str">
        <f>IF(A56="*","",NT_TRP!C65)</f>
        <v>TFLCVODS-N</v>
      </c>
      <c r="C56" s="681" t="s">
        <v>1207</v>
      </c>
      <c r="D56" s="683"/>
      <c r="E56" s="683"/>
      <c r="F56" s="681" t="s">
        <v>1122</v>
      </c>
      <c r="G56" s="681" t="s">
        <v>1121</v>
      </c>
      <c r="H56" s="681" t="s">
        <v>1138</v>
      </c>
    </row>
    <row r="57" spans="1:8" x14ac:dyDescent="0.2">
      <c r="A57" s="681" t="str">
        <f>IF(LEFT(NT_TRP!B66,2)="\I","*","")</f>
        <v/>
      </c>
      <c r="B57" s="681" t="str">
        <f>IF(A57="*","",NT_TRP!C66)</f>
        <v>TFLCVODSH-N</v>
      </c>
      <c r="C57" s="681" t="s">
        <v>1208</v>
      </c>
      <c r="D57" s="683"/>
      <c r="E57" s="683"/>
      <c r="F57" s="681" t="s">
        <v>1122</v>
      </c>
      <c r="G57" s="681" t="s">
        <v>1121</v>
      </c>
      <c r="H57" s="681" t="s">
        <v>1138</v>
      </c>
    </row>
    <row r="58" spans="1:8" x14ac:dyDescent="0.2">
      <c r="A58" s="681" t="str">
        <f>IF(LEFT(NT_TRP!B67,2)="\I","*","")</f>
        <v/>
      </c>
      <c r="B58" s="681" t="str">
        <f>IF(A58="*","",NT_TRP!C67)</f>
        <v>TFLCVOGS-N</v>
      </c>
      <c r="C58" s="681" t="s">
        <v>1209</v>
      </c>
      <c r="D58" s="683"/>
      <c r="E58" s="683"/>
      <c r="F58" s="681" t="s">
        <v>1122</v>
      </c>
      <c r="G58" s="681" t="s">
        <v>1121</v>
      </c>
      <c r="H58" s="681" t="s">
        <v>1138</v>
      </c>
    </row>
    <row r="59" spans="1:8" x14ac:dyDescent="0.2">
      <c r="A59" s="681" t="str">
        <f>IF(LEFT(NT_TRP!B68,2)="\I","*","")</f>
        <v/>
      </c>
      <c r="B59" s="681" t="str">
        <f>IF(A59="*","",NT_TRP!C68)</f>
        <v>TFLCVOGSH-N</v>
      </c>
      <c r="C59" s="681" t="s">
        <v>1210</v>
      </c>
      <c r="D59" s="683"/>
      <c r="E59" s="683"/>
      <c r="F59" s="681" t="s">
        <v>1122</v>
      </c>
      <c r="G59" s="681" t="s">
        <v>1121</v>
      </c>
      <c r="H59" s="681" t="s">
        <v>1138</v>
      </c>
    </row>
    <row r="60" spans="1:8" x14ac:dyDescent="0.2">
      <c r="A60" s="681" t="str">
        <f>IF(LEFT(NT_TRP!B69,2)="\I","*","")</f>
        <v/>
      </c>
      <c r="B60" s="681" t="str">
        <f>IF(A60="*","",NT_TRP!C69)</f>
        <v>TFLCVGAS-N</v>
      </c>
      <c r="C60" s="681" t="s">
        <v>1211</v>
      </c>
      <c r="D60" s="683"/>
      <c r="E60" s="683"/>
      <c r="F60" s="681" t="s">
        <v>1122</v>
      </c>
      <c r="G60" s="681" t="s">
        <v>1121</v>
      </c>
      <c r="H60" s="681" t="s">
        <v>1138</v>
      </c>
    </row>
    <row r="61" spans="1:8" x14ac:dyDescent="0.2">
      <c r="A61" s="681" t="str">
        <f>IF(LEFT(NT_TRP!B70,2)="\I","*","")</f>
        <v/>
      </c>
      <c r="B61" s="681" t="str">
        <f>IF(A61="*","",NT_TRP!C70)</f>
        <v>TFLCVELC-N</v>
      </c>
      <c r="C61" s="681" t="s">
        <v>1212</v>
      </c>
      <c r="D61" s="683"/>
      <c r="E61" s="683"/>
      <c r="F61" s="681" t="s">
        <v>1122</v>
      </c>
      <c r="G61" s="681" t="s">
        <v>1121</v>
      </c>
      <c r="H61" s="681" t="s">
        <v>1138</v>
      </c>
    </row>
    <row r="62" spans="1:8" x14ac:dyDescent="0.2">
      <c r="A62" s="681" t="str">
        <f>IF(LEFT(NT_TRP!B71,2)="\I","*","")</f>
        <v/>
      </c>
      <c r="C62" s="681" t="s">
        <v>815</v>
      </c>
      <c r="D62" s="683"/>
      <c r="E62" s="683"/>
    </row>
    <row r="63" spans="1:8" x14ac:dyDescent="0.2">
      <c r="A63" s="681" t="str">
        <f>IF(LEFT(NT_TRP!B72,2)="\I","*","")</f>
        <v/>
      </c>
      <c r="B63" s="681" t="str">
        <f>IF(A63="*","",NT_TRP!C72)</f>
        <v>TFHCV1ODS-N</v>
      </c>
      <c r="C63" s="681" t="s">
        <v>1213</v>
      </c>
      <c r="D63" s="683"/>
      <c r="E63" s="683"/>
      <c r="F63" s="681" t="s">
        <v>1122</v>
      </c>
      <c r="G63" s="681" t="s">
        <v>1121</v>
      </c>
      <c r="H63" s="681" t="s">
        <v>1138</v>
      </c>
    </row>
    <row r="64" spans="1:8" x14ac:dyDescent="0.2">
      <c r="A64" s="681" t="str">
        <f>IF(LEFT(NT_TRP!B73,2)="\I","*","")</f>
        <v/>
      </c>
      <c r="B64" s="681" t="str">
        <f>IF(A64="*","",NT_TRP!C73)</f>
        <v>TFHCV1OGS-N</v>
      </c>
      <c r="C64" s="681" t="s">
        <v>1214</v>
      </c>
      <c r="D64" s="683"/>
      <c r="E64" s="683"/>
      <c r="F64" s="681" t="s">
        <v>1122</v>
      </c>
      <c r="G64" s="681" t="s">
        <v>1121</v>
      </c>
      <c r="H64" s="681" t="s">
        <v>1138</v>
      </c>
    </row>
    <row r="65" spans="1:8" x14ac:dyDescent="0.2">
      <c r="A65" s="681" t="str">
        <f>IF(LEFT(NT_TRP!B74,2)="\I","*","")</f>
        <v/>
      </c>
      <c r="B65" s="681" t="str">
        <f>IF(A65="*","",NT_TRP!C74)</f>
        <v>TFHCV2ODS-N</v>
      </c>
      <c r="C65" s="681" t="s">
        <v>1215</v>
      </c>
      <c r="D65" s="683"/>
      <c r="E65" s="683"/>
      <c r="F65" s="681" t="s">
        <v>1122</v>
      </c>
      <c r="G65" s="681" t="s">
        <v>1121</v>
      </c>
      <c r="H65" s="681" t="s">
        <v>1138</v>
      </c>
    </row>
    <row r="66" spans="1:8" x14ac:dyDescent="0.2">
      <c r="A66" s="681" t="str">
        <f>IF(LEFT(NT_TRP!B75,2)="\I","*","")</f>
        <v/>
      </c>
      <c r="B66" s="681" t="str">
        <f>IF(A66="*","",NT_TRP!C75)</f>
        <v>TFHCV3ODS-N</v>
      </c>
      <c r="C66" s="681" t="s">
        <v>1216</v>
      </c>
      <c r="D66" s="683"/>
      <c r="E66" s="683"/>
      <c r="F66" s="681" t="s">
        <v>1122</v>
      </c>
      <c r="G66" s="681" t="s">
        <v>1121</v>
      </c>
      <c r="H66" s="681" t="s">
        <v>1138</v>
      </c>
    </row>
    <row r="67" spans="1:8" x14ac:dyDescent="0.2">
      <c r="A67" s="681" t="str">
        <f>IF(LEFT(NT_TRP!B76,2)="\I","*","")</f>
        <v/>
      </c>
      <c r="B67" s="681" t="str">
        <f>IF(A67="*","",NT_TRP!C76)</f>
        <v>TFHCV4ODS-N</v>
      </c>
      <c r="C67" s="681" t="s">
        <v>1217</v>
      </c>
      <c r="D67" s="683"/>
      <c r="E67" s="683"/>
      <c r="F67" s="681" t="s">
        <v>1122</v>
      </c>
      <c r="G67" s="681" t="s">
        <v>1121</v>
      </c>
      <c r="H67" s="681" t="s">
        <v>1138</v>
      </c>
    </row>
    <row r="68" spans="1:8" x14ac:dyDescent="0.2">
      <c r="A68" s="681" t="str">
        <f>IF(LEFT(NT_TRP!B77,2)="\I","*","")</f>
        <v/>
      </c>
      <c r="B68" s="681" t="str">
        <f>IF(A68="*","",NT_TRP!C77)</f>
        <v>TFHCV5ODS-N</v>
      </c>
      <c r="C68" s="681" t="s">
        <v>1218</v>
      </c>
      <c r="D68" s="683"/>
      <c r="E68" s="683"/>
      <c r="F68" s="681" t="s">
        <v>1122</v>
      </c>
      <c r="G68" s="681" t="s">
        <v>1121</v>
      </c>
      <c r="H68" s="681" t="s">
        <v>1138</v>
      </c>
    </row>
    <row r="69" spans="1:8" x14ac:dyDescent="0.2">
      <c r="A69" s="681" t="str">
        <f>IF(LEFT(NT_TRP!B78,2)="\I","*","")</f>
        <v/>
      </c>
      <c r="B69" s="681" t="str">
        <f>IF(A69="*","",NT_TRP!C78)</f>
        <v>TFHCV6ODS-N</v>
      </c>
      <c r="C69" s="681" t="s">
        <v>1219</v>
      </c>
      <c r="D69" s="683"/>
      <c r="E69" s="683"/>
      <c r="F69" s="681" t="s">
        <v>1122</v>
      </c>
      <c r="G69" s="681" t="s">
        <v>1121</v>
      </c>
      <c r="H69" s="681" t="s">
        <v>1138</v>
      </c>
    </row>
    <row r="70" spans="1:8" x14ac:dyDescent="0.2">
      <c r="A70" s="681" t="str">
        <f>IF(LEFT(NT_TRP!B79,2)="\I","*","")</f>
        <v/>
      </c>
      <c r="B70" s="681" t="str">
        <f>IF(A70="*","",NT_TRP!C79)</f>
        <v>TFHCV7ODS-N</v>
      </c>
      <c r="C70" s="681" t="s">
        <v>1220</v>
      </c>
      <c r="D70" s="683"/>
      <c r="E70" s="683"/>
      <c r="F70" s="681" t="s">
        <v>1122</v>
      </c>
      <c r="G70" s="681" t="s">
        <v>1121</v>
      </c>
      <c r="H70" s="681" t="s">
        <v>1138</v>
      </c>
    </row>
    <row r="71" spans="1:8" x14ac:dyDescent="0.2">
      <c r="A71" s="681" t="str">
        <f>IF(LEFT(NT_TRP!B80,2)="\I","*","")</f>
        <v/>
      </c>
      <c r="B71" s="681" t="str">
        <f>IF(A71="*","",NT_TRP!C80)</f>
        <v>TFHCV8ODS-N</v>
      </c>
      <c r="C71" s="681" t="s">
        <v>1221</v>
      </c>
      <c r="D71" s="683"/>
      <c r="E71" s="683"/>
      <c r="F71" s="681" t="s">
        <v>1122</v>
      </c>
      <c r="G71" s="681" t="s">
        <v>1121</v>
      </c>
      <c r="H71" s="681" t="s">
        <v>1138</v>
      </c>
    </row>
    <row r="72" spans="1:8" x14ac:dyDescent="0.2">
      <c r="A72" s="681" t="str">
        <f>IF(LEFT(NT_TRP!B81,2)="\I","*","")</f>
        <v/>
      </c>
      <c r="B72" s="681" t="str">
        <f>IF(A72="*","",NT_TRP!C81)</f>
        <v>TFHCV9ODS-N</v>
      </c>
      <c r="C72" s="681" t="s">
        <v>1222</v>
      </c>
      <c r="D72" s="683"/>
      <c r="E72" s="683"/>
      <c r="F72" s="681" t="s">
        <v>1122</v>
      </c>
      <c r="G72" s="681" t="s">
        <v>1121</v>
      </c>
      <c r="H72" s="681" t="s">
        <v>1138</v>
      </c>
    </row>
    <row r="73" spans="1:8" x14ac:dyDescent="0.2">
      <c r="A73" s="681" t="str">
        <f>IF(LEFT(NT_TRP!B82,2)="\I","*","")</f>
        <v/>
      </c>
      <c r="B73" s="681" t="str">
        <f>IF(A73="*","",NT_TRP!C82)</f>
        <v>TFHCV1GAS-N</v>
      </c>
      <c r="C73" s="681" t="s">
        <v>1223</v>
      </c>
      <c r="D73" s="683"/>
      <c r="E73" s="683"/>
      <c r="F73" s="681" t="s">
        <v>1122</v>
      </c>
      <c r="G73" s="681" t="s">
        <v>1121</v>
      </c>
      <c r="H73" s="681" t="s">
        <v>1138</v>
      </c>
    </row>
    <row r="74" spans="1:8" x14ac:dyDescent="0.2">
      <c r="A74" s="681" t="str">
        <f>IF(LEFT(NT_TRP!B83,2)="\I","*","")</f>
        <v/>
      </c>
      <c r="B74" s="681" t="str">
        <f>IF(A74="*","",NT_TRP!C83)</f>
        <v>TFHCV2GAS-N</v>
      </c>
      <c r="C74" s="681" t="s">
        <v>1224</v>
      </c>
      <c r="D74" s="683"/>
      <c r="E74" s="683"/>
      <c r="F74" s="681" t="s">
        <v>1122</v>
      </c>
      <c r="G74" s="681" t="s">
        <v>1121</v>
      </c>
      <c r="H74" s="681" t="s">
        <v>1138</v>
      </c>
    </row>
    <row r="75" spans="1:8" x14ac:dyDescent="0.2">
      <c r="A75" s="681" t="str">
        <f>IF(LEFT(NT_TRP!B84,2)="\I","*","")</f>
        <v/>
      </c>
      <c r="B75" s="681" t="str">
        <f>IF(A75="*","",NT_TRP!C84)</f>
        <v>TFHCV3GAS-N</v>
      </c>
      <c r="C75" s="681" t="s">
        <v>1225</v>
      </c>
      <c r="D75" s="683"/>
      <c r="E75" s="683"/>
      <c r="F75" s="681" t="s">
        <v>1122</v>
      </c>
      <c r="G75" s="681" t="s">
        <v>1121</v>
      </c>
      <c r="H75" s="681" t="s">
        <v>1138</v>
      </c>
    </row>
    <row r="76" spans="1:8" x14ac:dyDescent="0.2">
      <c r="A76" s="681" t="str">
        <f>IF(LEFT(NT_TRP!B85,2)="\I","*","")</f>
        <v/>
      </c>
      <c r="B76" s="681" t="str">
        <f>IF(A76="*","",NT_TRP!C85)</f>
        <v>TFHCV4GAS-N</v>
      </c>
      <c r="C76" s="681" t="s">
        <v>1226</v>
      </c>
      <c r="D76" s="683"/>
      <c r="E76" s="683"/>
      <c r="F76" s="681" t="s">
        <v>1122</v>
      </c>
      <c r="G76" s="681" t="s">
        <v>1121</v>
      </c>
      <c r="H76" s="681" t="s">
        <v>1138</v>
      </c>
    </row>
    <row r="77" spans="1:8" x14ac:dyDescent="0.2">
      <c r="A77" s="681" t="str">
        <f>IF(LEFT(NT_TRP!B86,2)="\I","*","")</f>
        <v/>
      </c>
      <c r="B77" s="681" t="str">
        <f>IF(A77="*","",NT_TRP!C86)</f>
        <v>TFHCV5GAS-N</v>
      </c>
      <c r="C77" s="681" t="s">
        <v>1227</v>
      </c>
      <c r="D77" s="683"/>
      <c r="E77" s="683"/>
      <c r="F77" s="681" t="s">
        <v>1122</v>
      </c>
      <c r="G77" s="681" t="s">
        <v>1121</v>
      </c>
      <c r="H77" s="681" t="s">
        <v>1138</v>
      </c>
    </row>
    <row r="78" spans="1:8" x14ac:dyDescent="0.2">
      <c r="A78" s="681" t="str">
        <f>IF(LEFT(NT_TRP!B87,2)="\I","*","")</f>
        <v/>
      </c>
      <c r="B78" s="681" t="str">
        <f>IF(A78="*","",NT_TRP!C87)</f>
        <v>TFHCV6GAS-N</v>
      </c>
      <c r="C78" s="681" t="s">
        <v>1228</v>
      </c>
      <c r="D78" s="683"/>
      <c r="E78" s="683"/>
      <c r="F78" s="681" t="s">
        <v>1122</v>
      </c>
      <c r="G78" s="681" t="s">
        <v>1121</v>
      </c>
      <c r="H78" s="681" t="s">
        <v>1138</v>
      </c>
    </row>
    <row r="79" spans="1:8" x14ac:dyDescent="0.2">
      <c r="A79" s="681" t="str">
        <f>IF(LEFT(NT_TRP!B88,2)="\I","*","")</f>
        <v/>
      </c>
      <c r="B79" s="681" t="str">
        <f>IF(A79="*","",NT_TRP!C88)</f>
        <v>TFHCV7GAS-N</v>
      </c>
      <c r="C79" s="681" t="s">
        <v>1229</v>
      </c>
      <c r="D79" s="683"/>
      <c r="E79" s="683"/>
      <c r="F79" s="681" t="s">
        <v>1122</v>
      </c>
      <c r="G79" s="681" t="s">
        <v>1121</v>
      </c>
      <c r="H79" s="681" t="s">
        <v>1138</v>
      </c>
    </row>
    <row r="80" spans="1:8" x14ac:dyDescent="0.2">
      <c r="A80" s="681" t="str">
        <f>IF(LEFT(NT_TRP!B89,2)="\I","*","")</f>
        <v/>
      </c>
      <c r="B80" s="681" t="str">
        <f>IF(A80="*","",NT_TRP!C89)</f>
        <v>TFHCV8GAS-N</v>
      </c>
      <c r="C80" s="681" t="s">
        <v>1230</v>
      </c>
      <c r="D80" s="683"/>
      <c r="E80" s="683"/>
      <c r="F80" s="681" t="s">
        <v>1122</v>
      </c>
      <c r="G80" s="681" t="s">
        <v>1121</v>
      </c>
      <c r="H80" s="681" t="s">
        <v>1138</v>
      </c>
    </row>
    <row r="81" spans="1:9" x14ac:dyDescent="0.2">
      <c r="A81" s="681" t="str">
        <f>IF(LEFT(NT_TRP!B90,2)="\I","*","")</f>
        <v/>
      </c>
      <c r="B81" s="681" t="str">
        <f>IF(A81="*","",NT_TRP!C90)</f>
        <v>TFHCV9GAS-N</v>
      </c>
      <c r="C81" s="681" t="s">
        <v>1231</v>
      </c>
      <c r="D81" s="683"/>
      <c r="E81" s="683"/>
      <c r="F81" s="681" t="s">
        <v>1122</v>
      </c>
      <c r="G81" s="681" t="s">
        <v>1121</v>
      </c>
      <c r="H81" s="681" t="s">
        <v>1138</v>
      </c>
    </row>
    <row r="82" spans="1:9" x14ac:dyDescent="0.2">
      <c r="A82" s="681" t="str">
        <f>IF(LEFT(NT_TRP!B91,2)="\I","*","")</f>
        <v/>
      </c>
      <c r="B82" s="681" t="str">
        <f>IF(A82="*","",NT_TRP!C91)</f>
        <v>TFHCV1ELC-N</v>
      </c>
      <c r="C82" s="681" t="s">
        <v>1232</v>
      </c>
      <c r="D82" s="683"/>
      <c r="E82" s="683"/>
      <c r="F82" s="681" t="s">
        <v>1122</v>
      </c>
      <c r="G82" s="681" t="s">
        <v>1121</v>
      </c>
      <c r="H82" s="681" t="s">
        <v>1138</v>
      </c>
      <c r="I82" s="682"/>
    </row>
    <row r="83" spans="1:9" x14ac:dyDescent="0.2">
      <c r="A83" s="681" t="str">
        <f>IF(LEFT(NT_TRP!B92,2)="\I","*","")</f>
        <v/>
      </c>
      <c r="B83" s="681" t="str">
        <f>IF(A83="*","",NT_TRP!C92)</f>
        <v>TFHCV2ELC-N</v>
      </c>
      <c r="C83" s="681" t="s">
        <v>1233</v>
      </c>
      <c r="D83" s="683"/>
      <c r="E83" s="683"/>
      <c r="F83" s="681" t="s">
        <v>1122</v>
      </c>
      <c r="G83" s="681" t="s">
        <v>1121</v>
      </c>
      <c r="H83" s="681" t="s">
        <v>1138</v>
      </c>
      <c r="I83" s="682"/>
    </row>
    <row r="84" spans="1:9" x14ac:dyDescent="0.2">
      <c r="A84" s="681" t="str">
        <f>IF(LEFT(NT_TRP!B93,2)="\I","*","")</f>
        <v/>
      </c>
      <c r="B84" s="681" t="str">
        <f>IF(A84="*","",NT_TRP!C93)</f>
        <v>TFHCV3ELC-N</v>
      </c>
      <c r="C84" s="681" t="s">
        <v>1234</v>
      </c>
      <c r="D84" s="683"/>
      <c r="E84" s="683"/>
      <c r="F84" s="681" t="s">
        <v>1122</v>
      </c>
      <c r="G84" s="681" t="s">
        <v>1121</v>
      </c>
      <c r="H84" s="681" t="s">
        <v>1138</v>
      </c>
      <c r="I84" s="682"/>
    </row>
    <row r="85" spans="1:9" x14ac:dyDescent="0.2">
      <c r="B85" s="681" t="str">
        <f>IF(A85="*","",NT_TRP!C94)</f>
        <v>TFHCV4ELC-N</v>
      </c>
      <c r="C85" s="681" t="s">
        <v>1296</v>
      </c>
      <c r="D85" s="683"/>
      <c r="E85" s="683"/>
      <c r="F85" s="681" t="s">
        <v>1122</v>
      </c>
      <c r="G85" s="681" t="s">
        <v>1121</v>
      </c>
      <c r="H85" s="681" t="s">
        <v>1138</v>
      </c>
      <c r="I85" s="682"/>
    </row>
    <row r="86" spans="1:9" x14ac:dyDescent="0.2">
      <c r="B86" s="681" t="str">
        <f>IF(A86="*","",NT_TRP!C95)</f>
        <v>TFHCV5ELC-N</v>
      </c>
      <c r="C86" s="681" t="s">
        <v>1297</v>
      </c>
      <c r="D86" s="683"/>
      <c r="E86" s="683"/>
      <c r="F86" s="681" t="s">
        <v>1122</v>
      </c>
      <c r="G86" s="681" t="s">
        <v>1121</v>
      </c>
      <c r="H86" s="681" t="s">
        <v>1138</v>
      </c>
      <c r="I86" s="682"/>
    </row>
    <row r="87" spans="1:9" x14ac:dyDescent="0.2">
      <c r="B87" s="681" t="str">
        <f>IF(A87="*","",NT_TRP!C96)</f>
        <v>TFHCV6ELC-N</v>
      </c>
      <c r="C87" s="681" t="s">
        <v>1298</v>
      </c>
      <c r="D87" s="683"/>
      <c r="E87" s="683"/>
      <c r="F87" s="681" t="s">
        <v>1122</v>
      </c>
      <c r="G87" s="681" t="s">
        <v>1121</v>
      </c>
      <c r="H87" s="681" t="s">
        <v>1138</v>
      </c>
      <c r="I87" s="682"/>
    </row>
    <row r="88" spans="1:9" x14ac:dyDescent="0.2">
      <c r="B88" s="681" t="str">
        <f>IF(A88="*","",NT_TRP!C97)</f>
        <v>TFHCV7ELC-N</v>
      </c>
      <c r="C88" s="681" t="s">
        <v>1299</v>
      </c>
      <c r="D88" s="683"/>
      <c r="E88" s="683"/>
      <c r="F88" s="681" t="s">
        <v>1122</v>
      </c>
      <c r="G88" s="681" t="s">
        <v>1121</v>
      </c>
      <c r="H88" s="681" t="s">
        <v>1138</v>
      </c>
      <c r="I88" s="682"/>
    </row>
    <row r="89" spans="1:9" x14ac:dyDescent="0.2">
      <c r="B89" s="681" t="str">
        <f>IF(A89="*","",NT_TRP!C98)</f>
        <v>TFHCV8ELC-N</v>
      </c>
      <c r="C89" s="681" t="s">
        <v>1300</v>
      </c>
      <c r="D89" s="683"/>
      <c r="E89" s="683"/>
      <c r="F89" s="681" t="s">
        <v>1122</v>
      </c>
      <c r="G89" s="681" t="s">
        <v>1121</v>
      </c>
      <c r="H89" s="681" t="s">
        <v>1138</v>
      </c>
      <c r="I89" s="682"/>
    </row>
    <row r="90" spans="1:9" x14ac:dyDescent="0.2">
      <c r="B90" s="681" t="str">
        <f>IF(A90="*","",NT_TRP!C99)</f>
        <v>TFHCV9ELC-N</v>
      </c>
      <c r="C90" s="681" t="s">
        <v>1301</v>
      </c>
      <c r="D90" s="683"/>
      <c r="E90" s="683"/>
      <c r="F90" s="681" t="s">
        <v>1122</v>
      </c>
      <c r="G90" s="681" t="s">
        <v>1121</v>
      </c>
      <c r="H90" s="681" t="s">
        <v>1138</v>
      </c>
      <c r="I90" s="682"/>
    </row>
    <row r="91" spans="1:9" x14ac:dyDescent="0.2">
      <c r="A91" s="681" t="str">
        <f>IF(LEFT(NT_TRP!B100,2)="\I","*","")</f>
        <v/>
      </c>
      <c r="B91" s="681" t="str">
        <f>IF(A91="*","",NT_TRP!C100)</f>
        <v>TFHCV2HGN-N</v>
      </c>
      <c r="C91" s="681" t="s">
        <v>1235</v>
      </c>
      <c r="D91" s="683"/>
      <c r="E91" s="683"/>
      <c r="F91" s="681" t="s">
        <v>1122</v>
      </c>
      <c r="G91" s="681" t="s">
        <v>1121</v>
      </c>
      <c r="H91" s="681" t="s">
        <v>1138</v>
      </c>
    </row>
    <row r="92" spans="1:9" x14ac:dyDescent="0.2">
      <c r="A92" s="681" t="str">
        <f>IF(LEFT(NT_TRP!B101,2)="\I","*","")</f>
        <v/>
      </c>
      <c r="B92" s="681" t="str">
        <f>IF(A92="*","",NT_TRP!C101)</f>
        <v>TFHCV3HGN-N</v>
      </c>
      <c r="C92" s="681" t="s">
        <v>1236</v>
      </c>
      <c r="D92" s="683"/>
      <c r="E92" s="683"/>
      <c r="F92" s="681" t="s">
        <v>1122</v>
      </c>
      <c r="G92" s="681" t="s">
        <v>1121</v>
      </c>
      <c r="H92" s="681" t="s">
        <v>1138</v>
      </c>
    </row>
    <row r="93" spans="1:9" x14ac:dyDescent="0.2">
      <c r="A93" s="681" t="str">
        <f>IF(LEFT(NT_TRP!B102,2)="\I","*","")</f>
        <v/>
      </c>
      <c r="B93" s="681" t="str">
        <f>IF(A93="*","",NT_TRP!C102)</f>
        <v>TFHCV4HGN-N</v>
      </c>
      <c r="C93" s="681" t="s">
        <v>1237</v>
      </c>
      <c r="D93" s="683"/>
      <c r="E93" s="683"/>
      <c r="F93" s="681" t="s">
        <v>1122</v>
      </c>
      <c r="G93" s="681" t="s">
        <v>1121</v>
      </c>
      <c r="H93" s="681" t="s">
        <v>1138</v>
      </c>
    </row>
    <row r="94" spans="1:9" x14ac:dyDescent="0.2">
      <c r="A94" s="681" t="str">
        <f>IF(LEFT(NT_TRP!B103,2)="\I","*","")</f>
        <v/>
      </c>
      <c r="B94" s="681" t="str">
        <f>IF(A94="*","",NT_TRP!C103)</f>
        <v>TFHCV5HGN-N</v>
      </c>
      <c r="C94" s="681" t="s">
        <v>1238</v>
      </c>
      <c r="D94" s="683"/>
      <c r="E94" s="683"/>
      <c r="F94" s="681" t="s">
        <v>1122</v>
      </c>
      <c r="G94" s="681" t="s">
        <v>1121</v>
      </c>
      <c r="H94" s="681" t="s">
        <v>1138</v>
      </c>
    </row>
    <row r="95" spans="1:9" x14ac:dyDescent="0.2">
      <c r="A95" s="681" t="str">
        <f>IF(LEFT(NT_TRP!B104,2)="\I","*","")</f>
        <v/>
      </c>
      <c r="B95" s="681" t="str">
        <f>IF(A95="*","",NT_TRP!C104)</f>
        <v>TFHCV6HGN-N</v>
      </c>
      <c r="C95" s="681" t="s">
        <v>1239</v>
      </c>
      <c r="D95" s="683"/>
      <c r="E95" s="683"/>
      <c r="F95" s="681" t="s">
        <v>1122</v>
      </c>
      <c r="G95" s="681" t="s">
        <v>1121</v>
      </c>
      <c r="H95" s="681" t="s">
        <v>1138</v>
      </c>
    </row>
    <row r="96" spans="1:9" x14ac:dyDescent="0.2">
      <c r="A96" s="681" t="str">
        <f>IF(LEFT(NT_TRP!B105,2)="\I","*","")</f>
        <v/>
      </c>
      <c r="B96" s="681" t="str">
        <f>IF(A96="*","",NT_TRP!C105)</f>
        <v>TFHCV7HGN-N</v>
      </c>
      <c r="C96" s="681" t="s">
        <v>1240</v>
      </c>
      <c r="D96" s="683"/>
      <c r="E96" s="683"/>
      <c r="F96" s="681" t="s">
        <v>1122</v>
      </c>
      <c r="G96" s="681" t="s">
        <v>1121</v>
      </c>
      <c r="H96" s="681" t="s">
        <v>1138</v>
      </c>
    </row>
    <row r="97" spans="1:8" x14ac:dyDescent="0.2">
      <c r="A97" s="681" t="str">
        <f>IF(LEFT(NT_TRP!B106,2)="\I","*","")</f>
        <v/>
      </c>
      <c r="B97" s="681" t="str">
        <f>IF(A97="*","",NT_TRP!C106)</f>
        <v>TFHCV8HGN-N</v>
      </c>
      <c r="C97" s="681" t="s">
        <v>1241</v>
      </c>
      <c r="D97" s="683"/>
      <c r="E97" s="683"/>
      <c r="F97" s="681" t="s">
        <v>1122</v>
      </c>
      <c r="G97" s="681" t="s">
        <v>1121</v>
      </c>
      <c r="H97" s="681" t="s">
        <v>1138</v>
      </c>
    </row>
    <row r="98" spans="1:8" x14ac:dyDescent="0.2">
      <c r="A98" s="681" t="str">
        <f>IF(LEFT(NT_TRP!B107,2)="\I","*","")</f>
        <v/>
      </c>
      <c r="B98" s="681" t="str">
        <f>IF(A98="*","",NT_TRP!C107)</f>
        <v>TFHCV9HGN-N</v>
      </c>
      <c r="C98" s="681" t="s">
        <v>1242</v>
      </c>
      <c r="D98" s="683"/>
      <c r="E98" s="683"/>
      <c r="F98" s="681" t="s">
        <v>1122</v>
      </c>
      <c r="G98" s="681" t="s">
        <v>1121</v>
      </c>
      <c r="H98" s="681" t="s">
        <v>1138</v>
      </c>
    </row>
    <row r="99" spans="1:8" x14ac:dyDescent="0.2">
      <c r="A99" s="681" t="str">
        <f>IF(LEFT(NT_TRP!B108,2)="\I","*","")</f>
        <v/>
      </c>
      <c r="C99" s="681" t="s">
        <v>815</v>
      </c>
      <c r="D99" s="683"/>
      <c r="E99" s="683"/>
    </row>
    <row r="100" spans="1:8" x14ac:dyDescent="0.2">
      <c r="A100" s="681" t="str">
        <f>IF(LEFT(NT_TRP!B109,2)="\I","*","")</f>
        <v/>
      </c>
      <c r="B100" s="681" t="str">
        <f>IF(A100="*","",NT_TRP!C109)</f>
        <v>TFRCOGAS-N</v>
      </c>
      <c r="C100" s="681" t="s">
        <v>1243</v>
      </c>
      <c r="D100" s="683" t="s">
        <v>1152</v>
      </c>
      <c r="E100" s="683" t="s">
        <v>1153</v>
      </c>
      <c r="F100" s="681" t="s">
        <v>1122</v>
      </c>
      <c r="G100" s="681" t="s">
        <v>1121</v>
      </c>
    </row>
    <row r="101" spans="1:8" x14ac:dyDescent="0.2">
      <c r="A101" s="681" t="str">
        <f>IF(LEFT(NT_TRP!B110,2)="\I","*","")</f>
        <v/>
      </c>
      <c r="C101" s="681" t="s">
        <v>815</v>
      </c>
      <c r="D101" s="683"/>
      <c r="E101" s="683"/>
    </row>
    <row r="102" spans="1:8" x14ac:dyDescent="0.2">
      <c r="A102" s="681" t="str">
        <f>IF(LEFT(NT_TRP!B111,2)="\I","*","")</f>
        <v/>
      </c>
      <c r="B102" s="681" t="str">
        <f>IF(A102="*","",NT_TRP!C111)</f>
        <v>TFRCOELC-N</v>
      </c>
      <c r="C102" s="681" t="s">
        <v>1244</v>
      </c>
      <c r="D102" s="683" t="s">
        <v>1152</v>
      </c>
      <c r="E102" s="683" t="s">
        <v>1153</v>
      </c>
      <c r="F102" s="681" t="s">
        <v>1122</v>
      </c>
      <c r="G102" s="681" t="s">
        <v>1121</v>
      </c>
    </row>
    <row r="103" spans="1:8" x14ac:dyDescent="0.2">
      <c r="A103" s="681" t="str">
        <f>IF(LEFT(NT_TRP!B112,2)="\I","*","")</f>
        <v/>
      </c>
      <c r="C103" s="681" t="s">
        <v>815</v>
      </c>
      <c r="D103" s="683"/>
      <c r="E103" s="683"/>
    </row>
    <row r="104" spans="1:8" x14ac:dyDescent="0.2">
      <c r="A104" s="681" t="str">
        <f>IF(LEFT(NT_TRP!B113,2)="\I","*","")</f>
        <v/>
      </c>
      <c r="B104" s="681" t="str">
        <f>IF(A104="*","",NT_TRP!C113)</f>
        <v>TFROTELC-N</v>
      </c>
      <c r="C104" s="681" t="s">
        <v>1245</v>
      </c>
      <c r="D104" s="683" t="s">
        <v>1152</v>
      </c>
      <c r="E104" s="683" t="s">
        <v>1153</v>
      </c>
      <c r="F104" s="681" t="s">
        <v>1122</v>
      </c>
      <c r="G104" s="681" t="s">
        <v>1121</v>
      </c>
    </row>
    <row r="105" spans="1:8" x14ac:dyDescent="0.2">
      <c r="A105" s="681" t="str">
        <f>IF(LEFT(NT_TRP!B114,2)="\I","*","")</f>
        <v/>
      </c>
      <c r="C105" s="681" t="s">
        <v>815</v>
      </c>
      <c r="D105" s="683"/>
      <c r="E105" s="683"/>
    </row>
    <row r="106" spans="1:8" x14ac:dyDescent="0.2">
      <c r="A106" s="681" t="str">
        <f>IF(LEFT(NT_TRP!B115,2)="\I","*","")</f>
        <v/>
      </c>
      <c r="B106" s="681" t="str">
        <f>IF(A106="*","",NT_TRP!C115)</f>
        <v>TFREXELC-N</v>
      </c>
      <c r="C106" s="681" t="s">
        <v>1246</v>
      </c>
      <c r="D106" s="683" t="s">
        <v>1152</v>
      </c>
      <c r="E106" s="683" t="s">
        <v>1153</v>
      </c>
      <c r="F106" s="681" t="s">
        <v>1122</v>
      </c>
      <c r="G106" s="681" t="s">
        <v>1121</v>
      </c>
    </row>
    <row r="107" spans="1:8" x14ac:dyDescent="0.2">
      <c r="A107" s="681" t="str">
        <f>IF(LEFT(NT_TRP!B116,2)="\I","*","")</f>
        <v/>
      </c>
      <c r="C107" s="681" t="s">
        <v>815</v>
      </c>
      <c r="D107" s="683"/>
      <c r="E107" s="683"/>
    </row>
    <row r="108" spans="1:8" x14ac:dyDescent="0.2">
      <c r="A108" s="681" t="str">
        <f>IF(LEFT(NT_TRP!B117,2)="\I","*","")</f>
        <v/>
      </c>
      <c r="C108" s="681" t="s">
        <v>815</v>
      </c>
      <c r="D108" s="683"/>
      <c r="E108" s="683"/>
    </row>
    <row r="109" spans="1:8" x14ac:dyDescent="0.2">
      <c r="A109" s="681" t="str">
        <f>IF(LEFT(NT_TRP!B118,2)="\I","*","")</f>
        <v/>
      </c>
      <c r="B109" s="681" t="str">
        <f>IF(A109="*","",NT_TRP!C118)</f>
        <v>TFPIPELC-N</v>
      </c>
      <c r="C109" s="681" t="s">
        <v>1247</v>
      </c>
      <c r="D109" s="683" t="s">
        <v>20</v>
      </c>
      <c r="E109" s="683" t="s">
        <v>1151</v>
      </c>
      <c r="F109" s="681" t="s">
        <v>1122</v>
      </c>
      <c r="G109" s="681" t="s">
        <v>1121</v>
      </c>
    </row>
    <row r="110" spans="1:8" x14ac:dyDescent="0.2">
      <c r="A110" s="681" t="str">
        <f>IF(LEFT(NT_TRP!B119,2)="\I","*","")</f>
        <v/>
      </c>
      <c r="B110" s="681" t="str">
        <f>IF(A110="*","",NT_TRP!C119)</f>
        <v>TAIJETOKE-N</v>
      </c>
      <c r="C110" s="681" t="s">
        <v>1248</v>
      </c>
      <c r="D110" s="683" t="s">
        <v>20</v>
      </c>
      <c r="E110" s="683" t="s">
        <v>1151</v>
      </c>
      <c r="F110" s="681" t="s">
        <v>1122</v>
      </c>
      <c r="G110" s="681" t="s">
        <v>1121</v>
      </c>
    </row>
    <row r="111" spans="1:8" x14ac:dyDescent="0.2">
      <c r="A111" s="681" t="str">
        <f>IF(LEFT(NT_TRP!B120,2)="\I","*","")</f>
        <v/>
      </c>
      <c r="B111" s="681" t="str">
        <f>IF(A111="*","",NT_TRP!C120)</f>
        <v>TADJETOKE-N</v>
      </c>
      <c r="C111" s="681" t="s">
        <v>1249</v>
      </c>
      <c r="D111" s="683" t="s">
        <v>20</v>
      </c>
      <c r="E111" s="683" t="s">
        <v>1151</v>
      </c>
      <c r="F111" s="681" t="s">
        <v>1122</v>
      </c>
      <c r="G111" s="681" t="s">
        <v>1121</v>
      </c>
    </row>
    <row r="112" spans="1:8" x14ac:dyDescent="0.2">
      <c r="A112" s="681" t="str">
        <f>IF(LEFT(NT_TRP!B121,2)="\I","*","")</f>
        <v/>
      </c>
      <c r="B112" s="681" t="str">
        <f>IF(A112="*","",NT_TRP!C121)</f>
        <v>TAOAGOAG-N</v>
      </c>
      <c r="C112" s="681" t="s">
        <v>1250</v>
      </c>
      <c r="D112" s="683" t="s">
        <v>20</v>
      </c>
      <c r="E112" s="683" t="s">
        <v>1151</v>
      </c>
      <c r="F112" s="681" t="s">
        <v>1122</v>
      </c>
      <c r="G112" s="681" t="s">
        <v>1121</v>
      </c>
    </row>
    <row r="113" spans="1:7" x14ac:dyDescent="0.2">
      <c r="A113" s="681" t="str">
        <f>IF(LEFT(NT_TRP!B122,2)="\I","*","")</f>
        <v/>
      </c>
      <c r="B113" s="681" t="str">
        <f>IF(A113="*","",NT_TRP!C122)</f>
        <v>TSHFOOHF-N</v>
      </c>
      <c r="C113" s="681" t="s">
        <v>1251</v>
      </c>
      <c r="D113" s="683" t="s">
        <v>20</v>
      </c>
      <c r="E113" s="683" t="s">
        <v>1151</v>
      </c>
      <c r="F113" s="681" t="s">
        <v>1122</v>
      </c>
      <c r="G113" s="681" t="s">
        <v>1121</v>
      </c>
    </row>
    <row r="114" spans="1:7" x14ac:dyDescent="0.2">
      <c r="A114" s="681" t="str">
        <f>IF(LEFT(NT_TRP!B123,2)="\I","*","")</f>
        <v/>
      </c>
      <c r="D114" s="683"/>
      <c r="E114" s="683"/>
    </row>
    <row r="115" spans="1:7" x14ac:dyDescent="0.2">
      <c r="A115" s="681" t="str">
        <f>IF(LEFT(NT_TRP!B124,2)="\I","*","")</f>
        <v/>
      </c>
      <c r="D115" s="683"/>
      <c r="E115" s="683"/>
    </row>
    <row r="116" spans="1:7" x14ac:dyDescent="0.2">
      <c r="D116" s="683"/>
      <c r="E116" s="683"/>
    </row>
    <row r="117" spans="1:7" x14ac:dyDescent="0.2">
      <c r="D117" s="683"/>
      <c r="E117" s="683"/>
    </row>
    <row r="118" spans="1:7" x14ac:dyDescent="0.2">
      <c r="D118" s="683"/>
      <c r="E118" s="683"/>
    </row>
    <row r="119" spans="1:7" x14ac:dyDescent="0.2">
      <c r="D119" s="683"/>
      <c r="E119" s="683"/>
    </row>
    <row r="120" spans="1:7" x14ac:dyDescent="0.2">
      <c r="D120" s="683"/>
      <c r="E120" s="683"/>
    </row>
    <row r="121" spans="1:7" x14ac:dyDescent="0.2">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heetViews>
  <sheetFormatPr defaultColWidth="9.140625" defaultRowHeight="11.25" x14ac:dyDescent="0.2"/>
  <cols>
    <col min="1" max="1" width="12.42578125" style="682" customWidth="1"/>
    <col min="2" max="2" width="11" style="682" customWidth="1"/>
    <col min="3" max="3" width="27.42578125" style="682" customWidth="1"/>
    <col min="4" max="4" width="10.140625" style="682" customWidth="1"/>
    <col min="5" max="5" width="12.85546875" style="682" customWidth="1"/>
    <col min="6" max="8" width="9.140625" style="682"/>
    <col min="9" max="9" width="23.7109375" style="682" bestFit="1" customWidth="1"/>
    <col min="10" max="16384" width="9.140625" style="682"/>
  </cols>
  <sheetData>
    <row r="1" spans="1:10" x14ac:dyDescent="0.2">
      <c r="A1" s="711"/>
    </row>
    <row r="3" spans="1:10" ht="18.75" customHeight="1" thickBot="1" x14ac:dyDescent="0.35">
      <c r="B3" s="713" t="s">
        <v>1167</v>
      </c>
      <c r="C3" s="713"/>
      <c r="D3" s="713"/>
    </row>
    <row r="4" spans="1:10" ht="12" thickTop="1" x14ac:dyDescent="0.2"/>
    <row r="6" spans="1:10" ht="15" x14ac:dyDescent="0.25">
      <c r="B6" s="712" t="s">
        <v>1158</v>
      </c>
      <c r="H6" s="712"/>
      <c r="I6" s="712" t="s">
        <v>1039</v>
      </c>
      <c r="J6" s="712"/>
    </row>
    <row r="7" spans="1:10" ht="15" x14ac:dyDescent="0.25">
      <c r="B7" s="712" t="s">
        <v>1155</v>
      </c>
      <c r="C7" s="712" t="s">
        <v>1159</v>
      </c>
      <c r="D7" s="712" t="s">
        <v>1160</v>
      </c>
      <c r="E7" s="712" t="s">
        <v>1161</v>
      </c>
      <c r="F7" s="712" t="s">
        <v>1162</v>
      </c>
      <c r="H7" s="712" t="s">
        <v>1154</v>
      </c>
      <c r="I7" s="712" t="s">
        <v>1155</v>
      </c>
      <c r="J7" s="712">
        <v>2017</v>
      </c>
    </row>
    <row r="8" spans="1:10" ht="12.75" x14ac:dyDescent="0.2">
      <c r="A8" s="682" t="s">
        <v>1124</v>
      </c>
      <c r="B8" s="711" t="s">
        <v>1136</v>
      </c>
      <c r="C8" s="711"/>
      <c r="D8" s="711"/>
      <c r="E8" s="711"/>
      <c r="F8" s="711"/>
      <c r="H8" s="697" t="s">
        <v>1124</v>
      </c>
      <c r="I8" s="1" t="s">
        <v>1156</v>
      </c>
      <c r="J8" s="1" t="s">
        <v>1157</v>
      </c>
    </row>
    <row r="9" spans="1:10" ht="15" x14ac:dyDescent="0.25">
      <c r="A9" s="682" t="str">
        <f t="shared" ref="A9:A18" si="0">IF(ISBLANK(B9),"*","")</f>
        <v/>
      </c>
      <c r="B9" s="682" t="s">
        <v>516</v>
      </c>
      <c r="C9" s="682" t="s">
        <v>1089</v>
      </c>
      <c r="D9" s="682" t="s">
        <v>1163</v>
      </c>
      <c r="E9" s="682" t="s">
        <v>1166</v>
      </c>
      <c r="F9" s="682" t="s">
        <v>1122</v>
      </c>
      <c r="H9" s="61" t="s">
        <v>1090</v>
      </c>
      <c r="I9" s="61" t="str">
        <f>B9</f>
        <v>TPPRSUV</v>
      </c>
      <c r="J9" s="61">
        <f>SUMIF(TRP!$D$62:$D$115,I9,TRP!$Z$62:$Z$115)</f>
        <v>17.75419180206795</v>
      </c>
    </row>
    <row r="10" spans="1:10" ht="15" x14ac:dyDescent="0.25">
      <c r="A10" s="682" t="str">
        <f t="shared" si="0"/>
        <v/>
      </c>
      <c r="B10" s="682" t="s">
        <v>554</v>
      </c>
      <c r="C10" s="682" t="s">
        <v>1088</v>
      </c>
      <c r="D10" s="682" t="s">
        <v>1163</v>
      </c>
      <c r="E10" s="682" t="s">
        <v>1166</v>
      </c>
      <c r="F10" s="682" t="s">
        <v>1122</v>
      </c>
      <c r="H10" s="61" t="str">
        <f>$H$9</f>
        <v>Demand</v>
      </c>
      <c r="I10" s="61" t="str">
        <f t="shared" ref="I10:I36" si="1">B10</f>
        <v>TPPRCAR</v>
      </c>
      <c r="J10" s="61">
        <f>SUMIF(TRP!$D$62:$D$115,I10,TRP!$Z$62:$Z$115)</f>
        <v>81.138603134850243</v>
      </c>
    </row>
    <row r="11" spans="1:10" ht="15" x14ac:dyDescent="0.25">
      <c r="A11" s="682" t="str">
        <f t="shared" si="0"/>
        <v/>
      </c>
      <c r="B11" s="682" t="s">
        <v>512</v>
      </c>
      <c r="C11" s="682" t="s">
        <v>1087</v>
      </c>
      <c r="D11" s="682" t="s">
        <v>1163</v>
      </c>
      <c r="E11" s="682" t="s">
        <v>1166</v>
      </c>
      <c r="F11" s="682" t="s">
        <v>1122</v>
      </c>
      <c r="H11" s="61" t="str">
        <f t="shared" ref="H11:H36" si="2">$H$9</f>
        <v>Demand</v>
      </c>
      <c r="I11" s="61" t="str">
        <f t="shared" si="1"/>
        <v>TPPRMOT</v>
      </c>
      <c r="J11" s="61">
        <f>SUMIF(TRP!$D$62:$D$115,I11,TRP!$Z$62:$Z$115)</f>
        <v>5.9227912022632543</v>
      </c>
    </row>
    <row r="12" spans="1:10" ht="15" x14ac:dyDescent="0.25">
      <c r="A12" s="682" t="str">
        <f t="shared" si="0"/>
        <v/>
      </c>
      <c r="B12" s="682" t="s">
        <v>565</v>
      </c>
      <c r="C12" s="682" t="s">
        <v>1086</v>
      </c>
      <c r="D12" s="682" t="s">
        <v>1163</v>
      </c>
      <c r="E12" s="682" t="s">
        <v>1166</v>
      </c>
      <c r="F12" s="682" t="s">
        <v>1122</v>
      </c>
      <c r="H12" s="61" t="str">
        <f t="shared" si="2"/>
        <v>Demand</v>
      </c>
      <c r="I12" s="61" t="str">
        <f t="shared" si="1"/>
        <v>TPPUBUS</v>
      </c>
      <c r="J12" s="61">
        <f>SUMIF(TRP!$D$62:$D$115,I12,TRP!$Z$62:$Z$115)</f>
        <v>0.64296697178877849</v>
      </c>
    </row>
    <row r="13" spans="1:10" ht="15" x14ac:dyDescent="0.25">
      <c r="A13" s="682" t="str">
        <f t="shared" si="0"/>
        <v/>
      </c>
      <c r="B13" s="682" t="s">
        <v>523</v>
      </c>
      <c r="C13" s="682" t="s">
        <v>1085</v>
      </c>
      <c r="D13" s="682" t="s">
        <v>1163</v>
      </c>
      <c r="E13" s="682" t="s">
        <v>1166</v>
      </c>
      <c r="F13" s="682" t="s">
        <v>1122</v>
      </c>
      <c r="H13" s="61" t="str">
        <f t="shared" si="2"/>
        <v>Demand</v>
      </c>
      <c r="I13" s="61" t="str">
        <f t="shared" si="1"/>
        <v>TPPUMBT</v>
      </c>
      <c r="J13" s="61">
        <f>SUMIF(TRP!$D$62:$D$115,I13,TRP!$Z$62:$Z$115)</f>
        <v>7.2130505455454887</v>
      </c>
    </row>
    <row r="14" spans="1:10" ht="15" x14ac:dyDescent="0.25">
      <c r="A14" s="682" t="str">
        <f t="shared" si="0"/>
        <v/>
      </c>
      <c r="B14" s="682" t="s">
        <v>503</v>
      </c>
      <c r="C14" s="682" t="s">
        <v>1084</v>
      </c>
      <c r="D14" s="682" t="s">
        <v>1163</v>
      </c>
      <c r="E14" s="682" t="s">
        <v>1166</v>
      </c>
      <c r="F14" s="682" t="s">
        <v>1122</v>
      </c>
      <c r="H14" s="61" t="str">
        <f t="shared" si="2"/>
        <v>Demand</v>
      </c>
      <c r="I14" s="61" t="str">
        <f t="shared" si="1"/>
        <v>TPPUBRT</v>
      </c>
      <c r="J14" s="167">
        <v>7.2799982901224289E-2</v>
      </c>
    </row>
    <row r="15" spans="1:10" ht="15" x14ac:dyDescent="0.25">
      <c r="A15" s="682" t="str">
        <f t="shared" si="0"/>
        <v/>
      </c>
      <c r="B15" s="682" t="s">
        <v>1082</v>
      </c>
      <c r="C15" s="682" t="s">
        <v>1083</v>
      </c>
      <c r="D15" s="682" t="s">
        <v>1164</v>
      </c>
      <c r="E15" s="682" t="s">
        <v>1166</v>
      </c>
      <c r="F15" s="682" t="s">
        <v>1122</v>
      </c>
      <c r="H15" s="61" t="str">
        <f t="shared" si="2"/>
        <v>Demand</v>
      </c>
      <c r="I15" s="61" t="str">
        <f t="shared" si="1"/>
        <v>TPPUMER</v>
      </c>
      <c r="J15" s="61">
        <f>SUMIF(TRP!$D$62:$D$115,I15,TRP!$Z$62:$Z$115)</f>
        <v>8.7048317578401644</v>
      </c>
    </row>
    <row r="16" spans="1:10" ht="15" x14ac:dyDescent="0.25">
      <c r="A16" s="682" t="str">
        <f t="shared" si="0"/>
        <v/>
      </c>
      <c r="B16" s="682" t="s">
        <v>1080</v>
      </c>
      <c r="C16" s="682" t="s">
        <v>1081</v>
      </c>
      <c r="D16" s="682" t="s">
        <v>1164</v>
      </c>
      <c r="E16" s="682" t="s">
        <v>1166</v>
      </c>
      <c r="F16" s="682" t="s">
        <v>1122</v>
      </c>
      <c r="H16" s="61" t="str">
        <f t="shared" si="2"/>
        <v>Demand</v>
      </c>
      <c r="I16" s="61" t="str">
        <f t="shared" si="1"/>
        <v>TPPUGAT</v>
      </c>
      <c r="J16" s="167">
        <v>0.64854136839212595</v>
      </c>
    </row>
    <row r="17" spans="1:10" ht="15" x14ac:dyDescent="0.25">
      <c r="A17" s="682" t="str">
        <f t="shared" si="0"/>
        <v>*</v>
      </c>
      <c r="H17" s="61" t="s">
        <v>1124</v>
      </c>
      <c r="I17" s="61"/>
      <c r="J17" s="61"/>
    </row>
    <row r="18" spans="1:10" ht="15" x14ac:dyDescent="0.25">
      <c r="A18" s="682" t="str">
        <f t="shared" si="0"/>
        <v/>
      </c>
      <c r="B18" s="682" t="s">
        <v>527</v>
      </c>
      <c r="C18" s="682" t="s">
        <v>1079</v>
      </c>
      <c r="D18" s="682" t="s">
        <v>1163</v>
      </c>
      <c r="E18" s="682" t="s">
        <v>1166</v>
      </c>
      <c r="F18" s="682" t="s">
        <v>1122</v>
      </c>
      <c r="H18" s="61" t="str">
        <f t="shared" si="2"/>
        <v>Demand</v>
      </c>
      <c r="I18" s="61" t="str">
        <f t="shared" si="1"/>
        <v>TFLCV</v>
      </c>
      <c r="J18" s="61">
        <f>SUMIF(TRP!$D$62:$D$115,I18,TRP!$Z$62:$Z$115)</f>
        <v>47.584820585749924</v>
      </c>
    </row>
    <row r="19" spans="1:10" ht="15" x14ac:dyDescent="0.25">
      <c r="B19" s="682" t="s">
        <v>551</v>
      </c>
      <c r="C19" s="682" t="s">
        <v>1078</v>
      </c>
      <c r="D19" s="682" t="s">
        <v>1163</v>
      </c>
      <c r="E19" s="682" t="s">
        <v>1166</v>
      </c>
      <c r="F19" s="682" t="s">
        <v>1122</v>
      </c>
      <c r="H19" s="61" t="str">
        <f t="shared" si="2"/>
        <v>Demand</v>
      </c>
      <c r="I19" s="61" t="str">
        <f t="shared" si="1"/>
        <v>TFHCV1</v>
      </c>
      <c r="J19" s="61">
        <f>SUMIF(TRP!$D$62:$D$115,I19,TRP!$Z$62:$Z$115)</f>
        <v>3.6514783707452807</v>
      </c>
    </row>
    <row r="20" spans="1:10" ht="15" x14ac:dyDescent="0.25">
      <c r="B20" s="682" t="s">
        <v>549</v>
      </c>
      <c r="C20" s="682" t="s">
        <v>1077</v>
      </c>
      <c r="D20" s="682" t="s">
        <v>1163</v>
      </c>
      <c r="E20" s="682" t="s">
        <v>1166</v>
      </c>
      <c r="F20" s="682" t="s">
        <v>1122</v>
      </c>
      <c r="H20" s="61" t="str">
        <f t="shared" si="2"/>
        <v>Demand</v>
      </c>
      <c r="I20" s="61" t="str">
        <f t="shared" si="1"/>
        <v>TFHCV2</v>
      </c>
      <c r="J20" s="61">
        <f>SUMIF(TRP!$D$62:$D$115,I20,TRP!$Z$62:$Z$115)</f>
        <v>1.0030192144974721</v>
      </c>
    </row>
    <row r="21" spans="1:10" ht="15" x14ac:dyDescent="0.25">
      <c r="B21" s="682" t="s">
        <v>547</v>
      </c>
      <c r="C21" s="682" t="s">
        <v>1076</v>
      </c>
      <c r="D21" s="682" t="s">
        <v>1163</v>
      </c>
      <c r="E21" s="682" t="s">
        <v>1166</v>
      </c>
      <c r="F21" s="682" t="s">
        <v>1122</v>
      </c>
      <c r="H21" s="61" t="str">
        <f t="shared" si="2"/>
        <v>Demand</v>
      </c>
      <c r="I21" s="61" t="str">
        <f t="shared" si="1"/>
        <v>TFHCV3</v>
      </c>
      <c r="J21" s="61">
        <f>SUMIF(TRP!$D$62:$D$115,I21,TRP!$Z$62:$Z$115)</f>
        <v>3.2993543784220805</v>
      </c>
    </row>
    <row r="22" spans="1:10" ht="15" x14ac:dyDescent="0.25">
      <c r="B22" s="682" t="s">
        <v>545</v>
      </c>
      <c r="C22" s="682" t="s">
        <v>1075</v>
      </c>
      <c r="D22" s="682" t="s">
        <v>1163</v>
      </c>
      <c r="E22" s="682" t="s">
        <v>1166</v>
      </c>
      <c r="F22" s="682" t="s">
        <v>1122</v>
      </c>
      <c r="H22" s="61" t="str">
        <f t="shared" si="2"/>
        <v>Demand</v>
      </c>
      <c r="I22" s="61" t="str">
        <f t="shared" si="1"/>
        <v>TFHCV4</v>
      </c>
      <c r="J22" s="61">
        <f>SUMIF(TRP!$D$62:$D$115,I22,TRP!$Z$62:$Z$115)</f>
        <v>0.5984069891061613</v>
      </c>
    </row>
    <row r="23" spans="1:10" ht="15" x14ac:dyDescent="0.25">
      <c r="B23" s="682" t="s">
        <v>543</v>
      </c>
      <c r="C23" s="682" t="s">
        <v>1074</v>
      </c>
      <c r="D23" s="682" t="s">
        <v>1163</v>
      </c>
      <c r="E23" s="682" t="s">
        <v>1166</v>
      </c>
      <c r="F23" s="682" t="s">
        <v>1122</v>
      </c>
      <c r="H23" s="61" t="str">
        <f t="shared" si="2"/>
        <v>Demand</v>
      </c>
      <c r="I23" s="61" t="str">
        <f t="shared" si="1"/>
        <v>TFHCV5</v>
      </c>
      <c r="J23" s="61">
        <f>SUMIF(TRP!$D$62:$D$115,I23,TRP!$Z$62:$Z$115)</f>
        <v>0.29798809605332649</v>
      </c>
    </row>
    <row r="24" spans="1:10" ht="15" x14ac:dyDescent="0.25">
      <c r="B24" s="682" t="s">
        <v>541</v>
      </c>
      <c r="C24" s="682" t="s">
        <v>1073</v>
      </c>
      <c r="D24" s="682" t="s">
        <v>1163</v>
      </c>
      <c r="E24" s="682" t="s">
        <v>1166</v>
      </c>
      <c r="F24" s="682" t="s">
        <v>1122</v>
      </c>
      <c r="H24" s="61" t="str">
        <f t="shared" si="2"/>
        <v>Demand</v>
      </c>
      <c r="I24" s="61" t="str">
        <f t="shared" si="1"/>
        <v>TFHCV6</v>
      </c>
      <c r="J24" s="61">
        <f>SUMIF(TRP!$D$62:$D$115,I24,TRP!$Z$62:$Z$115)</f>
        <v>6.6621877646371193</v>
      </c>
    </row>
    <row r="25" spans="1:10" ht="15" x14ac:dyDescent="0.25">
      <c r="B25" s="682" t="s">
        <v>539</v>
      </c>
      <c r="C25" s="682" t="s">
        <v>1072</v>
      </c>
      <c r="D25" s="682" t="s">
        <v>1163</v>
      </c>
      <c r="E25" s="682" t="s">
        <v>1166</v>
      </c>
      <c r="F25" s="682" t="s">
        <v>1122</v>
      </c>
      <c r="H25" s="61" t="str">
        <f t="shared" si="2"/>
        <v>Demand</v>
      </c>
      <c r="I25" s="61" t="str">
        <f t="shared" si="1"/>
        <v>TFHCV7</v>
      </c>
      <c r="J25" s="61">
        <f>SUMIF(TRP!$D$62:$D$115,I25,TRP!$Z$62:$Z$115)</f>
        <v>2.2261566306639859</v>
      </c>
    </row>
    <row r="26" spans="1:10" ht="15" x14ac:dyDescent="0.25">
      <c r="A26" s="682" t="str">
        <f t="shared" ref="A26:A36" si="3">IF(ISBLANK(B26),"*","")</f>
        <v/>
      </c>
      <c r="B26" s="682" t="s">
        <v>537</v>
      </c>
      <c r="C26" s="682" t="s">
        <v>1071</v>
      </c>
      <c r="D26" s="682" t="s">
        <v>1163</v>
      </c>
      <c r="E26" s="682" t="s">
        <v>1166</v>
      </c>
      <c r="F26" s="682" t="s">
        <v>1122</v>
      </c>
      <c r="H26" s="61" t="str">
        <f t="shared" si="2"/>
        <v>Demand</v>
      </c>
      <c r="I26" s="61" t="str">
        <f t="shared" si="1"/>
        <v>TFHCV8</v>
      </c>
      <c r="J26" s="61">
        <f>SUMIF(TRP!$D$62:$D$115,I26,TRP!$Z$62:$Z$115)</f>
        <v>0.12221367884983668</v>
      </c>
    </row>
    <row r="27" spans="1:10" ht="15" x14ac:dyDescent="0.25">
      <c r="A27" s="682" t="str">
        <f t="shared" si="3"/>
        <v/>
      </c>
      <c r="B27" s="682" t="s">
        <v>535</v>
      </c>
      <c r="C27" s="682" t="s">
        <v>1070</v>
      </c>
      <c r="D27" s="682" t="s">
        <v>1163</v>
      </c>
      <c r="E27" s="682" t="s">
        <v>1166</v>
      </c>
      <c r="F27" s="682" t="s">
        <v>1122</v>
      </c>
      <c r="H27" s="61" t="str">
        <f t="shared" si="2"/>
        <v>Demand</v>
      </c>
      <c r="I27" s="61" t="str">
        <f t="shared" si="1"/>
        <v>TFHCV9</v>
      </c>
      <c r="J27" s="61">
        <f>SUMIF(TRP!$D$62:$D$115,I27,TRP!$Z$62:$Z$115)</f>
        <v>2.9412068148240243E-2</v>
      </c>
    </row>
    <row r="28" spans="1:10" ht="15" x14ac:dyDescent="0.25">
      <c r="A28" s="682" t="str">
        <f t="shared" si="3"/>
        <v/>
      </c>
      <c r="B28" s="682" t="s">
        <v>1068</v>
      </c>
      <c r="C28" s="682" t="s">
        <v>1069</v>
      </c>
      <c r="D28" s="682" t="s">
        <v>1165</v>
      </c>
      <c r="E28" s="682" t="s">
        <v>1166</v>
      </c>
      <c r="F28" s="682" t="s">
        <v>1122</v>
      </c>
      <c r="H28" s="61" t="str">
        <f t="shared" si="2"/>
        <v>Demand</v>
      </c>
      <c r="I28" s="61" t="str">
        <f t="shared" si="1"/>
        <v>TFRCO</v>
      </c>
      <c r="J28" s="61">
        <f>SUMIF(TRP!$D$62:$D$115,I28,TRP!$Z$62:$Z$115)</f>
        <v>22</v>
      </c>
    </row>
    <row r="29" spans="1:10" ht="15" x14ac:dyDescent="0.25">
      <c r="A29" s="682" t="str">
        <f t="shared" si="3"/>
        <v/>
      </c>
      <c r="B29" s="682" t="s">
        <v>1066</v>
      </c>
      <c r="C29" s="682" t="s">
        <v>1067</v>
      </c>
      <c r="D29" s="682" t="s">
        <v>1165</v>
      </c>
      <c r="E29" s="682" t="s">
        <v>1166</v>
      </c>
      <c r="F29" s="682" t="s">
        <v>1122</v>
      </c>
      <c r="H29" s="61" t="str">
        <f t="shared" si="2"/>
        <v>Demand</v>
      </c>
      <c r="I29" s="61" t="str">
        <f t="shared" si="1"/>
        <v>TFROT</v>
      </c>
      <c r="J29" s="61">
        <f>SUMIF(TRP!$D$62:$D$115,I29,TRP!$Z$62:$Z$115)</f>
        <v>27.142505514316674</v>
      </c>
    </row>
    <row r="30" spans="1:10" ht="15" x14ac:dyDescent="0.25">
      <c r="A30" s="682" t="str">
        <f t="shared" si="3"/>
        <v/>
      </c>
      <c r="B30" s="682" t="s">
        <v>1064</v>
      </c>
      <c r="C30" s="682" t="s">
        <v>1065</v>
      </c>
      <c r="D30" s="682" t="s">
        <v>1165</v>
      </c>
      <c r="E30" s="682" t="s">
        <v>1166</v>
      </c>
      <c r="F30" s="682" t="s">
        <v>1122</v>
      </c>
      <c r="H30" s="61" t="str">
        <f t="shared" si="2"/>
        <v>Demand</v>
      </c>
      <c r="I30" s="61" t="str">
        <f t="shared" si="1"/>
        <v>TFREX</v>
      </c>
      <c r="J30" s="61">
        <f>SUMIF(TRP!$D$62:$D$115,I30,TRP!$Z$62:$Z$115)</f>
        <v>88.67272717824568</v>
      </c>
    </row>
    <row r="31" spans="1:10" ht="15" x14ac:dyDescent="0.25">
      <c r="A31" s="682" t="str">
        <f t="shared" si="3"/>
        <v>*</v>
      </c>
      <c r="H31" s="61" t="s">
        <v>1124</v>
      </c>
      <c r="I31" s="61"/>
      <c r="J31" s="61"/>
    </row>
    <row r="32" spans="1:10" ht="15" x14ac:dyDescent="0.25">
      <c r="A32" s="682" t="str">
        <f t="shared" si="3"/>
        <v/>
      </c>
      <c r="B32" s="682" t="s">
        <v>1062</v>
      </c>
      <c r="C32" s="682" t="s">
        <v>1063</v>
      </c>
      <c r="D32" s="682" t="s">
        <v>20</v>
      </c>
      <c r="E32" s="682" t="s">
        <v>1166</v>
      </c>
      <c r="F32" s="682" t="s">
        <v>1122</v>
      </c>
      <c r="H32" s="61" t="str">
        <f t="shared" si="2"/>
        <v>Demand</v>
      </c>
      <c r="I32" s="61" t="str">
        <f t="shared" si="1"/>
        <v>TFPIP</v>
      </c>
      <c r="J32" s="61">
        <f>SUMIF(TRP!$D$62:$D$115,I32,TRP!$Z$62:$Z$115)</f>
        <v>1.641128256</v>
      </c>
    </row>
    <row r="33" spans="1:10" ht="15" x14ac:dyDescent="0.25">
      <c r="A33" s="682" t="str">
        <f t="shared" si="3"/>
        <v/>
      </c>
      <c r="B33" s="682" t="s">
        <v>1060</v>
      </c>
      <c r="C33" s="682" t="s">
        <v>1061</v>
      </c>
      <c r="D33" s="682" t="s">
        <v>20</v>
      </c>
      <c r="E33" s="682" t="s">
        <v>1166</v>
      </c>
      <c r="F33" s="682" t="s">
        <v>1122</v>
      </c>
      <c r="H33" s="61" t="str">
        <f t="shared" si="2"/>
        <v>Demand</v>
      </c>
      <c r="I33" s="61" t="str">
        <f t="shared" si="1"/>
        <v>TAIJET</v>
      </c>
      <c r="J33" s="61">
        <f>SUMIF(TRP!$D$62:$D$115,I33,TRP!$Z$62:$Z$115)</f>
        <v>68.938999999999993</v>
      </c>
    </row>
    <row r="34" spans="1:10" ht="15" x14ac:dyDescent="0.25">
      <c r="A34" s="682" t="str">
        <f t="shared" si="3"/>
        <v/>
      </c>
      <c r="B34" s="682" t="s">
        <v>1058</v>
      </c>
      <c r="C34" s="682" t="s">
        <v>1059</v>
      </c>
      <c r="D34" s="682" t="s">
        <v>20</v>
      </c>
      <c r="E34" s="682" t="s">
        <v>1166</v>
      </c>
      <c r="F34" s="682" t="s">
        <v>1122</v>
      </c>
      <c r="H34" s="61" t="str">
        <f t="shared" si="2"/>
        <v>Demand</v>
      </c>
      <c r="I34" s="61" t="str">
        <f t="shared" si="1"/>
        <v>TADJET</v>
      </c>
      <c r="J34" s="61">
        <f>SUMIF(TRP!$D$62:$D$115,I34,TRP!$Z$62:$Z$115)</f>
        <v>20.483000000000001</v>
      </c>
    </row>
    <row r="35" spans="1:10" ht="15" x14ac:dyDescent="0.25">
      <c r="A35" s="682" t="str">
        <f t="shared" si="3"/>
        <v/>
      </c>
      <c r="B35" s="682" t="s">
        <v>1056</v>
      </c>
      <c r="C35" s="682" t="s">
        <v>1057</v>
      </c>
      <c r="D35" s="682" t="s">
        <v>20</v>
      </c>
      <c r="E35" s="682" t="s">
        <v>1166</v>
      </c>
      <c r="F35" s="682" t="s">
        <v>1122</v>
      </c>
      <c r="H35" s="61" t="str">
        <f t="shared" si="2"/>
        <v>Demand</v>
      </c>
      <c r="I35" s="61" t="str">
        <f t="shared" si="1"/>
        <v>TAOAG</v>
      </c>
      <c r="J35" s="61">
        <f>SUMIF(TRP!$D$62:$D$115,I35,TRP!$Z$62:$Z$115)</f>
        <v>0.82199999999999995</v>
      </c>
    </row>
    <row r="36" spans="1:10" ht="15" x14ac:dyDescent="0.25">
      <c r="A36" s="682" t="str">
        <f t="shared" si="3"/>
        <v/>
      </c>
      <c r="B36" s="682" t="s">
        <v>1054</v>
      </c>
      <c r="C36" s="682" t="s">
        <v>1055</v>
      </c>
      <c r="D36" s="682" t="s">
        <v>20</v>
      </c>
      <c r="E36" s="682" t="s">
        <v>1166</v>
      </c>
      <c r="F36" s="682" t="s">
        <v>1122</v>
      </c>
      <c r="H36" s="61" t="str">
        <f t="shared" si="2"/>
        <v>Demand</v>
      </c>
      <c r="I36" s="61" t="str">
        <f t="shared" si="1"/>
        <v>TSHFO</v>
      </c>
      <c r="J36" s="61">
        <f>SUMIF(TRP!$D$62:$D$115,I36,TRP!$Z$62:$Z$115)</f>
        <v>2.77</v>
      </c>
    </row>
    <row r="37" spans="1:10" x14ac:dyDescent="0.2">
      <c r="D37" s="710"/>
      <c r="E37" s="710"/>
    </row>
    <row r="38" spans="1:10" x14ac:dyDescent="0.2">
      <c r="D38" s="710"/>
      <c r="E38" s="710"/>
    </row>
    <row r="39" spans="1:10" x14ac:dyDescent="0.2">
      <c r="D39" s="710"/>
      <c r="E39" s="710"/>
    </row>
    <row r="40" spans="1:10" x14ac:dyDescent="0.2">
      <c r="D40" s="710"/>
      <c r="E40" s="710"/>
    </row>
    <row r="41" spans="1:10" x14ac:dyDescent="0.2">
      <c r="D41" s="710"/>
      <c r="E41" s="710"/>
    </row>
    <row r="42" spans="1:10" x14ac:dyDescent="0.2">
      <c r="D42" s="710"/>
      <c r="E42" s="710"/>
    </row>
    <row r="43" spans="1:10" x14ac:dyDescent="0.2">
      <c r="D43" s="710"/>
      <c r="E43" s="710"/>
    </row>
    <row r="44" spans="1:10" x14ac:dyDescent="0.2">
      <c r="D44" s="710"/>
      <c r="E44" s="710"/>
    </row>
    <row r="45" spans="1:10" x14ac:dyDescent="0.2">
      <c r="D45" s="710"/>
      <c r="E45" s="710"/>
    </row>
    <row r="46" spans="1:10" x14ac:dyDescent="0.2">
      <c r="D46" s="710"/>
      <c r="E46" s="710"/>
    </row>
    <row r="47" spans="1:10" x14ac:dyDescent="0.2">
      <c r="D47" s="710"/>
      <c r="E47" s="710"/>
    </row>
    <row r="48" spans="1:10" x14ac:dyDescent="0.2">
      <c r="D48" s="710"/>
      <c r="E48" s="710"/>
    </row>
    <row r="49" spans="4:5" x14ac:dyDescent="0.2">
      <c r="D49" s="710"/>
      <c r="E49" s="710"/>
    </row>
    <row r="50" spans="4:5" x14ac:dyDescent="0.2">
      <c r="D50" s="710"/>
      <c r="E50" s="710"/>
    </row>
    <row r="51" spans="4:5" x14ac:dyDescent="0.2">
      <c r="D51" s="710"/>
      <c r="E51" s="710"/>
    </row>
    <row r="52" spans="4:5" x14ac:dyDescent="0.2">
      <c r="D52" s="710"/>
      <c r="E52" s="710"/>
    </row>
    <row r="53" spans="4:5" x14ac:dyDescent="0.2">
      <c r="D53" s="710"/>
      <c r="E53" s="710"/>
    </row>
    <row r="54" spans="4:5" x14ac:dyDescent="0.2">
      <c r="D54" s="710"/>
      <c r="E54" s="710"/>
    </row>
    <row r="55" spans="4:5" x14ac:dyDescent="0.2">
      <c r="D55" s="710"/>
      <c r="E55" s="710"/>
    </row>
    <row r="56" spans="4:5" x14ac:dyDescent="0.2">
      <c r="D56" s="710"/>
      <c r="E56" s="710"/>
    </row>
    <row r="57" spans="4:5" x14ac:dyDescent="0.2">
      <c r="D57" s="710"/>
      <c r="E57" s="710"/>
    </row>
    <row r="58" spans="4:5" x14ac:dyDescent="0.2">
      <c r="D58" s="710"/>
      <c r="E58" s="710"/>
    </row>
    <row r="59" spans="4:5" x14ac:dyDescent="0.2">
      <c r="D59" s="710"/>
      <c r="E59" s="710"/>
    </row>
    <row r="60" spans="4:5" x14ac:dyDescent="0.2">
      <c r="D60" s="710"/>
      <c r="E60" s="710"/>
    </row>
    <row r="61" spans="4:5" x14ac:dyDescent="0.2">
      <c r="D61" s="710"/>
      <c r="E61" s="710"/>
    </row>
    <row r="62" spans="4:5" x14ac:dyDescent="0.2">
      <c r="D62" s="710"/>
      <c r="E62" s="710"/>
    </row>
    <row r="63" spans="4:5" x14ac:dyDescent="0.2">
      <c r="D63" s="710"/>
      <c r="E63" s="710"/>
    </row>
    <row r="64" spans="4:5" x14ac:dyDescent="0.2">
      <c r="D64" s="710"/>
      <c r="E64" s="710"/>
    </row>
    <row r="65" spans="4:5" x14ac:dyDescent="0.2">
      <c r="D65" s="710"/>
      <c r="E65" s="710"/>
    </row>
    <row r="66" spans="4:5" x14ac:dyDescent="0.2">
      <c r="D66" s="710"/>
      <c r="E66" s="710"/>
    </row>
    <row r="67" spans="4:5" x14ac:dyDescent="0.2">
      <c r="D67" s="710"/>
      <c r="E67" s="710"/>
    </row>
    <row r="68" spans="4:5" x14ac:dyDescent="0.2">
      <c r="D68" s="710"/>
      <c r="E68" s="710"/>
    </row>
    <row r="69" spans="4:5" x14ac:dyDescent="0.2">
      <c r="D69" s="710"/>
      <c r="E69" s="710"/>
    </row>
    <row r="70" spans="4:5" x14ac:dyDescent="0.2">
      <c r="D70" s="710"/>
      <c r="E70" s="710"/>
    </row>
    <row r="71" spans="4:5" x14ac:dyDescent="0.2">
      <c r="D71" s="710"/>
      <c r="E71" s="710"/>
    </row>
    <row r="72" spans="4:5" x14ac:dyDescent="0.2">
      <c r="D72" s="710"/>
      <c r="E72" s="710"/>
    </row>
    <row r="73" spans="4:5" x14ac:dyDescent="0.2">
      <c r="D73" s="710"/>
      <c r="E73" s="710"/>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1254</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C000"/>
  </sheetPr>
  <dimension ref="A1:BY239"/>
  <sheetViews>
    <sheetView workbookViewId="0"/>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7" t="s">
        <v>649</v>
      </c>
      <c r="D1" s="217"/>
      <c r="E1" s="217"/>
      <c r="F1" s="217"/>
      <c r="G1" s="217"/>
      <c r="H1" s="217"/>
      <c r="I1" s="217"/>
      <c r="J1" s="217"/>
      <c r="AT1" s="61">
        <f>8.8/1.43</f>
        <v>6.1538461538461542</v>
      </c>
    </row>
    <row r="2" spans="1:61" ht="15.75" thickTop="1" x14ac:dyDescent="0.25"/>
    <row r="3" spans="1:61" ht="20.25" thickBot="1" x14ac:dyDescent="0.35">
      <c r="C3" s="217"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6"/>
    </row>
    <row r="12" spans="1:61" ht="15.75" thickBot="1" x14ac:dyDescent="0.3">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 customHeight="1" x14ac:dyDescent="0.2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2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5">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840" t="str">
        <f t="shared" si="1"/>
        <v>CV6ODS</v>
      </c>
      <c r="B29" s="840" t="str">
        <f t="shared" si="21"/>
        <v>TFHCV6ODS-E</v>
      </c>
      <c r="C29" s="840" t="s">
        <v>511</v>
      </c>
      <c r="D29" s="840" t="s">
        <v>541</v>
      </c>
      <c r="E29" s="841" t="s">
        <v>255</v>
      </c>
      <c r="F29" s="844">
        <f t="shared" si="2"/>
        <v>0.11</v>
      </c>
      <c r="G29" s="845">
        <f t="shared" si="3"/>
        <v>64512.330335483297</v>
      </c>
      <c r="H29" s="840">
        <v>110000</v>
      </c>
      <c r="I29" s="846">
        <v>64512.330335483297</v>
      </c>
      <c r="J29" s="846">
        <v>62778.924850520401</v>
      </c>
      <c r="K29" s="846">
        <v>46955.9835203494</v>
      </c>
      <c r="L29" s="846">
        <v>20285.547945611601</v>
      </c>
      <c r="M29" s="846">
        <v>8631.9302356629196</v>
      </c>
      <c r="N29" s="846">
        <v>3570.08746504808</v>
      </c>
      <c r="O29" s="847">
        <f t="shared" si="4"/>
        <v>0.58647573032257538</v>
      </c>
      <c r="P29" s="847">
        <f t="shared" si="5"/>
        <v>0.58647573032257538</v>
      </c>
      <c r="Q29" s="847">
        <f t="shared" si="6"/>
        <v>0.57071749864109456</v>
      </c>
      <c r="R29" s="847">
        <f t="shared" si="7"/>
        <v>0.42687257745772184</v>
      </c>
      <c r="S29" s="847">
        <f t="shared" si="8"/>
        <v>0.18441407223283274</v>
      </c>
      <c r="T29" s="847">
        <f t="shared" si="9"/>
        <v>7.847209305148109E-2</v>
      </c>
      <c r="U29" s="847">
        <f t="shared" si="10"/>
        <v>3.245534059134618E-2</v>
      </c>
      <c r="V29" s="848">
        <f t="shared" si="11"/>
        <v>40.292737614575302</v>
      </c>
      <c r="W29" s="838">
        <v>40.292737614575302</v>
      </c>
      <c r="X29" s="848">
        <f t="shared" si="0"/>
        <v>6.0770510906732703E-2</v>
      </c>
      <c r="Y29" s="849">
        <f t="shared" si="12"/>
        <v>6.0770510906732703E-2</v>
      </c>
      <c r="Z29" s="838">
        <v>6.0770510906732703E-2</v>
      </c>
      <c r="AA29" s="850">
        <v>6.5140074152247901E-2</v>
      </c>
      <c r="AB29" s="838">
        <v>6.5086835525467304E-2</v>
      </c>
      <c r="AC29" s="838">
        <v>6.6124396909204006E-2</v>
      </c>
      <c r="AD29" s="838">
        <v>6.7166260047415702E-2</v>
      </c>
      <c r="AE29" s="838">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840" t="str">
        <f t="shared" si="1"/>
        <v>LCVODS</v>
      </c>
      <c r="B33" s="840" t="str">
        <f t="shared" si="21"/>
        <v>TFLCVODS-E</v>
      </c>
      <c r="C33" s="840" t="s">
        <v>511</v>
      </c>
      <c r="D33" s="840" t="s">
        <v>527</v>
      </c>
      <c r="E33" s="840" t="s">
        <v>247</v>
      </c>
      <c r="F33" s="844">
        <f t="shared" si="2"/>
        <v>0.04</v>
      </c>
      <c r="G33" s="845">
        <f t="shared" si="3"/>
        <v>24753.4936084117</v>
      </c>
      <c r="H33" s="840">
        <v>40000</v>
      </c>
      <c r="I33" s="846">
        <v>24753.4936084117</v>
      </c>
      <c r="J33" s="846">
        <v>24428.944976716801</v>
      </c>
      <c r="K33" s="846">
        <v>19880.903653884601</v>
      </c>
      <c r="L33" s="846">
        <v>9810.8703686831195</v>
      </c>
      <c r="M33" s="846">
        <v>4777.2385942184001</v>
      </c>
      <c r="N33" s="846">
        <v>2310.21877327025</v>
      </c>
      <c r="O33" s="847">
        <f t="shared" si="4"/>
        <v>0.61883734021029246</v>
      </c>
      <c r="P33" s="847">
        <f t="shared" si="5"/>
        <v>0.61883734021029246</v>
      </c>
      <c r="Q33" s="847">
        <f t="shared" si="6"/>
        <v>0.61072362441792005</v>
      </c>
      <c r="R33" s="847">
        <f t="shared" si="7"/>
        <v>0.49702259134711502</v>
      </c>
      <c r="S33" s="847">
        <f t="shared" si="8"/>
        <v>0.245271759217078</v>
      </c>
      <c r="T33" s="847">
        <f t="shared" si="9"/>
        <v>0.11943096485546</v>
      </c>
      <c r="U33" s="847">
        <f t="shared" si="10"/>
        <v>5.7755469331756251E-2</v>
      </c>
      <c r="V33" s="848">
        <f t="shared" si="11"/>
        <v>11.124053535325499</v>
      </c>
      <c r="W33" s="838">
        <v>11.124053535325499</v>
      </c>
      <c r="X33" s="848">
        <f t="shared" si="0"/>
        <v>0.224634152664134</v>
      </c>
      <c r="Y33" s="849">
        <f t="shared" si="12"/>
        <v>0.224634152664134</v>
      </c>
      <c r="Z33" s="838">
        <v>0.224634152664134</v>
      </c>
      <c r="AA33" s="850">
        <v>0.23594563867169499</v>
      </c>
      <c r="AB33" s="838">
        <v>0.236416891901715</v>
      </c>
      <c r="AC33" s="838">
        <v>0.237476755649043</v>
      </c>
      <c r="AD33" s="838">
        <v>0.23820734864530901</v>
      </c>
      <c r="AE33" s="838">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4">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2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2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2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25">
      <c r="O49" s="174">
        <f t="shared" si="28"/>
        <v>0</v>
      </c>
      <c r="AA49">
        <f>1/AA65</f>
        <v>3.0120320555337368</v>
      </c>
      <c r="AT49" s="61"/>
    </row>
    <row r="50" spans="1:69" customFormat="1" x14ac:dyDescent="0.25">
      <c r="F50" s="61"/>
      <c r="AM50" s="61"/>
      <c r="AN50" s="61"/>
    </row>
    <row r="51" spans="1:69" s="191" customFormat="1" x14ac:dyDescent="0.2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25">
      <c r="BQ52" s="61"/>
    </row>
    <row r="53" spans="1:69" x14ac:dyDescent="0.2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v>8.650433231260191</v>
      </c>
      <c r="AB53" s="174"/>
      <c r="AD53" s="174"/>
      <c r="AE53" s="174"/>
      <c r="AF53" s="174"/>
      <c r="AG53" s="174"/>
      <c r="AH53" s="174"/>
      <c r="AI53" s="174"/>
    </row>
    <row r="54" spans="1:69" x14ac:dyDescent="0.25">
      <c r="B54" s="190"/>
      <c r="R54" s="61" t="s">
        <v>590</v>
      </c>
      <c r="T54" s="175">
        <v>0.01</v>
      </c>
      <c r="U54" s="175">
        <v>0.01</v>
      </c>
      <c r="V54" s="175">
        <v>0.01</v>
      </c>
      <c r="W54" s="175">
        <v>0.01</v>
      </c>
      <c r="X54" s="178">
        <v>0.01</v>
      </c>
      <c r="Y54" s="184"/>
      <c r="Z54" s="174"/>
      <c r="AA54" s="174" t="s">
        <v>589</v>
      </c>
      <c r="AB54" s="174"/>
      <c r="AD54" s="170" t="e">
        <f>'Vehicle eff data 2023'!#REF!</f>
        <v>#REF!</v>
      </c>
      <c r="AE54" s="174"/>
      <c r="AF54" s="174"/>
      <c r="AG54" s="174"/>
      <c r="AH54" s="174"/>
      <c r="AI54" s="174"/>
      <c r="AJ54" s="174"/>
      <c r="AK54" s="174"/>
      <c r="AL54" s="174"/>
      <c r="AM54" s="174"/>
      <c r="AN54" s="190"/>
      <c r="AO54" s="190"/>
    </row>
    <row r="55" spans="1:69" ht="15.75" thickBot="1" x14ac:dyDescent="0.3">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2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75" thickBot="1" x14ac:dyDescent="0.3">
      <c r="F57" s="61" t="str">
        <f>F15</f>
        <v>m.km/yr</v>
      </c>
      <c r="S57" s="61" t="s">
        <v>468</v>
      </c>
      <c r="T57" s="718">
        <f>IF(eMode,$Z$57,$Y$57)</f>
        <v>1.4999999999999999E-2</v>
      </c>
      <c r="U57" s="179">
        <f>T57</f>
        <v>1.4999999999999999E-2</v>
      </c>
      <c r="V57" s="179">
        <f>U57</f>
        <v>1.4999999999999999E-2</v>
      </c>
      <c r="W57" s="179">
        <f>V57</f>
        <v>1.4999999999999999E-2</v>
      </c>
      <c r="X57" s="179">
        <f>W57</f>
        <v>1.4999999999999999E-2</v>
      </c>
      <c r="Y57" s="719">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0">
        <v>0.1</v>
      </c>
      <c r="AU57" s="179"/>
      <c r="AV57" s="179"/>
      <c r="AW57" s="721"/>
      <c r="AX57" s="721"/>
      <c r="AY57" s="721"/>
      <c r="BD57" s="61" t="s">
        <v>571</v>
      </c>
    </row>
    <row r="58" spans="1:69" x14ac:dyDescent="0.25">
      <c r="F58" s="722" t="str">
        <f>F16</f>
        <v>CapAct</v>
      </c>
      <c r="G58" s="723">
        <f>H16</f>
        <v>2012</v>
      </c>
      <c r="H58" s="723">
        <v>0</v>
      </c>
      <c r="I58" s="723">
        <v>5</v>
      </c>
      <c r="J58" s="723">
        <v>10</v>
      </c>
      <c r="K58" s="723">
        <v>30</v>
      </c>
      <c r="L58" s="723">
        <v>50</v>
      </c>
      <c r="M58" s="723">
        <v>0</v>
      </c>
      <c r="N58" s="723">
        <v>5</v>
      </c>
      <c r="O58" s="723">
        <v>10</v>
      </c>
      <c r="P58" s="723">
        <v>30</v>
      </c>
      <c r="Q58" s="723">
        <v>50</v>
      </c>
      <c r="R58" s="723"/>
      <c r="S58" s="723">
        <v>2006</v>
      </c>
      <c r="T58" s="724">
        <v>2012</v>
      </c>
      <c r="U58" s="723">
        <v>2020</v>
      </c>
      <c r="V58" s="723">
        <v>2030</v>
      </c>
      <c r="W58" s="723">
        <v>2040</v>
      </c>
      <c r="X58" s="723">
        <v>2050</v>
      </c>
      <c r="Y58" s="723"/>
      <c r="Z58" s="723">
        <f>S58</f>
        <v>2006</v>
      </c>
      <c r="AA58" s="723">
        <v>2017</v>
      </c>
      <c r="AB58" s="723">
        <f>U58</f>
        <v>2020</v>
      </c>
      <c r="AC58" s="723">
        <f>V58</f>
        <v>2030</v>
      </c>
      <c r="AD58" s="723">
        <f>W58</f>
        <v>2040</v>
      </c>
      <c r="AE58" s="723">
        <f>X58</f>
        <v>2050</v>
      </c>
      <c r="AF58" s="723"/>
      <c r="AG58" s="723"/>
      <c r="AH58" s="723" t="s">
        <v>495</v>
      </c>
      <c r="AI58" s="723" t="s">
        <v>570</v>
      </c>
      <c r="AJ58" s="723">
        <v>2006</v>
      </c>
      <c r="AK58" s="723">
        <v>2012</v>
      </c>
      <c r="AL58" s="723">
        <v>2020</v>
      </c>
      <c r="AM58" s="723">
        <v>2025</v>
      </c>
      <c r="AN58" s="723">
        <v>2030</v>
      </c>
      <c r="AO58" s="723">
        <v>2035</v>
      </c>
      <c r="AP58" s="723">
        <v>2040</v>
      </c>
      <c r="AQ58" s="723">
        <v>2050</v>
      </c>
      <c r="AR58" s="723"/>
      <c r="AS58" s="723"/>
      <c r="AT58" s="723" t="s">
        <v>353</v>
      </c>
      <c r="AU58" s="723">
        <v>2012</v>
      </c>
      <c r="AV58" s="723">
        <v>2020</v>
      </c>
      <c r="AW58" s="723">
        <v>2030</v>
      </c>
      <c r="AX58" s="723">
        <v>2040</v>
      </c>
      <c r="AY58" s="725">
        <v>2050</v>
      </c>
    </row>
    <row r="59" spans="1:69" x14ac:dyDescent="0.25">
      <c r="A59" s="61" t="str">
        <f t="shared" ref="A59:A90" si="31">RIGHT(D59,3)&amp;C59</f>
        <v>BUSODS</v>
      </c>
      <c r="B59" s="61" t="str">
        <f>D59&amp;C59&amp;"-N"</f>
        <v>TPPUBUSODS-N</v>
      </c>
      <c r="C59" s="61" t="s">
        <v>511</v>
      </c>
      <c r="D59" s="61" t="s">
        <v>565</v>
      </c>
      <c r="E59" s="61" t="s">
        <v>569</v>
      </c>
      <c r="F59" s="793">
        <f>INDEX($F$17:$F$49,MATCH($E59,$E$17:$E$49,0))</f>
        <v>0.06</v>
      </c>
      <c r="G59" s="794">
        <f>G17</f>
        <v>53296.583187381897</v>
      </c>
      <c r="H59" s="794">
        <f t="shared" ref="H59:L68" si="32">(EXP(-((H$58)*$F59))*G59)</f>
        <v>53296.583187381897</v>
      </c>
      <c r="I59" s="794">
        <f t="shared" si="32"/>
        <v>39483.079925291415</v>
      </c>
      <c r="J59" s="794">
        <f t="shared" si="32"/>
        <v>21668.773691830389</v>
      </c>
      <c r="K59" s="794">
        <f t="shared" si="32"/>
        <v>3581.8242003847272</v>
      </c>
      <c r="L59" s="794">
        <f t="shared" si="32"/>
        <v>178.32852634622401</v>
      </c>
      <c r="M59" s="794">
        <f t="shared" ref="M59:M90" si="33">H59/$G59</f>
        <v>1</v>
      </c>
      <c r="N59" s="794">
        <f t="shared" ref="N59:N90" si="34">I59/$G59</f>
        <v>0.74081822068171788</v>
      </c>
      <c r="O59" s="794">
        <f t="shared" ref="O59:O90" si="35">J59/$G59</f>
        <v>0.40656965974059905</v>
      </c>
      <c r="P59" s="794">
        <f t="shared" ref="P59:P90" si="36">K59/$G59</f>
        <v>6.720551273974977E-2</v>
      </c>
      <c r="Q59" s="794">
        <f t="shared" ref="Q59:Q90" si="37">L59/$G59</f>
        <v>3.3459654574712729E-3</v>
      </c>
      <c r="R59" s="794">
        <f t="shared" ref="R59:R90" si="38">M59/$G59</f>
        <v>1.8762928882029207E-5</v>
      </c>
      <c r="S59" s="211">
        <v>31.22</v>
      </c>
      <c r="T59" s="795">
        <f>W17</f>
        <v>40.788494972334703</v>
      </c>
      <c r="U59" s="794">
        <f>T59/((1+U$53)^(U$58-T$58))</f>
        <v>38.421758893352582</v>
      </c>
      <c r="V59" s="794">
        <f>U59/((1+V$53)^(V$58-U$58))</f>
        <v>35.655513403447067</v>
      </c>
      <c r="W59" s="794">
        <f>V59/((1+W$53)^(W$58-V$58))</f>
        <v>33.088428866366812</v>
      </c>
      <c r="X59" s="794">
        <f>W59/((1+X$53)^(X$58-W$58))</f>
        <v>30.70616632149715</v>
      </c>
      <c r="Y59" s="794"/>
      <c r="Z59" s="796">
        <f>(1/S59*100)/DieselLHV</f>
        <v>8.749755228366396E-2</v>
      </c>
      <c r="AA59" s="796">
        <f>1/SUMIFS('Vehicle eff data 2023'!Q$20:Q$117,'Vehicle eff data 2023'!$A$20:$A$117,Analytica!$C59,'Vehicle eff data 2023'!$D$20:$D$117,RIGHT(Analytica!$D59,3))</f>
        <v>6.4348339348895098E-2</v>
      </c>
      <c r="AB59" s="796">
        <f>1/SUMIFS('Vehicle eff data 2023'!R$20:R$117,'Vehicle eff data 2023'!$A$20:$A$117,Analytica!$C59,'Vehicle eff data 2023'!$D$20:$D$117,RIGHT(Analytica!$D59,3))</f>
        <v>6.5323297732971908E-2</v>
      </c>
      <c r="AC59" s="796">
        <f>1/SUMIFS('Vehicle eff data 2023'!S$20:S$117,'Vehicle eff data 2023'!$A$20:$A$117,Analytica!$C59,'Vehicle eff data 2023'!$D$20:$D$117,RIGHT(Analytica!$D59,3))</f>
        <v>7.043085277768743E-2</v>
      </c>
      <c r="AD59" s="796">
        <f>1/SUMIFS('Vehicle eff data 2023'!T$20:T$117,'Vehicle eff data 2023'!$A$20:$A$117,Analytica!$C59,'Vehicle eff data 2023'!$D$20:$D$117,RIGHT(Analytica!$D59,3))</f>
        <v>7.7877320574937056E-2</v>
      </c>
      <c r="AE59" s="796">
        <f>1/SUMIFS('Vehicle eff data 2023'!U$20:U$117,'Vehicle eff data 2023'!$A$20:$A$117,Analytica!$C59,'Vehicle eff data 2023'!$D$20:$D$117,RIGHT(Analytica!$D59,3))</f>
        <v>8.6111083718879447E-2</v>
      </c>
      <c r="AF59" s="796"/>
      <c r="AG59" s="211"/>
      <c r="AH59" s="797">
        <v>306.87549999999999</v>
      </c>
      <c r="AI59" s="797">
        <v>636.66302862985685</v>
      </c>
      <c r="AJ59" s="797"/>
      <c r="AK59" s="890"/>
      <c r="AL59" s="890"/>
      <c r="AM59" s="890"/>
      <c r="AN59" s="890"/>
      <c r="AO59" s="890"/>
      <c r="AP59" s="890"/>
      <c r="AQ59" s="890"/>
      <c r="AR59" s="891"/>
      <c r="AS59" s="891"/>
      <c r="AT59" s="892"/>
      <c r="AU59" s="893"/>
      <c r="AV59" s="893"/>
      <c r="AW59" s="893"/>
      <c r="AX59" s="893"/>
      <c r="AY59" s="894"/>
      <c r="BA59" s="164">
        <f>SUMIF($E$17:$E$41,E59,$AR$17:$AR$41)/SUMIF($D$17:$D$41,D59,$AR$17:$AR$41)</f>
        <v>1</v>
      </c>
      <c r="BB59" s="61" t="s">
        <v>477</v>
      </c>
      <c r="BC59" s="166">
        <f>AJ59*1000</f>
        <v>0</v>
      </c>
    </row>
    <row r="60" spans="1:69" x14ac:dyDescent="0.25">
      <c r="A60" s="61" t="str">
        <f t="shared" si="31"/>
        <v>BUSGAS</v>
      </c>
      <c r="B60" s="61" t="str">
        <f>D60&amp;C60&amp;"-N"</f>
        <v>TPPUBUSGAS-N</v>
      </c>
      <c r="C60" s="61" t="s">
        <v>509</v>
      </c>
      <c r="D60" s="61" t="s">
        <v>565</v>
      </c>
      <c r="E60" s="61" t="s">
        <v>568</v>
      </c>
      <c r="F60" s="793">
        <f t="shared" ref="F60:G63" si="39">F59</f>
        <v>0.06</v>
      </c>
      <c r="G60" s="794">
        <f t="shared" si="39"/>
        <v>53296.583187381897</v>
      </c>
      <c r="H60" s="794">
        <f t="shared" si="32"/>
        <v>53296.583187381897</v>
      </c>
      <c r="I60" s="794">
        <f t="shared" si="32"/>
        <v>39483.079925291415</v>
      </c>
      <c r="J60" s="794">
        <f t="shared" si="32"/>
        <v>21668.773691830389</v>
      </c>
      <c r="K60" s="794">
        <f t="shared" si="32"/>
        <v>3581.8242003847272</v>
      </c>
      <c r="L60" s="794">
        <f t="shared" si="32"/>
        <v>178.32852634622401</v>
      </c>
      <c r="M60" s="794">
        <f t="shared" si="33"/>
        <v>1</v>
      </c>
      <c r="N60" s="794">
        <f t="shared" si="34"/>
        <v>0.74081822068171788</v>
      </c>
      <c r="O60" s="794">
        <f t="shared" si="35"/>
        <v>0.40656965974059905</v>
      </c>
      <c r="P60" s="794">
        <f t="shared" si="36"/>
        <v>6.720551273974977E-2</v>
      </c>
      <c r="Q60" s="794">
        <f t="shared" si="37"/>
        <v>3.3459654574712729E-3</v>
      </c>
      <c r="R60" s="794">
        <f t="shared" si="38"/>
        <v>1.8762928882029207E-5</v>
      </c>
      <c r="S60" s="211">
        <f>S$70/S$65*S59</f>
        <v>27.7780682039647</v>
      </c>
      <c r="T60" s="794">
        <f>S60/((1+T$57)^(T$58-S$58))</f>
        <v>25.404215399164865</v>
      </c>
      <c r="U60" s="794">
        <f>T60/((1+U$57)^(U$58-T$58))</f>
        <v>22.551604601274992</v>
      </c>
      <c r="V60" s="794">
        <f>U60/((1+V$57)^(V$58-U$58))</f>
        <v>19.431978707673903</v>
      </c>
      <c r="W60" s="794">
        <f>V60/((1+W$57)^(W$58-V$58))</f>
        <v>16.743899299925808</v>
      </c>
      <c r="X60" s="794">
        <f>W60/((1+X$57)^(X$58-W$58))</f>
        <v>14.427669358002095</v>
      </c>
      <c r="Y60" s="211"/>
      <c r="Z60" s="796">
        <f>(1/S60*100)/DieselLHV</f>
        <v>9.8339220792398485E-2</v>
      </c>
      <c r="AA60" s="796">
        <f>1/SUMIFS('Vehicle eff data 2023'!Q$20:Q$117,'Vehicle eff data 2023'!$A$20:$A$117,Analytica!$C60,'Vehicle eff data 2023'!$D$20:$D$117,RIGHT(Analytica!$D60,3))</f>
        <v>5.5955077694691387E-2</v>
      </c>
      <c r="AB60" s="796">
        <f>1/SUMIFS('Vehicle eff data 2023'!R$20:R$117,'Vehicle eff data 2023'!$A$20:$A$117,Analytica!$C60,'Vehicle eff data 2023'!$D$20:$D$117,RIGHT(Analytica!$D60,3))</f>
        <v>5.6802867593888626E-2</v>
      </c>
      <c r="AC60" s="796">
        <f>1/SUMIFS('Vehicle eff data 2023'!S$20:S$117,'Vehicle eff data 2023'!$A$20:$A$117,Analytica!$C60,'Vehicle eff data 2023'!$D$20:$D$117,RIGHT(Analytica!$D60,3))</f>
        <v>6.1244219806684722E-2</v>
      </c>
      <c r="AD60" s="796">
        <f>1/SUMIFS('Vehicle eff data 2023'!T$20:T$117,'Vehicle eff data 2023'!$A$20:$A$117,Analytica!$C60,'Vehicle eff data 2023'!$D$20:$D$117,RIGHT(Analytica!$D60,3))</f>
        <v>6.7719409195597449E-2</v>
      </c>
      <c r="AE60" s="796">
        <f>1/SUMIFS('Vehicle eff data 2023'!U$20:U$117,'Vehicle eff data 2023'!$A$20:$A$117,Analytica!$C60,'Vehicle eff data 2023'!$D$20:$D$117,RIGHT(Analytica!$D60,3))</f>
        <v>7.4879203233808214E-2</v>
      </c>
      <c r="AF60" s="796"/>
      <c r="AG60" s="211">
        <v>1</v>
      </c>
      <c r="AH60" s="797">
        <f>AH59*(1+$AR$57)</f>
        <v>337.56305000000003</v>
      </c>
      <c r="AI60" s="797">
        <f>AI59*(1+$AR$57)</f>
        <v>700.32933149284258</v>
      </c>
      <c r="AJ60" s="797"/>
      <c r="AK60" s="890"/>
      <c r="AL60" s="890" t="s">
        <v>1379</v>
      </c>
      <c r="AM60" s="890"/>
      <c r="AN60" s="890"/>
      <c r="AO60" s="890"/>
      <c r="AP60" s="890"/>
      <c r="AQ60" s="890"/>
      <c r="AR60" s="893"/>
      <c r="AS60" s="891"/>
      <c r="AT60" s="892"/>
      <c r="AU60" s="893"/>
      <c r="AV60" s="893"/>
      <c r="AW60" s="893"/>
      <c r="AX60" s="893"/>
      <c r="AY60" s="894"/>
      <c r="BA60" s="164">
        <f>SUMIF($E$17:$E$41,E60,$AR$17:$AR$41)/SUMIF($D$17:$D$41,D60,$AR$17:$AR$41)</f>
        <v>0</v>
      </c>
      <c r="BB60" s="61" t="s">
        <v>524</v>
      </c>
      <c r="BC60" s="166">
        <f>AJ60*1000</f>
        <v>0</v>
      </c>
    </row>
    <row r="61" spans="1:69" x14ac:dyDescent="0.25">
      <c r="A61" s="61" t="str">
        <f t="shared" si="31"/>
        <v>BUSHGN</v>
      </c>
      <c r="B61" s="61" t="str">
        <f>D61&amp;C61&amp;"F-N"</f>
        <v>TPPUBUSHGNF-N</v>
      </c>
      <c r="C61" s="61" t="s">
        <v>504</v>
      </c>
      <c r="D61" s="61" t="s">
        <v>565</v>
      </c>
      <c r="E61" s="61" t="s">
        <v>567</v>
      </c>
      <c r="F61" s="793">
        <f t="shared" si="39"/>
        <v>0.06</v>
      </c>
      <c r="G61" s="794">
        <f t="shared" si="39"/>
        <v>53296.583187381897</v>
      </c>
      <c r="H61" s="794">
        <f t="shared" si="32"/>
        <v>53296.583187381897</v>
      </c>
      <c r="I61" s="794">
        <f t="shared" si="32"/>
        <v>39483.079925291415</v>
      </c>
      <c r="J61" s="794">
        <f t="shared" si="32"/>
        <v>21668.773691830389</v>
      </c>
      <c r="K61" s="794">
        <f t="shared" si="32"/>
        <v>3581.8242003847272</v>
      </c>
      <c r="L61" s="794">
        <f t="shared" si="32"/>
        <v>178.32852634622401</v>
      </c>
      <c r="M61" s="794">
        <f t="shared" si="33"/>
        <v>1</v>
      </c>
      <c r="N61" s="794">
        <f t="shared" si="34"/>
        <v>0.74081822068171788</v>
      </c>
      <c r="O61" s="794">
        <f t="shared" si="35"/>
        <v>0.40656965974059905</v>
      </c>
      <c r="P61" s="794">
        <f t="shared" si="36"/>
        <v>6.720551273974977E-2</v>
      </c>
      <c r="Q61" s="794">
        <f t="shared" si="37"/>
        <v>3.3459654574712729E-3</v>
      </c>
      <c r="R61" s="794">
        <f t="shared" si="38"/>
        <v>1.8762928882029207E-5</v>
      </c>
      <c r="S61" s="794">
        <f t="shared" ref="S61:X61" si="40">S60/1.95</f>
        <v>14.245163181520359</v>
      </c>
      <c r="T61" s="794">
        <f t="shared" si="40"/>
        <v>13.027802768802495</v>
      </c>
      <c r="U61" s="794">
        <f t="shared" si="40"/>
        <v>11.564925436551277</v>
      </c>
      <c r="V61" s="794">
        <f t="shared" si="40"/>
        <v>9.9651172859866168</v>
      </c>
      <c r="W61" s="794">
        <f t="shared" si="40"/>
        <v>8.5866150256029776</v>
      </c>
      <c r="X61" s="794">
        <f t="shared" si="40"/>
        <v>7.3988047989754335</v>
      </c>
      <c r="Y61" s="211"/>
      <c r="Z61" s="796">
        <f>(1/S61*100)/DieselLHV</f>
        <v>0.19176148054517705</v>
      </c>
      <c r="AA61" s="796">
        <f>1/SUMIFS('Vehicle eff data 2023'!Q$20:Q$117,'Vehicle eff data 2023'!$A$20:$A$117,Analytica!$C61,'Vehicle eff data 2023'!$D$20:$D$117,RIGHT(Analytica!$D61,3))</f>
        <v>0.13575248869333464</v>
      </c>
      <c r="AB61" s="796">
        <f>1/SUMIFS('Vehicle eff data 2023'!R$20:R$117,'Vehicle eff data 2023'!$A$20:$A$117,Analytica!$C61,'Vehicle eff data 2023'!$D$20:$D$117,RIGHT(Analytica!$D61,3))</f>
        <v>0.13780930986929765</v>
      </c>
      <c r="AC61" s="796">
        <f>1/SUMIFS('Vehicle eff data 2023'!S$20:S$117,'Vehicle eff data 2023'!$A$20:$A$117,Analytica!$C61,'Vehicle eff data 2023'!$D$20:$D$117,RIGHT(Analytica!$D61,3))</f>
        <v>0.14858446452711918</v>
      </c>
      <c r="AD61" s="796">
        <f>1/SUMIFS('Vehicle eff data 2023'!T$20:T$117,'Vehicle eff data 2023'!$A$20:$A$117,Analytica!$C61,'Vehicle eff data 2023'!$D$20:$D$117,RIGHT(Analytica!$D61,3))</f>
        <v>0.16429390700348931</v>
      </c>
      <c r="AE61" s="796">
        <f>1/SUMIFS('Vehicle eff data 2023'!U$20:U$117,'Vehicle eff data 2023'!$A$20:$A$117,Analytica!$C61,'Vehicle eff data 2023'!$D$20:$D$117,RIGHT(Analytica!$D61,3))</f>
        <v>0.18166426728646726</v>
      </c>
      <c r="AF61" s="796"/>
      <c r="AG61" s="211">
        <v>1</v>
      </c>
      <c r="AH61" s="797"/>
      <c r="AI61" s="797"/>
      <c r="AJ61" s="797"/>
      <c r="AK61" s="890"/>
      <c r="AL61" s="890"/>
      <c r="AM61" s="890"/>
      <c r="AN61" s="890"/>
      <c r="AO61" s="890"/>
      <c r="AP61" s="890"/>
      <c r="AQ61" s="890"/>
      <c r="AR61" s="893"/>
      <c r="AS61" s="891"/>
      <c r="AT61" s="892"/>
      <c r="AU61" s="893"/>
      <c r="AV61" s="893"/>
      <c r="AW61" s="893"/>
      <c r="AX61" s="893"/>
      <c r="AY61" s="894"/>
      <c r="BA61" s="164">
        <v>0</v>
      </c>
      <c r="BC61" s="166">
        <f>BC60-BC59</f>
        <v>0</v>
      </c>
      <c r="BD61" s="166">
        <f>BC61/5.5</f>
        <v>0</v>
      </c>
      <c r="BE61" s="61" t="s">
        <v>563</v>
      </c>
    </row>
    <row r="62" spans="1:69" ht="15.75" thickBot="1" x14ac:dyDescent="0.3">
      <c r="A62" s="61" t="str">
        <f t="shared" si="31"/>
        <v>BUSBGS</v>
      </c>
      <c r="B62" s="61" t="str">
        <f t="shared" ref="B62:B70" si="41">D62&amp;C62&amp;"-N"</f>
        <v>TPPUBUSBGS-N</v>
      </c>
      <c r="C62" s="61" t="s">
        <v>506</v>
      </c>
      <c r="D62" s="61" t="s">
        <v>565</v>
      </c>
      <c r="E62" s="61" t="s">
        <v>566</v>
      </c>
      <c r="F62" s="793">
        <f t="shared" si="39"/>
        <v>0.06</v>
      </c>
      <c r="G62" s="794">
        <f t="shared" si="39"/>
        <v>53296.583187381897</v>
      </c>
      <c r="H62" s="794">
        <f t="shared" si="32"/>
        <v>53296.583187381897</v>
      </c>
      <c r="I62" s="794">
        <f t="shared" si="32"/>
        <v>39483.079925291415</v>
      </c>
      <c r="J62" s="794">
        <f t="shared" si="32"/>
        <v>21668.773691830389</v>
      </c>
      <c r="K62" s="794">
        <f t="shared" si="32"/>
        <v>3581.8242003847272</v>
      </c>
      <c r="L62" s="794">
        <f t="shared" si="32"/>
        <v>178.32852634622401</v>
      </c>
      <c r="M62" s="794">
        <f t="shared" si="33"/>
        <v>1</v>
      </c>
      <c r="N62" s="794">
        <f t="shared" si="34"/>
        <v>0.74081822068171788</v>
      </c>
      <c r="O62" s="794">
        <f t="shared" si="35"/>
        <v>0.40656965974059905</v>
      </c>
      <c r="P62" s="794">
        <f t="shared" si="36"/>
        <v>6.720551273974977E-2</v>
      </c>
      <c r="Q62" s="794">
        <f t="shared" si="37"/>
        <v>3.3459654574712729E-3</v>
      </c>
      <c r="R62" s="794">
        <f t="shared" si="38"/>
        <v>1.8762928882029207E-5</v>
      </c>
      <c r="S62" s="794">
        <f>1/1.99706732856821 *100</f>
        <v>50.073424450689217</v>
      </c>
      <c r="T62" s="794">
        <f>S62</f>
        <v>50.073424450689217</v>
      </c>
      <c r="U62" s="794">
        <f>S62/((1+T$57)^(U$58-S$58))</f>
        <v>40.652073461414624</v>
      </c>
      <c r="V62" s="794">
        <f>T62/((1+U$57)^(V$58-T$58))</f>
        <v>38.301742543802312</v>
      </c>
      <c r="W62" s="794">
        <f>U62/((1+V$57)^(W$58-U$58))</f>
        <v>30.182961984560066</v>
      </c>
      <c r="X62" s="794">
        <f>V62/((1+W$57)^(X$58-V$58))</f>
        <v>28.437910805196189</v>
      </c>
      <c r="Y62" s="211"/>
      <c r="Z62" s="794">
        <v>8.6828034906075102E-2</v>
      </c>
      <c r="AA62" s="796">
        <f>1/SUMIFS('Vehicle eff data 2023'!Q$20:Q$117,'Vehicle eff data 2023'!$A$20:$A$117,Analytica!$C62,'Vehicle eff data 2023'!$D$20:$D$117,RIGHT(Analytica!$D62,3))</f>
        <v>6.4348339348895098E-2</v>
      </c>
      <c r="AB62" s="796">
        <f>1/SUMIFS('Vehicle eff data 2023'!R$20:R$117,'Vehicle eff data 2023'!$A$20:$A$117,Analytica!$C62,'Vehicle eff data 2023'!$D$20:$D$117,RIGHT(Analytica!$D62,3))</f>
        <v>6.5323297732971908E-2</v>
      </c>
      <c r="AC62" s="796">
        <f>1/SUMIFS('Vehicle eff data 2023'!S$20:S$117,'Vehicle eff data 2023'!$A$20:$A$117,Analytica!$C62,'Vehicle eff data 2023'!$D$20:$D$117,RIGHT(Analytica!$D62,3))</f>
        <v>7.043085277768743E-2</v>
      </c>
      <c r="AD62" s="796">
        <f>1/SUMIFS('Vehicle eff data 2023'!T$20:T$117,'Vehicle eff data 2023'!$A$20:$A$117,Analytica!$C62,'Vehicle eff data 2023'!$D$20:$D$117,RIGHT(Analytica!$D62,3))</f>
        <v>7.7877320574937056E-2</v>
      </c>
      <c r="AE62" s="796">
        <f>1/SUMIFS('Vehicle eff data 2023'!U$20:U$117,'Vehicle eff data 2023'!$A$20:$A$117,Analytica!$C62,'Vehicle eff data 2023'!$D$20:$D$117,RIGHT(Analytica!$D62,3))</f>
        <v>8.6111083718879447E-2</v>
      </c>
      <c r="AF62" s="796"/>
      <c r="AG62" s="211">
        <v>1</v>
      </c>
      <c r="AH62" s="797"/>
      <c r="AI62" s="797"/>
      <c r="AJ62" s="797"/>
      <c r="AK62" s="890"/>
      <c r="AL62" s="890"/>
      <c r="AM62" s="890"/>
      <c r="AN62" s="890"/>
      <c r="AO62" s="890"/>
      <c r="AP62" s="890"/>
      <c r="AQ62" s="890"/>
      <c r="AR62" s="893"/>
      <c r="AS62" s="891"/>
      <c r="AT62" s="892"/>
      <c r="AU62" s="893"/>
      <c r="AV62" s="893"/>
      <c r="AW62" s="893"/>
      <c r="AX62" s="893"/>
      <c r="AY62" s="894"/>
      <c r="BA62" s="164">
        <v>0</v>
      </c>
      <c r="BC62" s="166">
        <f>BC61-BC60</f>
        <v>0</v>
      </c>
      <c r="BD62" s="166">
        <f>BC62/5.5</f>
        <v>0</v>
      </c>
      <c r="BE62" s="61" t="s">
        <v>563</v>
      </c>
    </row>
    <row r="63" spans="1:69" x14ac:dyDescent="0.25">
      <c r="A63" s="61" t="str">
        <f t="shared" si="31"/>
        <v>BUSELC</v>
      </c>
      <c r="B63" s="61" t="str">
        <f t="shared" si="41"/>
        <v>TPPUBUSELC-N</v>
      </c>
      <c r="C63" s="61" t="s">
        <v>501</v>
      </c>
      <c r="D63" s="61" t="s">
        <v>565</v>
      </c>
      <c r="E63" t="s">
        <v>564</v>
      </c>
      <c r="F63" s="793">
        <f t="shared" si="39"/>
        <v>0.06</v>
      </c>
      <c r="G63" s="211">
        <f t="shared" si="39"/>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799"/>
      <c r="T63" s="800"/>
      <c r="U63" s="800"/>
      <c r="V63" s="800"/>
      <c r="W63" s="800"/>
      <c r="X63" s="801"/>
      <c r="Y63" s="211"/>
      <c r="Z63" s="796">
        <f>(AA63/AB63)*AA63</f>
        <v>0.20645474022958332</v>
      </c>
      <c r="AA63" s="796">
        <f>1/SUMIFS('Vehicle eff data 2023'!Q$20:Q$117,'Vehicle eff data 2023'!$A$20:$A$117,Analytica!$C63,'Vehicle eff data 2023'!$D$20:$D$117,RIGHT(Analytica!$D63,3))</f>
        <v>0.20958278956163948</v>
      </c>
      <c r="AB63" s="796">
        <f>1/SUMIFS('Vehicle eff data 2023'!R$20:R$117,'Vehicle eff data 2023'!$A$20:$A$117,Analytica!$C63,'Vehicle eff data 2023'!$D$20:$D$117,RIGHT(Analytica!$D63,3))</f>
        <v>0.21275823278067008</v>
      </c>
      <c r="AC63" s="796">
        <f>1/SUMIFS('Vehicle eff data 2023'!S$20:S$117,'Vehicle eff data 2023'!$A$20:$A$117,Analytica!$C63,'Vehicle eff data 2023'!$D$20:$D$117,RIGHT(Analytica!$D63,3))</f>
        <v>0.22939355926993843</v>
      </c>
      <c r="AD63" s="796">
        <f>1/SUMIFS('Vehicle eff data 2023'!T$20:T$117,'Vehicle eff data 2023'!$A$20:$A$117,Analytica!$C63,'Vehicle eff data 2023'!$D$20:$D$117,RIGHT(Analytica!$D63,3))</f>
        <v>0.25364673361942214</v>
      </c>
      <c r="AE63" s="796">
        <f>1/SUMIFS('Vehicle eff data 2023'!U$20:U$117,'Vehicle eff data 2023'!$A$20:$A$117,Analytica!$C63,'Vehicle eff data 2023'!$D$20:$D$117,RIGHT(Analytica!$D63,3))</f>
        <v>0.28046413195103725</v>
      </c>
      <c r="AF63" s="796"/>
      <c r="AG63" s="211">
        <f>AG62</f>
        <v>1</v>
      </c>
      <c r="AH63" s="211"/>
      <c r="AI63" s="211"/>
      <c r="AJ63" s="211"/>
      <c r="AK63" s="890"/>
      <c r="AL63" s="890"/>
      <c r="AM63" s="890"/>
      <c r="AN63" s="890"/>
      <c r="AO63" s="890"/>
      <c r="AP63" s="890"/>
      <c r="AQ63" s="890"/>
      <c r="AR63" s="893"/>
      <c r="AS63" s="891"/>
      <c r="AT63" s="892"/>
      <c r="AU63" s="893"/>
      <c r="AV63" s="893"/>
      <c r="AW63" s="893"/>
      <c r="AX63" s="893"/>
      <c r="AY63" s="894"/>
      <c r="BA63" s="74">
        <v>0</v>
      </c>
      <c r="BC63" s="61">
        <f>BC62-BC61</f>
        <v>0</v>
      </c>
      <c r="BD63" s="61">
        <f>BC63/5.5</f>
        <v>0</v>
      </c>
      <c r="BE63" s="61" t="s">
        <v>563</v>
      </c>
    </row>
    <row r="64" spans="1:69" x14ac:dyDescent="0.25">
      <c r="A64" s="61" t="str">
        <f t="shared" si="31"/>
        <v>CARODSH</v>
      </c>
      <c r="B64" s="61" t="str">
        <f t="shared" si="41"/>
        <v>TPPRCARODSH-N</v>
      </c>
      <c r="C64" s="61" t="s">
        <v>521</v>
      </c>
      <c r="D64" s="61" t="s">
        <v>554</v>
      </c>
      <c r="E64" s="61" t="s">
        <v>562</v>
      </c>
      <c r="F64" s="793">
        <f>INDEX($F$17:$F$49,MATCH($E64,$E$17:$E$49,0))</f>
        <v>2.2499999999999999E-2</v>
      </c>
      <c r="G64" s="794">
        <f>G65</f>
        <v>18220.3496192737</v>
      </c>
      <c r="H64" s="794">
        <f t="shared" si="32"/>
        <v>18220.3496192737</v>
      </c>
      <c r="I64" s="794">
        <f t="shared" si="32"/>
        <v>16281.656083172633</v>
      </c>
      <c r="J64" s="794">
        <f t="shared" si="32"/>
        <v>13001.166450675621</v>
      </c>
      <c r="K64" s="794">
        <f t="shared" si="32"/>
        <v>6619.6273737489537</v>
      </c>
      <c r="L64" s="794">
        <f t="shared" si="32"/>
        <v>2149.0783598804705</v>
      </c>
      <c r="M64" s="794">
        <f t="shared" si="33"/>
        <v>1</v>
      </c>
      <c r="N64" s="794">
        <f t="shared" si="34"/>
        <v>0.89359734710851568</v>
      </c>
      <c r="O64" s="794">
        <f t="shared" si="35"/>
        <v>0.71355197470650256</v>
      </c>
      <c r="P64" s="794">
        <f t="shared" si="36"/>
        <v>0.36330956935901132</v>
      </c>
      <c r="Q64" s="794">
        <f t="shared" si="37"/>
        <v>0.11794934810730252</v>
      </c>
      <c r="R64" s="794">
        <f t="shared" si="38"/>
        <v>5.4883688891578029E-5</v>
      </c>
      <c r="S64" s="211">
        <f>S65/1.3</f>
        <v>7.3486308598534613</v>
      </c>
      <c r="T64" s="794">
        <f>W20</f>
        <v>5.8008636405175897</v>
      </c>
      <c r="U64" s="794">
        <f>S64/((1+T$57)^(U$58-S$58))</f>
        <v>5.9659806540646843</v>
      </c>
      <c r="V64" s="794">
        <f t="shared" ref="V64:X67" si="42">U64/((1+V$57)^(V$58-U$58))</f>
        <v>5.1406900346960249</v>
      </c>
      <c r="W64" s="794">
        <f t="shared" si="42"/>
        <v>4.4295641513383455</v>
      </c>
      <c r="X64" s="794">
        <f t="shared" si="42"/>
        <v>3.8168102800195403</v>
      </c>
      <c r="Y64" s="211"/>
      <c r="Z64" s="796">
        <f>(1/S64*100)/DieselLHV</f>
        <v>0.37172551382591296</v>
      </c>
      <c r="AA64" s="796">
        <f>1/SUMIFS('Vehicle eff data 2023'!Q$20:Q$117,'Vehicle eff data 2023'!$A$20:$A$117,Analytica!$C64,'Vehicle eff data 2023'!$D$20:$D$117,RIGHT(Analytica!$D64,3))</f>
        <v>0.55933604555516125</v>
      </c>
      <c r="AB64" s="796">
        <f>1/SUMIFS('Vehicle eff data 2023'!R$20:R$117,'Vehicle eff data 2023'!$A$20:$A$117,Analytica!$C64,'Vehicle eff data 2023'!$D$20:$D$117,RIGHT(Analytica!$D64,3))</f>
        <v>0.56781069109610705</v>
      </c>
      <c r="AC64" s="796">
        <f>1/SUMIFS('Vehicle eff data 2023'!S$20:S$117,'Vehicle eff data 2023'!$A$20:$A$117,Analytica!$C64,'Vehicle eff data 2023'!$D$20:$D$117,RIGHT(Analytica!$D64,3))</f>
        <v>0.61220716923483232</v>
      </c>
      <c r="AD64" s="796">
        <f>1/SUMIFS('Vehicle eff data 2023'!T$20:T$117,'Vehicle eff data 2023'!$A$20:$A$117,Analytica!$C64,'Vehicle eff data 2023'!$D$20:$D$117,RIGHT(Analytica!$D64,3))</f>
        <v>0.67693421414712618</v>
      </c>
      <c r="AE64" s="796">
        <f>1/SUMIFS('Vehicle eff data 2023'!U$20:U$117,'Vehicle eff data 2023'!$A$20:$A$117,Analytica!$C64,'Vehicle eff data 2023'!$D$20:$D$117,RIGHT(Analytica!$D64,3))</f>
        <v>0.74850467833579759</v>
      </c>
      <c r="AF64" s="796"/>
      <c r="AG64" s="211">
        <v>1</v>
      </c>
      <c r="AH64" s="795">
        <f>AH66/AH67*AH65</f>
        <v>264.85293551850634</v>
      </c>
      <c r="AI64" s="795"/>
      <c r="AJ64" s="797"/>
      <c r="AK64" s="890"/>
      <c r="AL64" s="890"/>
      <c r="AM64" s="890"/>
      <c r="AN64" s="890"/>
      <c r="AO64" s="890"/>
      <c r="AP64" s="890"/>
      <c r="AQ64" s="890"/>
      <c r="AR64" s="893"/>
      <c r="AS64" s="891"/>
      <c r="AT64" s="892"/>
      <c r="AU64" s="893"/>
      <c r="AV64" s="893"/>
      <c r="AW64" s="893"/>
      <c r="AX64" s="893"/>
      <c r="AY64" s="894"/>
      <c r="BA64" s="164">
        <f t="shared" ref="BA64:BA117" si="43">SUMIF($E$17:$E$41,E64,$AR$17:$AR$41)/SUMIF($D$17:$D$41,D64,$AR$17:$AR$41)</f>
        <v>0</v>
      </c>
      <c r="BC64" s="166"/>
    </row>
    <row r="65" spans="1:57" x14ac:dyDescent="0.25">
      <c r="A65" s="61" t="str">
        <f t="shared" si="31"/>
        <v>CARODS</v>
      </c>
      <c r="B65" s="61" t="str">
        <f t="shared" si="41"/>
        <v>TPPRCARODS-N</v>
      </c>
      <c r="C65" s="61" t="s">
        <v>511</v>
      </c>
      <c r="D65" s="61" t="s">
        <v>554</v>
      </c>
      <c r="E65" s="61" t="s">
        <v>561</v>
      </c>
      <c r="F65" s="793">
        <f>INDEX($F$17:$F$49,MATCH($E65,$E$17:$E$49,0))</f>
        <v>2.2499999999999999E-2</v>
      </c>
      <c r="G65" s="794">
        <f>G18</f>
        <v>18220.3496192737</v>
      </c>
      <c r="H65" s="794">
        <f t="shared" si="32"/>
        <v>18220.3496192737</v>
      </c>
      <c r="I65" s="794">
        <f t="shared" si="32"/>
        <v>16281.656083172633</v>
      </c>
      <c r="J65" s="794">
        <f t="shared" si="32"/>
        <v>13001.166450675621</v>
      </c>
      <c r="K65" s="794">
        <f t="shared" si="32"/>
        <v>6619.6273737489537</v>
      </c>
      <c r="L65" s="794">
        <f t="shared" si="32"/>
        <v>2149.0783598804705</v>
      </c>
      <c r="M65" s="794">
        <f t="shared" si="33"/>
        <v>1</v>
      </c>
      <c r="N65" s="794">
        <f t="shared" si="34"/>
        <v>0.89359734710851568</v>
      </c>
      <c r="O65" s="794">
        <f t="shared" si="35"/>
        <v>0.71355197470650256</v>
      </c>
      <c r="P65" s="794">
        <f t="shared" si="36"/>
        <v>0.36330956935901132</v>
      </c>
      <c r="Q65" s="794">
        <f t="shared" si="37"/>
        <v>0.11794934810730252</v>
      </c>
      <c r="R65" s="794">
        <f t="shared" si="38"/>
        <v>5.4883688891578029E-5</v>
      </c>
      <c r="S65" s="211">
        <f>S67/$AD$55</f>
        <v>9.5532201178095004</v>
      </c>
      <c r="T65" s="795">
        <f>W18</f>
        <v>7.9055959462827703</v>
      </c>
      <c r="U65" s="794">
        <f>S65/((1+T$57)^(U$58-S$58))</f>
        <v>7.7557748502840909</v>
      </c>
      <c r="V65" s="794">
        <f t="shared" si="42"/>
        <v>6.6828970451048333</v>
      </c>
      <c r="W65" s="794">
        <f t="shared" si="42"/>
        <v>5.7584333967398491</v>
      </c>
      <c r="X65" s="794">
        <f t="shared" si="42"/>
        <v>4.9618533640254023</v>
      </c>
      <c r="Y65" s="794"/>
      <c r="Z65" s="796">
        <f>(1/S65*100)/DieselLHV</f>
        <v>0.28594270294300994</v>
      </c>
      <c r="AA65" s="796">
        <f>1/SUMIFS('Vehicle eff data 2023'!Q$20:Q$117,'Vehicle eff data 2023'!$A$20:$A$117,Analytica!$C65,'Vehicle eff data 2023'!$D$20:$D$117,RIGHT(Analytica!$D65,3))</f>
        <v>0.332001778720379</v>
      </c>
      <c r="AB65" s="796">
        <f>1/SUMIFS('Vehicle eff data 2023'!R$20:R$117,'Vehicle eff data 2023'!$A$20:$A$117,Analytica!$C65,'Vehicle eff data 2023'!$D$20:$D$117,RIGHT(Analytica!$D65,3))</f>
        <v>0.33703202380466663</v>
      </c>
      <c r="AC65" s="796">
        <f>1/SUMIFS('Vehicle eff data 2023'!S$20:S$117,'Vehicle eff data 2023'!$A$20:$A$117,Analytica!$C65,'Vehicle eff data 2023'!$D$20:$D$117,RIGHT(Analytica!$D65,3))</f>
        <v>0.36338417798480266</v>
      </c>
      <c r="AD65" s="796">
        <f>1/SUMIFS('Vehicle eff data 2023'!T$20:T$117,'Vehicle eff data 2023'!$A$20:$A$117,Analytica!$C65,'Vehicle eff data 2023'!$D$20:$D$117,RIGHT(Analytica!$D65,3))</f>
        <v>0.40180382608895143</v>
      </c>
      <c r="AE65" s="796">
        <f>1/SUMIFS('Vehicle eff data 2023'!U$20:U$117,'Vehicle eff data 2023'!$A$20:$A$117,Analytica!$C65,'Vehicle eff data 2023'!$D$20:$D$117,RIGHT(Analytica!$D65,3))</f>
        <v>0.4442854819795492</v>
      </c>
      <c r="AF65" s="796"/>
      <c r="AG65" s="211"/>
      <c r="AH65" s="797">
        <v>115.675</v>
      </c>
      <c r="AI65" s="797">
        <v>369.64159214636322</v>
      </c>
      <c r="AJ65" s="797"/>
      <c r="AK65" s="890"/>
      <c r="AL65" s="890"/>
      <c r="AM65" s="890"/>
      <c r="AN65" s="890"/>
      <c r="AO65" s="890"/>
      <c r="AP65" s="890"/>
      <c r="AQ65" s="890"/>
      <c r="AR65" s="893"/>
      <c r="AS65" s="891"/>
      <c r="AT65" s="892"/>
      <c r="AU65" s="893"/>
      <c r="AV65" s="893"/>
      <c r="AW65" s="893"/>
      <c r="AX65" s="893"/>
      <c r="AY65" s="894"/>
      <c r="BA65" s="164">
        <f t="shared" si="43"/>
        <v>5.950319541892235E-2</v>
      </c>
      <c r="BC65" s="166"/>
    </row>
    <row r="66" spans="1:57" x14ac:dyDescent="0.25">
      <c r="A66" s="61" t="str">
        <f t="shared" si="31"/>
        <v>CAROGSH</v>
      </c>
      <c r="B66" s="61" t="str">
        <f t="shared" si="41"/>
        <v>TPPRCAROGSH-N</v>
      </c>
      <c r="C66" s="61" t="s">
        <v>519</v>
      </c>
      <c r="D66" s="61" t="s">
        <v>554</v>
      </c>
      <c r="E66" s="61" t="s">
        <v>560</v>
      </c>
      <c r="F66" s="793">
        <f>INDEX($F$17:$F$49,MATCH($E66,$E$17:$E$49,0))</f>
        <v>0.02</v>
      </c>
      <c r="G66" s="794">
        <f>G21</f>
        <v>18345.381909407301</v>
      </c>
      <c r="H66" s="794">
        <f t="shared" si="32"/>
        <v>18345.381909407301</v>
      </c>
      <c r="I66" s="794">
        <f t="shared" si="32"/>
        <v>16599.587999791704</v>
      </c>
      <c r="J66" s="794">
        <f t="shared" si="32"/>
        <v>13590.593183853691</v>
      </c>
      <c r="K66" s="794">
        <f t="shared" si="32"/>
        <v>7458.6756807190668</v>
      </c>
      <c r="L66" s="794">
        <f t="shared" si="32"/>
        <v>2743.8934413019574</v>
      </c>
      <c r="M66" s="794">
        <f t="shared" si="33"/>
        <v>1</v>
      </c>
      <c r="N66" s="794">
        <f t="shared" si="34"/>
        <v>0.90483741803595952</v>
      </c>
      <c r="O66" s="794">
        <f t="shared" si="35"/>
        <v>0.74081822068171777</v>
      </c>
      <c r="P66" s="794">
        <f t="shared" si="36"/>
        <v>0.406569659740599</v>
      </c>
      <c r="Q66" s="794">
        <f t="shared" si="37"/>
        <v>0.14956861922263501</v>
      </c>
      <c r="R66" s="794">
        <f t="shared" si="38"/>
        <v>5.4509631085260292E-5</v>
      </c>
      <c r="S66" s="211">
        <f>S67/1.3</f>
        <v>6.4038461538461533</v>
      </c>
      <c r="T66" s="794">
        <f>W21</f>
        <v>6.0121796481091199</v>
      </c>
      <c r="U66" s="794">
        <f>S66/((1+T$57)^(U$58-S$58))</f>
        <v>5.1989578731152291</v>
      </c>
      <c r="V66" s="794">
        <f t="shared" si="42"/>
        <v>4.4797716383674562</v>
      </c>
      <c r="W66" s="794">
        <f t="shared" si="42"/>
        <v>3.8600724263796415</v>
      </c>
      <c r="X66" s="794">
        <f t="shared" si="42"/>
        <v>3.3260979218856819</v>
      </c>
      <c r="Y66" s="802"/>
      <c r="Z66" s="796">
        <f>AD57/S66</f>
        <v>0.45659694782501747</v>
      </c>
      <c r="AA66" s="796">
        <f>1/SUMIFS('Vehicle eff data 2023'!Q$20:Q$117,'Vehicle eff data 2023'!$A$20:$A$117,Analytica!$C66,'Vehicle eff data 2023'!$D$20:$D$117,RIGHT(Analytica!$D66,3))</f>
        <v>0.46703823969253455</v>
      </c>
      <c r="AB66" s="796">
        <f>1/SUMIFS('Vehicle eff data 2023'!R$20:R$117,'Vehicle eff data 2023'!$A$20:$A$117,Analytica!$C66,'Vehicle eff data 2023'!$D$20:$D$117,RIGHT(Analytica!$D66,3))</f>
        <v>0.47411445723101459</v>
      </c>
      <c r="AC66" s="796">
        <f>1/SUMIFS('Vehicle eff data 2023'!S$20:S$117,'Vehicle eff data 2023'!$A$20:$A$117,Analytica!$C66,'Vehicle eff data 2023'!$D$20:$D$117,RIGHT(Analytica!$D66,3))</f>
        <v>0.51118493241892826</v>
      </c>
      <c r="AD66" s="796">
        <f>1/SUMIFS('Vehicle eff data 2023'!T$20:T$117,'Vehicle eff data 2023'!$A$20:$A$117,Analytica!$C66,'Vehicle eff data 2023'!$D$20:$D$117,RIGHT(Analytica!$D66,3))</f>
        <v>0.56523116340397583</v>
      </c>
      <c r="AE66" s="796">
        <f>1/SUMIFS('Vehicle eff data 2023'!U$20:U$117,'Vehicle eff data 2023'!$A$20:$A$117,Analytica!$C66,'Vehicle eff data 2023'!$D$20:$D$117,RIGHT(Analytica!$D66,3))</f>
        <v>0.62499155945618812</v>
      </c>
      <c r="AF66" s="796"/>
      <c r="AG66" s="211">
        <v>1</v>
      </c>
      <c r="AH66" s="797">
        <v>230.30699999999999</v>
      </c>
      <c r="AI66" s="797">
        <v>574.98525193798446</v>
      </c>
      <c r="AJ66" s="797"/>
      <c r="AK66" s="890"/>
      <c r="AL66" s="890"/>
      <c r="AM66" s="890"/>
      <c r="AN66" s="890"/>
      <c r="AO66" s="890"/>
      <c r="AP66" s="890"/>
      <c r="AQ66" s="890"/>
      <c r="AR66" s="893"/>
      <c r="AS66" s="891"/>
      <c r="AT66" s="892"/>
      <c r="AU66" s="893"/>
      <c r="AV66" s="893"/>
      <c r="AW66" s="893"/>
      <c r="AX66" s="893"/>
      <c r="AY66" s="894"/>
      <c r="BA66" s="164">
        <f t="shared" si="43"/>
        <v>8.8338186721910602E-4</v>
      </c>
      <c r="BC66" s="166"/>
    </row>
    <row r="67" spans="1:57" x14ac:dyDescent="0.25">
      <c r="A67" s="61" t="str">
        <f t="shared" si="31"/>
        <v>CAROGS</v>
      </c>
      <c r="B67" s="61" t="str">
        <f t="shared" si="41"/>
        <v>TPPRCAROGS-N</v>
      </c>
      <c r="C67" s="61" t="s">
        <v>573</v>
      </c>
      <c r="D67" s="61" t="s">
        <v>554</v>
      </c>
      <c r="E67" s="61" t="s">
        <v>559</v>
      </c>
      <c r="F67" s="793">
        <f>INDEX($F$17:$F$49,MATCH($E67,$E$17:$E$49,0))</f>
        <v>1.9099999999999999E-2</v>
      </c>
      <c r="G67" s="803">
        <f>G22</f>
        <v>21358.407707781298</v>
      </c>
      <c r="H67" s="794">
        <f t="shared" si="32"/>
        <v>21358.407707781298</v>
      </c>
      <c r="I67" s="794">
        <f t="shared" si="32"/>
        <v>19413.048941287721</v>
      </c>
      <c r="J67" s="794">
        <f t="shared" si="32"/>
        <v>16037.752365771819</v>
      </c>
      <c r="K67" s="794">
        <f t="shared" si="32"/>
        <v>9042.5884447033513</v>
      </c>
      <c r="L67" s="794">
        <f t="shared" si="32"/>
        <v>3479.6978517162797</v>
      </c>
      <c r="M67" s="794">
        <f t="shared" si="33"/>
        <v>1</v>
      </c>
      <c r="N67" s="794">
        <f t="shared" si="34"/>
        <v>0.90891836165367124</v>
      </c>
      <c r="O67" s="794">
        <f t="shared" si="35"/>
        <v>0.75088707853109027</v>
      </c>
      <c r="P67" s="794">
        <f t="shared" si="36"/>
        <v>0.42337371626298503</v>
      </c>
      <c r="Q67" s="794">
        <f t="shared" si="37"/>
        <v>0.16291934770252353</v>
      </c>
      <c r="R67" s="794">
        <f t="shared" si="38"/>
        <v>4.6819969619536754E-5</v>
      </c>
      <c r="S67" s="211">
        <v>8.3249999999999993</v>
      </c>
      <c r="T67" s="795">
        <f>W19</f>
        <v>8.1935839212683703</v>
      </c>
      <c r="U67" s="794">
        <f>S67/((1+T$57)^(U$58-S$58))</f>
        <v>6.7586452350497979</v>
      </c>
      <c r="V67" s="794">
        <f t="shared" si="42"/>
        <v>5.8237031298776936</v>
      </c>
      <c r="W67" s="794">
        <f t="shared" si="42"/>
        <v>5.0180941542935349</v>
      </c>
      <c r="X67" s="794">
        <f t="shared" si="42"/>
        <v>4.3239272984513875</v>
      </c>
      <c r="Y67" s="804"/>
      <c r="Z67" s="796">
        <v>0.36237354673108862</v>
      </c>
      <c r="AA67" s="796">
        <f>1/SUMIFS('Vehicle eff data 2023'!Q$20:Q$117,'Vehicle eff data 2023'!$A$20:$A$117,Analytica!$C67,'Vehicle eff data 2023'!$D$20:$D$117,RIGHT(Analytica!$D67,3))</f>
        <v>0.35686173917097103</v>
      </c>
      <c r="AB67" s="796">
        <f>1/SUMIFS('Vehicle eff data 2023'!R$20:R$117,'Vehicle eff data 2023'!$A$20:$A$117,Analytica!$C67,'Vehicle eff data 2023'!$D$20:$D$117,RIGHT(Analytica!$D67,3))</f>
        <v>0.36226864396574021</v>
      </c>
      <c r="AC67" s="796">
        <f>1/SUMIFS('Vehicle eff data 2023'!S$20:S$117,'Vehicle eff data 2023'!$A$20:$A$117,Analytica!$C67,'Vehicle eff data 2023'!$D$20:$D$117,RIGHT(Analytica!$D67,3))</f>
        <v>0.39059402104013624</v>
      </c>
      <c r="AD67" s="796">
        <f>1/SUMIFS('Vehicle eff data 2023'!T$20:T$117,'Vehicle eff data 2023'!$A$20:$A$117,Analytica!$C67,'Vehicle eff data 2023'!$D$20:$D$117,RIGHT(Analytica!$D67,3))</f>
        <v>0.43189049388924888</v>
      </c>
      <c r="AE67" s="796">
        <f>1/SUMIFS('Vehicle eff data 2023'!U$20:U$117,'Vehicle eff data 2023'!$A$20:$A$117,Analytica!$C67,'Vehicle eff data 2023'!$D$20:$D$117,RIGHT(Analytica!$D67,3))</f>
        <v>0.47755313359682011</v>
      </c>
      <c r="AF67" s="796"/>
      <c r="AG67" s="211"/>
      <c r="AH67" s="797">
        <v>100.587</v>
      </c>
      <c r="AI67" s="797">
        <v>307.29171966885525</v>
      </c>
      <c r="AJ67" s="797"/>
      <c r="AK67" s="890"/>
      <c r="AL67" s="890"/>
      <c r="AM67" s="890"/>
      <c r="AN67" s="890"/>
      <c r="AO67" s="890"/>
      <c r="AP67" s="890"/>
      <c r="AQ67" s="890"/>
      <c r="AR67" s="893"/>
      <c r="AS67" s="891"/>
      <c r="AT67" s="892"/>
      <c r="AU67" s="893"/>
      <c r="AV67" s="893"/>
      <c r="AW67" s="893"/>
      <c r="AX67" s="893"/>
      <c r="AY67" s="894"/>
      <c r="BA67" s="164">
        <f t="shared" si="43"/>
        <v>0.93935153516915204</v>
      </c>
      <c r="BB67" s="61" t="s">
        <v>129</v>
      </c>
      <c r="BC67" s="166">
        <f>AJ67*1000</f>
        <v>0</v>
      </c>
    </row>
    <row r="68" spans="1:57" x14ac:dyDescent="0.25">
      <c r="A68" s="61" t="str">
        <f t="shared" si="31"/>
        <v>CARBGS</v>
      </c>
      <c r="B68" s="61" t="str">
        <f t="shared" si="41"/>
        <v>TPPRCARBGS-N</v>
      </c>
      <c r="C68" s="61" t="s">
        <v>506</v>
      </c>
      <c r="D68" s="61" t="s">
        <v>554</v>
      </c>
      <c r="E68" s="61" t="s">
        <v>558</v>
      </c>
      <c r="F68" s="793">
        <f>F67</f>
        <v>1.9099999999999999E-2</v>
      </c>
      <c r="G68" s="794">
        <f>G67</f>
        <v>21358.407707781298</v>
      </c>
      <c r="H68" s="794">
        <f t="shared" si="32"/>
        <v>21358.407707781298</v>
      </c>
      <c r="I68" s="794">
        <f t="shared" si="32"/>
        <v>19413.048941287721</v>
      </c>
      <c r="J68" s="794">
        <f t="shared" si="32"/>
        <v>16037.752365771819</v>
      </c>
      <c r="K68" s="794">
        <f t="shared" si="32"/>
        <v>9042.5884447033513</v>
      </c>
      <c r="L68" s="794">
        <f t="shared" si="32"/>
        <v>3479.6978517162797</v>
      </c>
      <c r="M68" s="794">
        <f t="shared" si="33"/>
        <v>1</v>
      </c>
      <c r="N68" s="794">
        <f t="shared" si="34"/>
        <v>0.90891836165367124</v>
      </c>
      <c r="O68" s="794">
        <f t="shared" si="35"/>
        <v>0.75088707853109027</v>
      </c>
      <c r="P68" s="794">
        <f t="shared" si="36"/>
        <v>0.42337371626298503</v>
      </c>
      <c r="Q68" s="794">
        <f t="shared" si="37"/>
        <v>0.16291934770252353</v>
      </c>
      <c r="R68" s="794">
        <f t="shared" si="38"/>
        <v>4.6819969619536754E-5</v>
      </c>
      <c r="S68" s="794">
        <v>14.625253296955835</v>
      </c>
      <c r="T68" s="794">
        <f>S68</f>
        <v>14.625253296955835</v>
      </c>
      <c r="U68" s="794">
        <f>S68/((1+T$57)^(U$58-S$58))</f>
        <v>11.873501322146176</v>
      </c>
      <c r="V68" s="794">
        <f>T68/((1+U$57)^(V$58-T$58))</f>
        <v>11.187025704014699</v>
      </c>
      <c r="W68" s="794">
        <f>U68/((1+V$57)^(W$58-U$58))</f>
        <v>8.8157234924343939</v>
      </c>
      <c r="X68" s="794">
        <f>V68/((1+W$57)^(X$58-V$58))</f>
        <v>8.3060356531398938</v>
      </c>
      <c r="Y68" s="211"/>
      <c r="Z68" s="794">
        <v>0.2972787518815912</v>
      </c>
      <c r="AA68" s="796">
        <f>1/SUMIFS('Vehicle eff data 2023'!Q$20:Q$117,'Vehicle eff data 2023'!$A$20:$A$117,Analytica!$C68,'Vehicle eff data 2023'!$D$20:$D$117,RIGHT(Analytica!$D68,3))</f>
        <v>0.35686173917097103</v>
      </c>
      <c r="AB68" s="796">
        <f>1/SUMIFS('Vehicle eff data 2023'!R$20:R$117,'Vehicle eff data 2023'!$A$20:$A$117,Analytica!$C68,'Vehicle eff data 2023'!$D$20:$D$117,RIGHT(Analytica!$D68,3))</f>
        <v>0.36226864396574021</v>
      </c>
      <c r="AC68" s="796">
        <f>1/SUMIFS('Vehicle eff data 2023'!S$20:S$117,'Vehicle eff data 2023'!$A$20:$A$117,Analytica!$C68,'Vehicle eff data 2023'!$D$20:$D$117,RIGHT(Analytica!$D68,3))</f>
        <v>0.39059402104013624</v>
      </c>
      <c r="AD68" s="796">
        <f>1/SUMIFS('Vehicle eff data 2023'!T$20:T$117,'Vehicle eff data 2023'!$A$20:$A$117,Analytica!$C68,'Vehicle eff data 2023'!$D$20:$D$117,RIGHT(Analytica!$D68,3))</f>
        <v>0.43189049388924888</v>
      </c>
      <c r="AE68" s="796">
        <f>1/SUMIFS('Vehicle eff data 2023'!U$20:U$117,'Vehicle eff data 2023'!$A$20:$A$117,Analytica!$C68,'Vehicle eff data 2023'!$D$20:$D$117,RIGHT(Analytica!$D68,3))</f>
        <v>0.47755313359682011</v>
      </c>
      <c r="AF68" s="796"/>
      <c r="AG68" s="211"/>
      <c r="AH68" s="797">
        <v>100.587</v>
      </c>
      <c r="AI68" s="797">
        <v>307.29171966885525</v>
      </c>
      <c r="AJ68" s="797"/>
      <c r="AK68" s="890"/>
      <c r="AL68" s="890"/>
      <c r="AM68" s="890"/>
      <c r="AN68" s="890"/>
      <c r="AO68" s="890"/>
      <c r="AP68" s="890"/>
      <c r="AQ68" s="890"/>
      <c r="AR68" s="893"/>
      <c r="AS68" s="891"/>
      <c r="AT68" s="892"/>
      <c r="AU68" s="893"/>
      <c r="AV68" s="893"/>
      <c r="AW68" s="893"/>
      <c r="AX68" s="893"/>
      <c r="AY68" s="894"/>
      <c r="BA68" s="164">
        <f t="shared" si="43"/>
        <v>0</v>
      </c>
      <c r="BB68" s="61" t="s">
        <v>557</v>
      </c>
      <c r="BC68" s="166">
        <f>AJ68*1000</f>
        <v>0</v>
      </c>
      <c r="BD68" s="166"/>
    </row>
    <row r="69" spans="1:57" x14ac:dyDescent="0.25">
      <c r="A69" s="61" t="str">
        <f t="shared" si="31"/>
        <v>CARELC</v>
      </c>
      <c r="B69" s="61" t="str">
        <f t="shared" si="41"/>
        <v>TPPRCARELC-N</v>
      </c>
      <c r="C69" s="61" t="s">
        <v>501</v>
      </c>
      <c r="D69" s="61" t="s">
        <v>554</v>
      </c>
      <c r="E69" s="61" t="s">
        <v>324</v>
      </c>
      <c r="F69" s="793">
        <f>F67</f>
        <v>1.9099999999999999E-2</v>
      </c>
      <c r="G69" s="794">
        <f>G68</f>
        <v>21358.407707781298</v>
      </c>
      <c r="H69" s="794">
        <v>20416.763999999999</v>
      </c>
      <c r="I69" s="794">
        <v>18473.85202240953</v>
      </c>
      <c r="J69" s="794">
        <v>15125.110778558552</v>
      </c>
      <c r="K69" s="794">
        <v>8300.8367924841114</v>
      </c>
      <c r="L69" s="794">
        <v>3053.7072004744027</v>
      </c>
      <c r="M69" s="794">
        <f t="shared" si="33"/>
        <v>0.95591227020925162</v>
      </c>
      <c r="N69" s="794">
        <f t="shared" si="34"/>
        <v>0.86494519044503182</v>
      </c>
      <c r="O69" s="794">
        <f t="shared" si="35"/>
        <v>0.70815722714423923</v>
      </c>
      <c r="P69" s="794">
        <f t="shared" si="36"/>
        <v>0.38864492644083898</v>
      </c>
      <c r="Q69" s="794">
        <f t="shared" si="37"/>
        <v>0.14297447835317217</v>
      </c>
      <c r="R69" s="794">
        <f t="shared" si="38"/>
        <v>4.4755783450139569E-5</v>
      </c>
      <c r="S69" s="805">
        <v>20</v>
      </c>
      <c r="T69" s="794">
        <f t="shared" ref="T69:X71" si="44">S69/((1+T$57)^(T$58-S$58))</f>
        <v>18.29084385035744</v>
      </c>
      <c r="U69" s="794">
        <f t="shared" si="44"/>
        <v>16.236985549669182</v>
      </c>
      <c r="V69" s="794">
        <f t="shared" si="44"/>
        <v>13.990878390096558</v>
      </c>
      <c r="W69" s="794">
        <f t="shared" si="44"/>
        <v>12.055481451756236</v>
      </c>
      <c r="X69" s="794">
        <f t="shared" si="44"/>
        <v>10.387813329612939</v>
      </c>
      <c r="Y69" s="794"/>
      <c r="Z69" s="796">
        <f>(AA69/AB69)*AA69</f>
        <v>1.7318475298874823</v>
      </c>
      <c r="AA69" s="796">
        <f>1/SUMIFS('Vehicle eff data 2023'!Q$20:Q$117,'Vehicle eff data 2023'!$A$20:$A$117,Analytica!$C69,'Vehicle eff data 2023'!$D$20:$D$117,RIGHT(Analytica!$D69,3))</f>
        <v>1.7580872011251758</v>
      </c>
      <c r="AB69" s="796">
        <f>1/SUMIFS('Vehicle eff data 2023'!R$20:R$117,'Vehicle eff data 2023'!$A$20:$A$117,Analytica!$C69,'Vehicle eff data 2023'!$D$20:$D$117,RIGHT(Analytica!$D69,3))</f>
        <v>1.7847244364294399</v>
      </c>
      <c r="AC69" s="796">
        <f>1/SUMIFS('Vehicle eff data 2023'!S$20:S$117,'Vehicle eff data 2023'!$A$20:$A$117,Analytica!$C69,'Vehicle eff data 2023'!$D$20:$D$117,RIGHT(Analytica!$D69,3))</f>
        <v>1.9242700291209607</v>
      </c>
      <c r="AD69" s="796">
        <f>1/SUMIFS('Vehicle eff data 2023'!T$20:T$117,'Vehicle eff data 2023'!$A$20:$A$117,Analytica!$C69,'Vehicle eff data 2023'!$D$20:$D$117,RIGHT(Analytica!$D69,3))</f>
        <v>2.1277180102250783</v>
      </c>
      <c r="AE69" s="796">
        <f>1/SUMIFS('Vehicle eff data 2023'!U$20:U$117,'Vehicle eff data 2023'!$A$20:$A$117,Analytica!$C69,'Vehicle eff data 2023'!$D$20:$D$117,RIGHT(Analytica!$D69,3))</f>
        <v>2.3526760083169105</v>
      </c>
      <c r="AF69" s="796"/>
      <c r="AG69" s="211">
        <v>1</v>
      </c>
      <c r="AH69" s="797">
        <f>176.03*1.5</f>
        <v>264.04500000000002</v>
      </c>
      <c r="AI69" s="797">
        <v>464.3</v>
      </c>
      <c r="AJ69" s="797"/>
      <c r="AK69" s="890"/>
      <c r="AL69" s="890"/>
      <c r="AM69" s="890"/>
      <c r="AN69" s="890"/>
      <c r="AO69" s="890"/>
      <c r="AP69" s="890"/>
      <c r="AQ69" s="890"/>
      <c r="AR69" s="893"/>
      <c r="AS69" s="891"/>
      <c r="AT69" s="892"/>
      <c r="AU69" s="893"/>
      <c r="AV69" s="893"/>
      <c r="AW69" s="893"/>
      <c r="AX69" s="893"/>
      <c r="AY69" s="894"/>
      <c r="BA69" s="164">
        <f t="shared" si="43"/>
        <v>2.6188754470654916E-4</v>
      </c>
      <c r="BC69" s="166"/>
      <c r="BD69" s="168">
        <f>(BC70-BC67)/5.55</f>
        <v>0</v>
      </c>
    </row>
    <row r="70" spans="1:57" x14ac:dyDescent="0.25">
      <c r="A70" s="61" t="str">
        <f t="shared" si="31"/>
        <v>CARGAS</v>
      </c>
      <c r="B70" s="61" t="str">
        <f t="shared" si="41"/>
        <v>TPPRCARGAS-N</v>
      </c>
      <c r="C70" s="61" t="s">
        <v>509</v>
      </c>
      <c r="D70" s="61" t="s">
        <v>554</v>
      </c>
      <c r="E70" s="61" t="s">
        <v>556</v>
      </c>
      <c r="F70" s="793">
        <f>F69</f>
        <v>1.9099999999999999E-2</v>
      </c>
      <c r="G70" s="794">
        <f>G69</f>
        <v>21358.407707781298</v>
      </c>
      <c r="H70" s="794">
        <v>20416.763999999999</v>
      </c>
      <c r="I70" s="794">
        <v>18473.85202240953</v>
      </c>
      <c r="J70" s="794">
        <v>15125.110778558552</v>
      </c>
      <c r="K70" s="794">
        <v>8300.8367924841114</v>
      </c>
      <c r="L70" s="794">
        <v>3053.7072004744027</v>
      </c>
      <c r="M70" s="794">
        <f t="shared" si="33"/>
        <v>0.95591227020925162</v>
      </c>
      <c r="N70" s="794">
        <f t="shared" si="34"/>
        <v>0.86494519044503182</v>
      </c>
      <c r="O70" s="794">
        <f t="shared" si="35"/>
        <v>0.70815722714423923</v>
      </c>
      <c r="P70" s="794">
        <f t="shared" si="36"/>
        <v>0.38864492644083898</v>
      </c>
      <c r="Q70" s="794">
        <f t="shared" si="37"/>
        <v>0.14297447835317217</v>
      </c>
      <c r="R70" s="794">
        <f t="shared" si="38"/>
        <v>4.4755783450139569E-5</v>
      </c>
      <c r="S70" s="211">
        <v>8.5</v>
      </c>
      <c r="T70" s="794">
        <f t="shared" si="44"/>
        <v>7.7736086364019128</v>
      </c>
      <c r="U70" s="794">
        <f t="shared" si="44"/>
        <v>6.9007188586094035</v>
      </c>
      <c r="V70" s="794">
        <f t="shared" si="44"/>
        <v>5.9461233157910387</v>
      </c>
      <c r="W70" s="794">
        <f t="shared" si="44"/>
        <v>5.1235796169964019</v>
      </c>
      <c r="X70" s="794">
        <f t="shared" si="44"/>
        <v>4.4148206650855002</v>
      </c>
      <c r="Y70" s="794"/>
      <c r="Z70" s="796">
        <f>Z67/S67*S70</f>
        <v>0.36999100867438478</v>
      </c>
      <c r="AA70" s="796">
        <f>1/SUMIFS('Vehicle eff data 2023'!Q$20:Q$117,'Vehicle eff data 2023'!$A$20:$A$117,Analytica!$C70,'Vehicle eff data 2023'!$D$20:$D$117,RIGHT(Analytica!$D70,3))</f>
        <v>0.35686173917097103</v>
      </c>
      <c r="AB70" s="796">
        <f>1/SUMIFS('Vehicle eff data 2023'!R$20:R$117,'Vehicle eff data 2023'!$A$20:$A$117,Analytica!$C70,'Vehicle eff data 2023'!$D$20:$D$117,RIGHT(Analytica!$D70,3))</f>
        <v>0.36226864396574021</v>
      </c>
      <c r="AC70" s="796">
        <f>1/SUMIFS('Vehicle eff data 2023'!S$20:S$117,'Vehicle eff data 2023'!$A$20:$A$117,Analytica!$C70,'Vehicle eff data 2023'!$D$20:$D$117,RIGHT(Analytica!$D70,3))</f>
        <v>0.39059402104013624</v>
      </c>
      <c r="AD70" s="796">
        <f>1/SUMIFS('Vehicle eff data 2023'!T$20:T$117,'Vehicle eff data 2023'!$A$20:$A$117,Analytica!$C70,'Vehicle eff data 2023'!$D$20:$D$117,RIGHT(Analytica!$D70,3))</f>
        <v>0.43189049388924888</v>
      </c>
      <c r="AE70" s="796">
        <f>1/SUMIFS('Vehicle eff data 2023'!U$20:U$117,'Vehicle eff data 2023'!$A$20:$A$117,Analytica!$C70,'Vehicle eff data 2023'!$D$20:$D$117,RIGHT(Analytica!$D70,3))</f>
        <v>0.47755313359682011</v>
      </c>
      <c r="AF70" s="796"/>
      <c r="AG70" s="211"/>
      <c r="AH70" s="797">
        <f>AH67*(1+$AR$57)</f>
        <v>110.64570000000002</v>
      </c>
      <c r="AI70" s="797">
        <f>AI67*(1+$AR$57)</f>
        <v>338.02089163574078</v>
      </c>
      <c r="AJ70" s="797"/>
      <c r="AK70" s="890"/>
      <c r="AL70" s="890"/>
      <c r="AM70" s="890"/>
      <c r="AN70" s="890"/>
      <c r="AO70" s="890"/>
      <c r="AP70" s="890"/>
      <c r="AQ70" s="890"/>
      <c r="AR70" s="893"/>
      <c r="AS70" s="891"/>
      <c r="AT70" s="892"/>
      <c r="AU70" s="893"/>
      <c r="AV70" s="893"/>
      <c r="AW70" s="893"/>
      <c r="AX70" s="893"/>
      <c r="AY70" s="894"/>
      <c r="BA70" s="164">
        <f t="shared" si="43"/>
        <v>0</v>
      </c>
      <c r="BB70" s="61" t="s">
        <v>524</v>
      </c>
      <c r="BC70" s="166">
        <f>AJ70*1000</f>
        <v>0</v>
      </c>
      <c r="BE70" s="61" t="s">
        <v>555</v>
      </c>
    </row>
    <row r="71" spans="1:57" x14ac:dyDescent="0.25">
      <c r="A71" s="61" t="str">
        <f t="shared" si="31"/>
        <v>CARHGN</v>
      </c>
      <c r="B71" s="61" t="str">
        <f>D71&amp;C71&amp;"F-N"</f>
        <v>TPPRCARHGNF-N</v>
      </c>
      <c r="C71" s="61" t="s">
        <v>504</v>
      </c>
      <c r="D71" s="61" t="s">
        <v>554</v>
      </c>
      <c r="E71" s="61" t="s">
        <v>553</v>
      </c>
      <c r="F71" s="793">
        <f>F70</f>
        <v>1.9099999999999999E-2</v>
      </c>
      <c r="G71" s="794">
        <f>G70</f>
        <v>21358.407707781298</v>
      </c>
      <c r="H71" s="794">
        <v>20416.763999999999</v>
      </c>
      <c r="I71" s="794">
        <v>18473.85202240953</v>
      </c>
      <c r="J71" s="794">
        <v>15125.110778558552</v>
      </c>
      <c r="K71" s="794">
        <v>8300.8367924841114</v>
      </c>
      <c r="L71" s="794">
        <v>3053.7072004744027</v>
      </c>
      <c r="M71" s="794">
        <f t="shared" si="33"/>
        <v>0.95591227020925162</v>
      </c>
      <c r="N71" s="794">
        <f t="shared" si="34"/>
        <v>0.86494519044503182</v>
      </c>
      <c r="O71" s="794">
        <f t="shared" si="35"/>
        <v>0.70815722714423923</v>
      </c>
      <c r="P71" s="794">
        <f t="shared" si="36"/>
        <v>0.38864492644083898</v>
      </c>
      <c r="Q71" s="794">
        <f t="shared" si="37"/>
        <v>0.14297447835317217</v>
      </c>
      <c r="R71" s="794">
        <f t="shared" si="38"/>
        <v>4.4755783450139569E-5</v>
      </c>
      <c r="S71" s="211">
        <f>S67/FuelCell!B39*(1+T57)^6</f>
        <v>4.7240246984327534</v>
      </c>
      <c r="T71" s="794">
        <f t="shared" si="44"/>
        <v>4.3203199052132701</v>
      </c>
      <c r="U71" s="794">
        <f t="shared" si="44"/>
        <v>3.8351960382366475</v>
      </c>
      <c r="V71" s="794">
        <f t="shared" si="44"/>
        <v>3.3046627533792616</v>
      </c>
      <c r="W71" s="794">
        <f t="shared" si="44"/>
        <v>2.8475196064797208</v>
      </c>
      <c r="X71" s="794">
        <f t="shared" si="44"/>
        <v>2.4536143365900256</v>
      </c>
      <c r="Y71" s="211"/>
      <c r="Z71" s="796">
        <v>0.63859949283016149</v>
      </c>
      <c r="AA71" s="796">
        <f>1/SUMIFS('Vehicle eff data 2023'!Q$20:Q$117,'Vehicle eff data 2023'!$A$20:$A$117,Analytica!$C71,'Vehicle eff data 2023'!$D$20:$D$117,RIGHT(Analytica!$D71,3))</f>
        <v>0.92039549793810016</v>
      </c>
      <c r="AB71" s="796">
        <f>1/SUMIFS('Vehicle eff data 2023'!R$20:R$117,'Vehicle eff data 2023'!$A$20:$A$117,Analytica!$C71,'Vehicle eff data 2023'!$D$20:$D$117,RIGHT(Analytica!$D71,3))</f>
        <v>0.93434064891574875</v>
      </c>
      <c r="AC71" s="796">
        <f>1/SUMIFS('Vehicle eff data 2023'!S$20:S$117,'Vehicle eff data 2023'!$A$20:$A$117,Analytica!$C71,'Vehicle eff data 2023'!$D$20:$D$117,RIGHT(Analytica!$D71,3))</f>
        <v>1.0073956914575406</v>
      </c>
      <c r="AD71" s="796">
        <f>1/SUMIFS('Vehicle eff data 2023'!T$20:T$117,'Vehicle eff data 2023'!$A$20:$A$117,Analytica!$C71,'Vehicle eff data 2023'!$D$20:$D$117,RIGHT(Analytica!$D71,3))</f>
        <v>1.1139049736780038</v>
      </c>
      <c r="AE71" s="796">
        <f>1/SUMIFS('Vehicle eff data 2023'!U$20:U$117,'Vehicle eff data 2023'!$A$20:$A$117,Analytica!$C71,'Vehicle eff data 2023'!$D$20:$D$117,RIGHT(Analytica!$D71,3))</f>
        <v>1.2316752006248683</v>
      </c>
      <c r="AF71" s="796"/>
      <c r="AG71" s="211"/>
      <c r="AH71" s="797"/>
      <c r="AI71" s="797"/>
      <c r="AJ71" s="797"/>
      <c r="AK71" s="890"/>
      <c r="AL71" s="890"/>
      <c r="AM71" s="890"/>
      <c r="AN71" s="890"/>
      <c r="AO71" s="890"/>
      <c r="AP71" s="890"/>
      <c r="AQ71" s="890"/>
      <c r="AR71" s="893"/>
      <c r="AS71" s="891"/>
      <c r="AT71" s="892"/>
      <c r="AU71" s="893"/>
      <c r="AV71" s="893"/>
      <c r="AW71" s="893"/>
      <c r="AX71" s="893"/>
      <c r="AY71" s="894"/>
      <c r="BA71" s="164">
        <f t="shared" si="43"/>
        <v>0</v>
      </c>
      <c r="BC71" s="166"/>
    </row>
    <row r="72" spans="1:57" x14ac:dyDescent="0.25">
      <c r="A72" s="61" t="str">
        <f t="shared" si="31"/>
        <v>CV1ODS</v>
      </c>
      <c r="B72" s="61" t="str">
        <f t="shared" ref="B72:B113" si="45">D72&amp;C72&amp;"-N"</f>
        <v>TFHCV1ODS-N</v>
      </c>
      <c r="C72" s="61" t="s">
        <v>511</v>
      </c>
      <c r="D72" s="61" t="s">
        <v>551</v>
      </c>
      <c r="E72" t="s">
        <v>266</v>
      </c>
      <c r="F72" s="793">
        <f t="shared" ref="F72:F81" si="46">INDEX($F$17:$F$49,MATCH($E72,$E$17:$E$49,0))</f>
        <v>5.5E-2</v>
      </c>
      <c r="G72" s="794">
        <f t="shared" ref="G72:G81" si="47">G23</f>
        <v>30805.1279861556</v>
      </c>
      <c r="H72" s="794">
        <f t="shared" ref="H72:L81" si="48">(EXP(-((H$58)*$F72))*G72)</f>
        <v>30805.1279861556</v>
      </c>
      <c r="I72" s="794">
        <f t="shared" si="48"/>
        <v>23398.716470661107</v>
      </c>
      <c r="J72" s="794">
        <f t="shared" si="48"/>
        <v>13499.885030894695</v>
      </c>
      <c r="K72" s="794">
        <f t="shared" si="48"/>
        <v>2592.6516865740127</v>
      </c>
      <c r="L72" s="794">
        <f t="shared" si="48"/>
        <v>165.74267717663977</v>
      </c>
      <c r="M72" s="794">
        <f t="shared" si="33"/>
        <v>1</v>
      </c>
      <c r="N72" s="794">
        <f t="shared" si="34"/>
        <v>0.75957212322496848</v>
      </c>
      <c r="O72" s="794">
        <f t="shared" si="35"/>
        <v>0.43823499246494918</v>
      </c>
      <c r="P72" s="794">
        <f t="shared" si="36"/>
        <v>8.4162990257310374E-2</v>
      </c>
      <c r="Q72" s="794">
        <f t="shared" si="37"/>
        <v>5.3803599599108187E-3</v>
      </c>
      <c r="R72" s="794">
        <f t="shared" si="38"/>
        <v>3.2462127748646868E-5</v>
      </c>
      <c r="S72" s="211">
        <v>14.46</v>
      </c>
      <c r="T72" s="797">
        <v>13.9</v>
      </c>
      <c r="U72" s="794">
        <f>T72/((1+U$53)^(U$58-T$58))</f>
        <v>13.093458068993115</v>
      </c>
      <c r="V72" s="794">
        <f>U72/((1+V$53)^(V$58-U$58))</f>
        <v>12.150770373951501</v>
      </c>
      <c r="W72" s="794">
        <f>V72/((1+W$53)^(W$58-V$58))</f>
        <v>11.275953220496399</v>
      </c>
      <c r="X72" s="794">
        <f>W72/((1+X$53)^(X$58-W$58))</f>
        <v>10.464120143641077</v>
      </c>
      <c r="Y72" s="211"/>
      <c r="Z72" s="796">
        <f t="shared" ref="Z72:Z81" si="49">SUMIF($AC$56:$AC$57,$C72,$AD$56:$AD$57)/S72</f>
        <v>0.17621385757647159</v>
      </c>
      <c r="AA72" s="796">
        <f>1/SUMIFS('Vehicle eff data 2023'!Q$20:Q$117,'Vehicle eff data 2023'!$A$20:$A$117,Analytica!$C72,'Vehicle eff data 2023'!$D$20:$D$117,RIGHT(Analytica!$D72,3))</f>
        <v>0.170324176066042</v>
      </c>
      <c r="AB72" s="796">
        <f>1/SUMIFS('Vehicle eff data 2023'!R$20:R$117,'Vehicle eff data 2023'!$A$20:$A$117,Analytica!$C72,'Vehicle eff data 2023'!$D$20:$D$117,RIGHT(Analytica!$D72,3))</f>
        <v>0.17083617224509673</v>
      </c>
      <c r="AC72" s="796">
        <f>1/SUMIFS('Vehicle eff data 2023'!S$20:S$117,'Vehicle eff data 2023'!$A$20:$A$117,Analytica!$C72,'Vehicle eff data 2023'!$D$20:$D$117,RIGHT(Analytica!$D72,3))</f>
        <v>0.18052275694934541</v>
      </c>
      <c r="AD72" s="796">
        <f>1/SUMIFS('Vehicle eff data 2023'!T$20:T$117,'Vehicle eff data 2023'!$A$20:$A$117,Analytica!$C72,'Vehicle eff data 2023'!$D$20:$D$117,RIGHT(Analytica!$D72,3))</f>
        <v>0.19960895061701436</v>
      </c>
      <c r="AE72" s="796">
        <f>1/SUMIFS('Vehicle eff data 2023'!U$20:U$117,'Vehicle eff data 2023'!$A$20:$A$117,Analytica!$C72,'Vehicle eff data 2023'!$D$20:$D$117,RIGHT(Analytica!$D72,3))</f>
        <v>0.22071307706432722</v>
      </c>
      <c r="AF72" s="796"/>
      <c r="AG72" s="211"/>
      <c r="AH72" s="797">
        <v>489.02730000000003</v>
      </c>
      <c r="AI72" s="806">
        <v>295.00710125625767</v>
      </c>
      <c r="AJ72" s="797"/>
      <c r="AK72" s="890"/>
      <c r="AL72" s="890"/>
      <c r="AM72" s="890"/>
      <c r="AN72" s="890"/>
      <c r="AO72" s="890"/>
      <c r="AP72" s="890"/>
      <c r="AQ72" s="890"/>
      <c r="AR72" s="893"/>
      <c r="AS72" s="891"/>
      <c r="AT72" s="892"/>
      <c r="AU72" s="893"/>
      <c r="AV72" s="893"/>
      <c r="AW72" s="893"/>
      <c r="AX72" s="893"/>
      <c r="AY72" s="894"/>
      <c r="BA72" s="164">
        <f t="shared" si="43"/>
        <v>1</v>
      </c>
      <c r="BB72" s="61" t="s">
        <v>477</v>
      </c>
      <c r="BC72" s="166">
        <f>AJ72*1000</f>
        <v>0</v>
      </c>
    </row>
    <row r="73" spans="1:57" s="167" customFormat="1" x14ac:dyDescent="0.25">
      <c r="A73" s="61" t="str">
        <f t="shared" si="31"/>
        <v>CV1OGS</v>
      </c>
      <c r="B73" s="167" t="str">
        <f t="shared" si="45"/>
        <v>TFHCV1OGS-N</v>
      </c>
      <c r="C73" s="167" t="s">
        <v>573</v>
      </c>
      <c r="D73" s="167" t="s">
        <v>551</v>
      </c>
      <c r="E73" s="173" t="s">
        <v>552</v>
      </c>
      <c r="F73" s="793">
        <f t="shared" si="46"/>
        <v>4.8000000000000001E-2</v>
      </c>
      <c r="G73" s="807">
        <f t="shared" si="47"/>
        <v>17100.2801251579</v>
      </c>
      <c r="H73" s="808">
        <f t="shared" si="48"/>
        <v>17100.2801251579</v>
      </c>
      <c r="I73" s="808">
        <f t="shared" si="48"/>
        <v>13451.556778491855</v>
      </c>
      <c r="J73" s="808">
        <f t="shared" si="48"/>
        <v>8323.5999284680747</v>
      </c>
      <c r="K73" s="808">
        <f t="shared" si="48"/>
        <v>1972.0918752186101</v>
      </c>
      <c r="L73" s="808">
        <f t="shared" si="48"/>
        <v>178.90413861851181</v>
      </c>
      <c r="M73" s="808">
        <f t="shared" si="33"/>
        <v>1</v>
      </c>
      <c r="N73" s="808">
        <f t="shared" si="34"/>
        <v>0.78662786106655347</v>
      </c>
      <c r="O73" s="808">
        <f t="shared" si="35"/>
        <v>0.48675225595997168</v>
      </c>
      <c r="P73" s="808">
        <f t="shared" si="36"/>
        <v>0.11532512103806254</v>
      </c>
      <c r="Q73" s="808">
        <f t="shared" si="37"/>
        <v>1.0462058943426802E-2</v>
      </c>
      <c r="R73" s="808">
        <f t="shared" si="38"/>
        <v>5.8478574191822851E-5</v>
      </c>
      <c r="S73" s="805" t="e">
        <f t="shared" ref="S73:X73" si="50">$AD$54*S72</f>
        <v>#REF!</v>
      </c>
      <c r="T73" s="805" t="e">
        <f t="shared" si="50"/>
        <v>#REF!</v>
      </c>
      <c r="U73" s="805" t="e">
        <f t="shared" si="50"/>
        <v>#REF!</v>
      </c>
      <c r="V73" s="805" t="e">
        <f t="shared" si="50"/>
        <v>#REF!</v>
      </c>
      <c r="W73" s="805" t="e">
        <f t="shared" si="50"/>
        <v>#REF!</v>
      </c>
      <c r="X73" s="805" t="e">
        <f t="shared" si="50"/>
        <v>#REF!</v>
      </c>
      <c r="Y73" s="805"/>
      <c r="Z73" s="796" t="e">
        <f t="shared" si="49"/>
        <v>#REF!</v>
      </c>
      <c r="AA73" s="796">
        <f>1/SUMIFS('Vehicle eff data 2023'!Q$20:Q$117,'Vehicle eff data 2023'!$A$20:$A$117,Analytica!$C73,'Vehicle eff data 2023'!$D$20:$D$117,RIGHT(Analytica!$D73,3))</f>
        <v>0.14896435210389899</v>
      </c>
      <c r="AB73" s="796">
        <f>1/SUMIFS('Vehicle eff data 2023'!R$20:R$117,'Vehicle eff data 2023'!$A$20:$A$117,Analytica!$C73,'Vehicle eff data 2023'!$D$20:$D$117,RIGHT(Analytica!$D73,3))</f>
        <v>0.14941214043820444</v>
      </c>
      <c r="AC73" s="796">
        <f>1/SUMIFS('Vehicle eff data 2023'!S$20:S$117,'Vehicle eff data 2023'!$A$20:$A$117,Analytica!$C73,'Vehicle eff data 2023'!$D$20:$D$117,RIGHT(Analytica!$D73,3))</f>
        <v>0.15788396075106742</v>
      </c>
      <c r="AD73" s="796">
        <f>1/SUMIFS('Vehicle eff data 2023'!T$20:T$117,'Vehicle eff data 2023'!$A$20:$A$117,Analytica!$C73,'Vehicle eff data 2023'!$D$20:$D$117,RIGHT(Analytica!$D73,3))</f>
        <v>0.17457661436902142</v>
      </c>
      <c r="AE73" s="796">
        <f>1/SUMIFS('Vehicle eff data 2023'!U$20:U$117,'Vehicle eff data 2023'!$A$20:$A$117,Analytica!$C73,'Vehicle eff data 2023'!$D$20:$D$117,RIGHT(Analytica!$D73,3))</f>
        <v>0.19303413810730588</v>
      </c>
      <c r="AF73" s="796"/>
      <c r="AG73" s="805"/>
      <c r="AH73" s="809"/>
      <c r="AI73" s="806">
        <v>199.83569076305221</v>
      </c>
      <c r="AJ73" s="810"/>
      <c r="AK73" s="890"/>
      <c r="AL73" s="890"/>
      <c r="AM73" s="890"/>
      <c r="AN73" s="890"/>
      <c r="AO73" s="890"/>
      <c r="AP73" s="890"/>
      <c r="AQ73" s="890"/>
      <c r="AR73" s="893"/>
      <c r="AS73" s="892"/>
      <c r="AT73" s="892"/>
      <c r="AU73" s="893"/>
      <c r="AV73" s="893"/>
      <c r="AW73" s="893"/>
      <c r="AX73" s="893"/>
      <c r="AY73" s="894"/>
      <c r="BA73" s="172">
        <f t="shared" si="43"/>
        <v>0</v>
      </c>
      <c r="BC73" s="171"/>
    </row>
    <row r="74" spans="1:57" x14ac:dyDescent="0.25">
      <c r="A74" s="61" t="str">
        <f t="shared" si="31"/>
        <v>CV2ODS</v>
      </c>
      <c r="B74" s="61" t="str">
        <f t="shared" si="45"/>
        <v>TFHCV2ODS-N</v>
      </c>
      <c r="C74" s="61" t="s">
        <v>511</v>
      </c>
      <c r="D74" s="61" t="s">
        <v>549</v>
      </c>
      <c r="E74" t="s">
        <v>263</v>
      </c>
      <c r="F74" s="793">
        <f t="shared" si="46"/>
        <v>4.8000000000000001E-2</v>
      </c>
      <c r="G74" s="794">
        <f t="shared" si="47"/>
        <v>30096.280108149898</v>
      </c>
      <c r="H74" s="794">
        <f t="shared" si="48"/>
        <v>30096.280108149898</v>
      </c>
      <c r="I74" s="794">
        <f t="shared" si="48"/>
        <v>23674.572447533814</v>
      </c>
      <c r="J74" s="794">
        <f t="shared" si="48"/>
        <v>14649.432238645182</v>
      </c>
      <c r="K74" s="794">
        <f t="shared" si="48"/>
        <v>3470.8571462678206</v>
      </c>
      <c r="L74" s="794">
        <f t="shared" si="48"/>
        <v>314.86905646934775</v>
      </c>
      <c r="M74" s="794">
        <f t="shared" si="33"/>
        <v>1</v>
      </c>
      <c r="N74" s="794">
        <f t="shared" si="34"/>
        <v>0.78662786106655347</v>
      </c>
      <c r="O74" s="794">
        <f t="shared" si="35"/>
        <v>0.48675225595997162</v>
      </c>
      <c r="P74" s="794">
        <f t="shared" si="36"/>
        <v>0.11532512103806253</v>
      </c>
      <c r="Q74" s="794">
        <f t="shared" si="37"/>
        <v>1.04620589434268E-2</v>
      </c>
      <c r="R74" s="794">
        <f t="shared" si="38"/>
        <v>3.3226697665177755E-5</v>
      </c>
      <c r="S74" s="211">
        <v>22.685167417999999</v>
      </c>
      <c r="T74" s="797">
        <v>21.8</v>
      </c>
      <c r="U74" s="794">
        <f t="shared" ref="U74:X81" si="51">S74/((1+U$53)^(U$58-T$58))</f>
        <v>21.368869667314517</v>
      </c>
      <c r="V74" s="794">
        <f t="shared" si="51"/>
        <v>20.230468739150471</v>
      </c>
      <c r="W74" s="794">
        <f t="shared" si="51"/>
        <v>19.830378430990233</v>
      </c>
      <c r="X74" s="794">
        <f t="shared" si="51"/>
        <v>18.773938780080019</v>
      </c>
      <c r="Y74" s="211"/>
      <c r="Z74" s="796">
        <f t="shared" si="49"/>
        <v>0.1123223969920529</v>
      </c>
      <c r="AA74" s="796">
        <f>1/SUMIFS('Vehicle eff data 2023'!Q$20:Q$117,'Vehicle eff data 2023'!$A$20:$A$117,Analytica!$C74,'Vehicle eff data 2023'!$D$20:$D$117,RIGHT(Analytica!$D74,3))</f>
        <v>0.13643182834537301</v>
      </c>
      <c r="AB74" s="796">
        <f>1/SUMIFS('Vehicle eff data 2023'!R$20:R$117,'Vehicle eff data 2023'!$A$20:$A$117,Analytica!$C74,'Vehicle eff data 2023'!$D$20:$D$117,RIGHT(Analytica!$D74,3))</f>
        <v>0.13684194378774683</v>
      </c>
      <c r="AC74" s="796">
        <f>1/SUMIFS('Vehicle eff data 2023'!S$20:S$117,'Vehicle eff data 2023'!$A$20:$A$117,Analytica!$C74,'Vehicle eff data 2023'!$D$20:$D$117,RIGHT(Analytica!$D74,3))</f>
        <v>0.14460102116681806</v>
      </c>
      <c r="AD74" s="796">
        <f>1/SUMIFS('Vehicle eff data 2023'!T$20:T$117,'Vehicle eff data 2023'!$A$20:$A$117,Analytica!$C74,'Vehicle eff data 2023'!$D$20:$D$117,RIGHT(Analytica!$D74,3))</f>
        <v>0.15988930471162904</v>
      </c>
      <c r="AE74" s="796">
        <f>1/SUMIFS('Vehicle eff data 2023'!U$20:U$117,'Vehicle eff data 2023'!$A$20:$A$117,Analytica!$C74,'Vehicle eff data 2023'!$D$20:$D$117,RIGHT(Analytica!$D74,3))</f>
        <v>0.17679397804304392</v>
      </c>
      <c r="AF74" s="796"/>
      <c r="AG74" s="211"/>
      <c r="AH74" s="797"/>
      <c r="AI74" s="806">
        <v>381.46697397769515</v>
      </c>
      <c r="AJ74" s="797"/>
      <c r="AK74" s="890"/>
      <c r="AL74" s="890"/>
      <c r="AM74" s="890"/>
      <c r="AN74" s="890"/>
      <c r="AO74" s="890"/>
      <c r="AP74" s="890"/>
      <c r="AQ74" s="890"/>
      <c r="AR74" s="893"/>
      <c r="AS74" s="891"/>
      <c r="AT74" s="892"/>
      <c r="AU74" s="893"/>
      <c r="AV74" s="893"/>
      <c r="AW74" s="893"/>
      <c r="AX74" s="893"/>
      <c r="AY74" s="894"/>
      <c r="BA74" s="164">
        <f t="shared" si="43"/>
        <v>1</v>
      </c>
      <c r="BC74" s="166"/>
    </row>
    <row r="75" spans="1:57" x14ac:dyDescent="0.25">
      <c r="A75" s="61" t="str">
        <f t="shared" si="31"/>
        <v>CV3ODS</v>
      </c>
      <c r="B75" s="61" t="str">
        <f t="shared" si="45"/>
        <v>TFHCV3ODS-N</v>
      </c>
      <c r="C75" s="61" t="s">
        <v>511</v>
      </c>
      <c r="D75" s="61" t="s">
        <v>547</v>
      </c>
      <c r="E75" t="s">
        <v>261</v>
      </c>
      <c r="F75" s="793">
        <f t="shared" si="46"/>
        <v>8.4999999999999992E-2</v>
      </c>
      <c r="G75" s="794">
        <f t="shared" si="47"/>
        <v>54512.527353451602</v>
      </c>
      <c r="H75" s="794">
        <f t="shared" si="48"/>
        <v>54512.527353451602</v>
      </c>
      <c r="I75" s="794">
        <f t="shared" si="48"/>
        <v>35638.643294750975</v>
      </c>
      <c r="J75" s="794">
        <f t="shared" si="48"/>
        <v>15232.488298570934</v>
      </c>
      <c r="K75" s="794">
        <f t="shared" si="48"/>
        <v>1189.3780636954896</v>
      </c>
      <c r="L75" s="794">
        <f t="shared" si="48"/>
        <v>16.965566906785078</v>
      </c>
      <c r="M75" s="794">
        <f t="shared" si="33"/>
        <v>1</v>
      </c>
      <c r="N75" s="794">
        <f t="shared" si="34"/>
        <v>0.65376978512984729</v>
      </c>
      <c r="O75" s="794">
        <f t="shared" si="35"/>
        <v>0.27943096822140734</v>
      </c>
      <c r="P75" s="794">
        <f t="shared" si="36"/>
        <v>2.1818435531042773E-2</v>
      </c>
      <c r="Q75" s="794">
        <f t="shared" si="37"/>
        <v>3.112232679432145E-4</v>
      </c>
      <c r="R75" s="794">
        <f t="shared" si="38"/>
        <v>1.8344407213339054E-5</v>
      </c>
      <c r="S75" s="211">
        <v>23.101409021999999</v>
      </c>
      <c r="T75" s="797">
        <v>22.2</v>
      </c>
      <c r="U75" s="794">
        <f t="shared" si="51"/>
        <v>21.760959019008361</v>
      </c>
      <c r="V75" s="794">
        <f t="shared" si="51"/>
        <v>20.601670000419286</v>
      </c>
      <c r="W75" s="794">
        <f t="shared" si="51"/>
        <v>20.194238585687302</v>
      </c>
      <c r="X75" s="794">
        <f t="shared" si="51"/>
        <v>19.118414720998921</v>
      </c>
      <c r="Y75" s="211"/>
      <c r="Z75" s="796">
        <f t="shared" si="49"/>
        <v>0.11029857001922312</v>
      </c>
      <c r="AA75" s="796">
        <f>1/SUMIFS('Vehicle eff data 2023'!Q$20:Q$117,'Vehicle eff data 2023'!$A$20:$A$117,Analytica!$C75,'Vehicle eff data 2023'!$D$20:$D$117,RIGHT(Analytica!$D75,3))</f>
        <v>0.119281768417066</v>
      </c>
      <c r="AB75" s="796">
        <f>1/SUMIFS('Vehicle eff data 2023'!R$20:R$117,'Vehicle eff data 2023'!$A$20:$A$117,Analytica!$C75,'Vehicle eff data 2023'!$D$20:$D$117,RIGHT(Analytica!$D75,3))</f>
        <v>0.11964033060753712</v>
      </c>
      <c r="AC75" s="796">
        <f>1/SUMIFS('Vehicle eff data 2023'!S$20:S$117,'Vehicle eff data 2023'!$A$20:$A$117,Analytica!$C75,'Vehicle eff data 2023'!$D$20:$D$117,RIGHT(Analytica!$D75,3))</f>
        <v>0.12642405902549511</v>
      </c>
      <c r="AD75" s="796">
        <f>1/SUMIFS('Vehicle eff data 2023'!T$20:T$117,'Vehicle eff data 2023'!$A$20:$A$117,Analytica!$C75,'Vehicle eff data 2023'!$D$20:$D$117,RIGHT(Analytica!$D75,3))</f>
        <v>0.13979054043531805</v>
      </c>
      <c r="AE75" s="796">
        <f>1/SUMIFS('Vehicle eff data 2023'!U$20:U$117,'Vehicle eff data 2023'!$A$20:$A$117,Analytica!$C75,'Vehicle eff data 2023'!$D$20:$D$117,RIGHT(Analytica!$D75,3))</f>
        <v>0.15457022457456068</v>
      </c>
      <c r="AF75" s="796"/>
      <c r="AG75" s="211"/>
      <c r="AH75" s="797"/>
      <c r="AI75" s="806">
        <v>529.30025038783742</v>
      </c>
      <c r="AJ75" s="797"/>
      <c r="AK75" s="890"/>
      <c r="AL75" s="890"/>
      <c r="AM75" s="890"/>
      <c r="AN75" s="890"/>
      <c r="AO75" s="890"/>
      <c r="AP75" s="890"/>
      <c r="AQ75" s="890"/>
      <c r="AR75" s="893"/>
      <c r="AS75" s="891"/>
      <c r="AT75" s="892"/>
      <c r="AU75" s="893"/>
      <c r="AV75" s="893"/>
      <c r="AW75" s="893"/>
      <c r="AX75" s="893"/>
      <c r="AY75" s="894"/>
      <c r="BA75" s="164">
        <f t="shared" si="43"/>
        <v>1</v>
      </c>
      <c r="BC75" s="166"/>
    </row>
    <row r="76" spans="1:57" x14ac:dyDescent="0.25">
      <c r="A76" s="61" t="str">
        <f t="shared" si="31"/>
        <v>CV4ODS</v>
      </c>
      <c r="B76" s="61" t="str">
        <f t="shared" si="45"/>
        <v>TFHCV4ODS-N</v>
      </c>
      <c r="C76" s="61" t="s">
        <v>511</v>
      </c>
      <c r="D76" s="61" t="s">
        <v>545</v>
      </c>
      <c r="E76" t="s">
        <v>259</v>
      </c>
      <c r="F76" s="793">
        <f t="shared" si="46"/>
        <v>8.4999999999999992E-2</v>
      </c>
      <c r="G76" s="794">
        <f t="shared" si="47"/>
        <v>53608.118344618502</v>
      </c>
      <c r="H76" s="794">
        <f t="shared" si="48"/>
        <v>53608.118344618502</v>
      </c>
      <c r="I76" s="794">
        <f t="shared" si="48"/>
        <v>35047.36801137666</v>
      </c>
      <c r="J76" s="794">
        <f t="shared" si="48"/>
        <v>14979.768413564536</v>
      </c>
      <c r="K76" s="794">
        <f t="shared" si="48"/>
        <v>1169.6452740425702</v>
      </c>
      <c r="L76" s="794">
        <f t="shared" si="48"/>
        <v>16.684093779498756</v>
      </c>
      <c r="M76" s="794">
        <f t="shared" si="33"/>
        <v>1</v>
      </c>
      <c r="N76" s="794">
        <f t="shared" si="34"/>
        <v>0.65376978512984729</v>
      </c>
      <c r="O76" s="794">
        <f t="shared" si="35"/>
        <v>0.27943096822140734</v>
      </c>
      <c r="P76" s="794">
        <f t="shared" si="36"/>
        <v>2.1818435531042773E-2</v>
      </c>
      <c r="Q76" s="794">
        <f t="shared" si="37"/>
        <v>3.112232679432145E-4</v>
      </c>
      <c r="R76" s="794">
        <f t="shared" si="38"/>
        <v>1.8653891068728135E-5</v>
      </c>
      <c r="S76" s="211">
        <v>26.639462655999999</v>
      </c>
      <c r="T76" s="797">
        <v>25.6</v>
      </c>
      <c r="U76" s="794">
        <f t="shared" si="51"/>
        <v>25.093718508406038</v>
      </c>
      <c r="V76" s="794">
        <f t="shared" si="51"/>
        <v>23.756880721204226</v>
      </c>
      <c r="W76" s="794">
        <f t="shared" si="51"/>
        <v>23.287049900612381</v>
      </c>
      <c r="X76" s="794">
        <f t="shared" si="51"/>
        <v>22.046460218809568</v>
      </c>
      <c r="Y76" s="211"/>
      <c r="Z76" s="796">
        <f t="shared" si="49"/>
        <v>9.5649541188545045E-2</v>
      </c>
      <c r="AA76" s="796">
        <f>1/SUMIFS('Vehicle eff data 2023'!Q$20:Q$117,'Vehicle eff data 2023'!$A$20:$A$117,Analytica!$C76,'Vehicle eff data 2023'!$D$20:$D$117,RIGHT(Analytica!$D76,3))</f>
        <v>0.102511485821615</v>
      </c>
      <c r="AB76" s="796">
        <f>1/SUMIFS('Vehicle eff data 2023'!R$20:R$117,'Vehicle eff data 2023'!$A$20:$A$117,Analytica!$C76,'Vehicle eff data 2023'!$D$20:$D$117,RIGHT(Analytica!$D76,3))</f>
        <v>0.10281963637464944</v>
      </c>
      <c r="AC76" s="796">
        <f>1/SUMIFS('Vehicle eff data 2023'!S$20:S$117,'Vehicle eff data 2023'!$A$20:$A$117,Analytica!$C76,'Vehicle eff data 2023'!$D$20:$D$117,RIGHT(Analytica!$D76,3))</f>
        <v>0.10864961432319646</v>
      </c>
      <c r="AD76" s="796">
        <f>1/SUMIFS('Vehicle eff data 2023'!T$20:T$117,'Vehicle eff data 2023'!$A$20:$A$117,Analytica!$C76,'Vehicle eff data 2023'!$D$20:$D$117,RIGHT(Analytica!$D76,3))</f>
        <v>0.12013685070233035</v>
      </c>
      <c r="AE76" s="796">
        <f>1/SUMIFS('Vehicle eff data 2023'!U$20:U$117,'Vehicle eff data 2023'!$A$20:$A$117,Analytica!$C76,'Vehicle eff data 2023'!$D$20:$D$117,RIGHT(Analytica!$D76,3))</f>
        <v>0.13283860220378738</v>
      </c>
      <c r="AF76" s="796"/>
      <c r="AG76" s="211"/>
      <c r="AH76" s="797"/>
      <c r="AI76" s="806">
        <v>754.30982933884297</v>
      </c>
      <c r="AJ76" s="797"/>
      <c r="AK76" s="890"/>
      <c r="AL76" s="890"/>
      <c r="AM76" s="890"/>
      <c r="AN76" s="890"/>
      <c r="AO76" s="890"/>
      <c r="AP76" s="890"/>
      <c r="AQ76" s="890"/>
      <c r="AR76" s="893"/>
      <c r="AS76" s="891"/>
      <c r="AT76" s="892"/>
      <c r="AU76" s="893"/>
      <c r="AV76" s="893"/>
      <c r="AW76" s="893"/>
      <c r="AX76" s="893"/>
      <c r="AY76" s="894"/>
      <c r="BA76" s="164">
        <f t="shared" si="43"/>
        <v>1</v>
      </c>
      <c r="BC76" s="166"/>
    </row>
    <row r="77" spans="1:57" x14ac:dyDescent="0.25">
      <c r="A77" s="61" t="str">
        <f t="shared" si="31"/>
        <v>CV5ODS</v>
      </c>
      <c r="B77" s="61" t="str">
        <f t="shared" si="45"/>
        <v>TFHCV5ODS-N</v>
      </c>
      <c r="C77" s="61" t="s">
        <v>511</v>
      </c>
      <c r="D77" s="61" t="s">
        <v>543</v>
      </c>
      <c r="E77" t="s">
        <v>257</v>
      </c>
      <c r="F77" s="793">
        <f t="shared" si="46"/>
        <v>0.11</v>
      </c>
      <c r="G77" s="794">
        <f t="shared" si="47"/>
        <v>56756.7653972318</v>
      </c>
      <c r="H77" s="794">
        <f t="shared" si="48"/>
        <v>56756.7653972318</v>
      </c>
      <c r="I77" s="794">
        <f t="shared" si="48"/>
        <v>32745.805033742654</v>
      </c>
      <c r="J77" s="794">
        <f t="shared" si="48"/>
        <v>10900.131608147945</v>
      </c>
      <c r="K77" s="794">
        <f t="shared" si="48"/>
        <v>402.03137879886822</v>
      </c>
      <c r="L77" s="794">
        <f t="shared" si="48"/>
        <v>1.6430103562415428</v>
      </c>
      <c r="M77" s="794">
        <f t="shared" si="33"/>
        <v>1</v>
      </c>
      <c r="N77" s="794">
        <f t="shared" si="34"/>
        <v>0.57694981038048665</v>
      </c>
      <c r="O77" s="794">
        <f t="shared" si="35"/>
        <v>0.19204990862075411</v>
      </c>
      <c r="P77" s="794">
        <f t="shared" si="36"/>
        <v>7.0834089290521219E-3</v>
      </c>
      <c r="Q77" s="794">
        <f t="shared" si="37"/>
        <v>2.8948273298211554E-5</v>
      </c>
      <c r="R77" s="794">
        <f t="shared" si="38"/>
        <v>1.761904493677811E-5</v>
      </c>
      <c r="S77" s="211">
        <v>33.507449121999997</v>
      </c>
      <c r="T77" s="797">
        <v>32.200000000000003</v>
      </c>
      <c r="U77" s="794">
        <f t="shared" si="51"/>
        <v>31.563192811354469</v>
      </c>
      <c r="V77" s="794">
        <f t="shared" si="51"/>
        <v>29.88170153213969</v>
      </c>
      <c r="W77" s="794">
        <f t="shared" si="51"/>
        <v>29.29074245311401</v>
      </c>
      <c r="X77" s="794">
        <f t="shared" si="51"/>
        <v>27.730313243971409</v>
      </c>
      <c r="Y77" s="211"/>
      <c r="Z77" s="796">
        <f t="shared" si="49"/>
        <v>7.6044355727538926E-2</v>
      </c>
      <c r="AA77" s="796">
        <f>1/SUMIFS('Vehicle eff data 2023'!Q$20:Q$117,'Vehicle eff data 2023'!$A$20:$A$117,Analytica!$C77,'Vehicle eff data 2023'!$D$20:$D$117,RIGHT(Analytica!$D77,3))</f>
        <v>9.4439576839910805E-2</v>
      </c>
      <c r="AB77" s="796">
        <f>1/SUMIFS('Vehicle eff data 2023'!R$20:R$117,'Vehicle eff data 2023'!$A$20:$A$117,Analytica!$C77,'Vehicle eff data 2023'!$D$20:$D$117,RIGHT(Analytica!$D77,3))</f>
        <v>9.4723463153705931E-2</v>
      </c>
      <c r="AC77" s="796">
        <f>1/SUMIFS('Vehicle eff data 2023'!S$20:S$117,'Vehicle eff data 2023'!$A$20:$A$117,Analytica!$C77,'Vehicle eff data 2023'!$D$20:$D$117,RIGHT(Analytica!$D77,3))</f>
        <v>0.1000943798469327</v>
      </c>
      <c r="AD77" s="796">
        <f>1/SUMIFS('Vehicle eff data 2023'!T$20:T$117,'Vehicle eff data 2023'!$A$20:$A$117,Analytica!$C77,'Vehicle eff data 2023'!$D$20:$D$117,RIGHT(Analytica!$D77,3))</f>
        <v>0.11067709391073265</v>
      </c>
      <c r="AE77" s="796">
        <f>1/SUMIFS('Vehicle eff data 2023'!U$20:U$117,'Vehicle eff data 2023'!$A$20:$A$117,Analytica!$C77,'Vehicle eff data 2023'!$D$20:$D$117,RIGHT(Analytica!$D77,3))</f>
        <v>0.12237869034462585</v>
      </c>
      <c r="AF77" s="796"/>
      <c r="AG77" s="211"/>
      <c r="AH77" s="797"/>
      <c r="AI77" s="806">
        <v>822.6622572509458</v>
      </c>
      <c r="AJ77" s="797"/>
      <c r="AK77" s="890"/>
      <c r="AL77" s="890"/>
      <c r="AM77" s="890"/>
      <c r="AN77" s="890"/>
      <c r="AO77" s="890"/>
      <c r="AP77" s="890"/>
      <c r="AQ77" s="890"/>
      <c r="AR77" s="893"/>
      <c r="AS77" s="891"/>
      <c r="AT77" s="892"/>
      <c r="AU77" s="893"/>
      <c r="AV77" s="893"/>
      <c r="AW77" s="893"/>
      <c r="AX77" s="893"/>
      <c r="AY77" s="894"/>
      <c r="BA77" s="164">
        <f t="shared" si="43"/>
        <v>1</v>
      </c>
      <c r="BC77" s="166"/>
    </row>
    <row r="78" spans="1:57" x14ac:dyDescent="0.25">
      <c r="A78" s="61" t="str">
        <f t="shared" si="31"/>
        <v>CV6ODS</v>
      </c>
      <c r="B78" s="61" t="str">
        <f t="shared" si="45"/>
        <v>TFHCV6ODS-N</v>
      </c>
      <c r="C78" s="61" t="s">
        <v>511</v>
      </c>
      <c r="D78" s="61" t="s">
        <v>541</v>
      </c>
      <c r="E78" t="s">
        <v>255</v>
      </c>
      <c r="F78" s="793">
        <f t="shared" si="46"/>
        <v>0.11</v>
      </c>
      <c r="G78" s="794">
        <f t="shared" si="47"/>
        <v>64512.330335483297</v>
      </c>
      <c r="H78" s="794">
        <f t="shared" si="48"/>
        <v>64512.330335483297</v>
      </c>
      <c r="I78" s="794">
        <f t="shared" si="48"/>
        <v>37220.376754260404</v>
      </c>
      <c r="J78" s="794">
        <f t="shared" si="48"/>
        <v>12389.587145841469</v>
      </c>
      <c r="K78" s="794">
        <f t="shared" si="48"/>
        <v>456.96721673232241</v>
      </c>
      <c r="L78" s="794">
        <f t="shared" si="48"/>
        <v>1.8675205696560742</v>
      </c>
      <c r="M78" s="794">
        <f t="shared" si="33"/>
        <v>1</v>
      </c>
      <c r="N78" s="794">
        <f t="shared" si="34"/>
        <v>0.57694981038048665</v>
      </c>
      <c r="O78" s="794">
        <f t="shared" si="35"/>
        <v>0.19204990862075411</v>
      </c>
      <c r="P78" s="794">
        <f t="shared" si="36"/>
        <v>7.0834089290521211E-3</v>
      </c>
      <c r="Q78" s="794">
        <f t="shared" si="37"/>
        <v>2.8948273298211551E-5</v>
      </c>
      <c r="R78" s="794">
        <f t="shared" si="38"/>
        <v>1.5500912690639181E-5</v>
      </c>
      <c r="S78" s="211">
        <v>32.258724309999998</v>
      </c>
      <c r="T78" s="797">
        <v>31</v>
      </c>
      <c r="U78" s="794">
        <f t="shared" si="51"/>
        <v>30.386924756272936</v>
      </c>
      <c r="V78" s="794">
        <f t="shared" si="51"/>
        <v>28.76809774833324</v>
      </c>
      <c r="W78" s="794">
        <f t="shared" si="51"/>
        <v>28.199161989022805</v>
      </c>
      <c r="X78" s="794">
        <f t="shared" si="51"/>
        <v>26.696885421214709</v>
      </c>
      <c r="Y78" s="211"/>
      <c r="Z78" s="796">
        <f t="shared" si="49"/>
        <v>7.8988008207314622E-2</v>
      </c>
      <c r="AA78" s="796">
        <f>1/SUMIFS('Vehicle eff data 2023'!Q$20:Q$117,'Vehicle eff data 2023'!$A$20:$A$117,Analytica!$C78,'Vehicle eff data 2023'!$D$20:$D$117,RIGHT(Analytica!$D78,3))</f>
        <v>6.5140074152247901E-2</v>
      </c>
      <c r="AB78" s="796">
        <f>1/SUMIFS('Vehicle eff data 2023'!R$20:R$117,'Vehicle eff data 2023'!$A$20:$A$117,Analytica!$C78,'Vehicle eff data 2023'!$D$20:$D$117,RIGHT(Analytica!$D78,3))</f>
        <v>6.5335885867528767E-2</v>
      </c>
      <c r="AC78" s="796">
        <f>1/SUMIFS('Vehicle eff data 2023'!S$20:S$117,'Vehicle eff data 2023'!$A$20:$A$117,Analytica!$C78,'Vehicle eff data 2023'!$D$20:$D$117,RIGHT(Analytica!$D78,3))</f>
        <v>6.9040497041882143E-2</v>
      </c>
      <c r="AD78" s="796">
        <f>1/SUMIFS('Vehicle eff data 2023'!T$20:T$117,'Vehicle eff data 2023'!$A$20:$A$117,Analytica!$C78,'Vehicle eff data 2023'!$D$20:$D$117,RIGHT(Analytica!$D78,3))</f>
        <v>7.6339966204228477E-2</v>
      </c>
      <c r="AE78" s="796">
        <f>1/SUMIFS('Vehicle eff data 2023'!U$20:U$117,'Vehicle eff data 2023'!$A$20:$A$117,Analytica!$C78,'Vehicle eff data 2023'!$D$20:$D$117,RIGHT(Analytica!$D78,3))</f>
        <v>8.4411188936363318E-2</v>
      </c>
      <c r="AF78" s="796"/>
      <c r="AG78" s="211"/>
      <c r="AH78" s="797"/>
      <c r="AI78" s="806">
        <v>1063.2917933651609</v>
      </c>
      <c r="AJ78" s="797"/>
      <c r="AK78" s="890"/>
      <c r="AL78" s="890"/>
      <c r="AM78" s="890"/>
      <c r="AN78" s="890"/>
      <c r="AO78" s="890"/>
      <c r="AP78" s="890"/>
      <c r="AQ78" s="890"/>
      <c r="AR78" s="893"/>
      <c r="AS78" s="891"/>
      <c r="AT78" s="892"/>
      <c r="AU78" s="893"/>
      <c r="AV78" s="893"/>
      <c r="AW78" s="893"/>
      <c r="AX78" s="893"/>
      <c r="AY78" s="894"/>
      <c r="BA78" s="164">
        <f t="shared" si="43"/>
        <v>1</v>
      </c>
      <c r="BC78" s="166"/>
    </row>
    <row r="79" spans="1:57" x14ac:dyDescent="0.25">
      <c r="A79" s="61" t="str">
        <f t="shared" si="31"/>
        <v>CV7ODS</v>
      </c>
      <c r="B79" s="61" t="str">
        <f t="shared" si="45"/>
        <v>TFHCV7ODS-N</v>
      </c>
      <c r="C79" s="61" t="s">
        <v>511</v>
      </c>
      <c r="D79" s="61" t="s">
        <v>539</v>
      </c>
      <c r="E79" t="s">
        <v>253</v>
      </c>
      <c r="F79" s="793">
        <f t="shared" si="46"/>
        <v>0.16</v>
      </c>
      <c r="G79" s="794">
        <f t="shared" si="47"/>
        <v>92421.691229504097</v>
      </c>
      <c r="H79" s="794">
        <f t="shared" si="48"/>
        <v>92421.691229504097</v>
      </c>
      <c r="I79" s="794">
        <f t="shared" si="48"/>
        <v>41527.742782114779</v>
      </c>
      <c r="J79" s="794">
        <f t="shared" si="48"/>
        <v>8384.3066678866562</v>
      </c>
      <c r="K79" s="794">
        <f t="shared" si="48"/>
        <v>69.000723058119178</v>
      </c>
      <c r="L79" s="794">
        <f t="shared" si="48"/>
        <v>2.3147163884250102E-2</v>
      </c>
      <c r="M79" s="794">
        <f t="shared" si="33"/>
        <v>1</v>
      </c>
      <c r="N79" s="794">
        <f t="shared" si="34"/>
        <v>0.44932896411722156</v>
      </c>
      <c r="O79" s="794">
        <f t="shared" si="35"/>
        <v>9.0717953289412484E-2</v>
      </c>
      <c r="P79" s="794">
        <f t="shared" si="36"/>
        <v>7.4658580837667942E-4</v>
      </c>
      <c r="Q79" s="794">
        <f t="shared" si="37"/>
        <v>2.5045163723276199E-7</v>
      </c>
      <c r="R79" s="794">
        <f t="shared" si="38"/>
        <v>1.0819970795781829E-5</v>
      </c>
      <c r="S79" s="211">
        <v>38.190167166999998</v>
      </c>
      <c r="T79" s="797">
        <v>36.700000000000003</v>
      </c>
      <c r="U79" s="794">
        <f t="shared" si="51"/>
        <v>35.974198017910219</v>
      </c>
      <c r="V79" s="794">
        <f t="shared" si="51"/>
        <v>34.057715721413871</v>
      </c>
      <c r="W79" s="794">
        <f t="shared" si="51"/>
        <v>33.384169193456032</v>
      </c>
      <c r="X79" s="794">
        <f t="shared" si="51"/>
        <v>31.605667579309028</v>
      </c>
      <c r="Y79" s="211"/>
      <c r="Z79" s="796">
        <f t="shared" si="49"/>
        <v>6.6720115924434692E-2</v>
      </c>
      <c r="AA79" s="796">
        <f>1/SUMIFS('Vehicle eff data 2023'!Q$20:Q$117,'Vehicle eff data 2023'!$A$20:$A$117,Analytica!$C79,'Vehicle eff data 2023'!$D$20:$D$117,RIGHT(Analytica!$D79,3))</f>
        <v>7.0317841528990704E-2</v>
      </c>
      <c r="AB79" s="796">
        <f>1/SUMIFS('Vehicle eff data 2023'!R$20:R$117,'Vehicle eff data 2023'!$A$20:$A$117,Analytica!$C79,'Vehicle eff data 2023'!$D$20:$D$117,RIGHT(Analytica!$D79,3))</f>
        <v>7.0529217664861518E-2</v>
      </c>
      <c r="AC79" s="796">
        <f>1/SUMIFS('Vehicle eff data 2023'!S$20:S$117,'Vehicle eff data 2023'!$A$20:$A$117,Analytica!$C79,'Vehicle eff data 2023'!$D$20:$D$117,RIGHT(Analytica!$D79,3))</f>
        <v>7.4528296033668062E-2</v>
      </c>
      <c r="AD79" s="796">
        <f>1/SUMIFS('Vehicle eff data 2023'!T$20:T$117,'Vehicle eff data 2023'!$A$20:$A$117,Analytica!$C79,'Vehicle eff data 2023'!$D$20:$D$117,RIGHT(Analytica!$D79,3))</f>
        <v>8.2407975669954003E-2</v>
      </c>
      <c r="AE79" s="796">
        <f>1/SUMIFS('Vehicle eff data 2023'!U$20:U$117,'Vehicle eff data 2023'!$A$20:$A$117,Analytica!$C79,'Vehicle eff data 2023'!$D$20:$D$117,RIGHT(Analytica!$D79,3))</f>
        <v>9.1120752994968135E-2</v>
      </c>
      <c r="AF79" s="796"/>
      <c r="AG79" s="211"/>
      <c r="AH79" s="797"/>
      <c r="AI79" s="806">
        <v>1190.3888460069998</v>
      </c>
      <c r="AJ79" s="797"/>
      <c r="AK79" s="890"/>
      <c r="AL79" s="890"/>
      <c r="AM79" s="890"/>
      <c r="AN79" s="890"/>
      <c r="AO79" s="890"/>
      <c r="AP79" s="890"/>
      <c r="AQ79" s="890"/>
      <c r="AR79" s="893"/>
      <c r="AS79" s="891"/>
      <c r="AT79" s="892"/>
      <c r="AU79" s="893"/>
      <c r="AV79" s="893"/>
      <c r="AW79" s="893"/>
      <c r="AX79" s="893"/>
      <c r="AY79" s="894"/>
      <c r="BA79" s="164">
        <f t="shared" si="43"/>
        <v>1</v>
      </c>
      <c r="BC79" s="166"/>
    </row>
    <row r="80" spans="1:57" x14ac:dyDescent="0.25">
      <c r="A80" s="61" t="str">
        <f t="shared" si="31"/>
        <v>CV8ODS</v>
      </c>
      <c r="B80" s="61" t="str">
        <f t="shared" si="45"/>
        <v>TFHCV8ODS-N</v>
      </c>
      <c r="C80" s="61" t="s">
        <v>511</v>
      </c>
      <c r="D80" s="61" t="s">
        <v>537</v>
      </c>
      <c r="E80" t="s">
        <v>251</v>
      </c>
      <c r="F80" s="793">
        <f t="shared" si="46"/>
        <v>0.16</v>
      </c>
      <c r="G80" s="794">
        <f t="shared" si="47"/>
        <v>116959.183879244</v>
      </c>
      <c r="H80" s="794">
        <f t="shared" si="48"/>
        <v>116959.183879244</v>
      </c>
      <c r="I80" s="794">
        <f t="shared" si="48"/>
        <v>52553.148936456346</v>
      </c>
      <c r="J80" s="794">
        <f t="shared" si="48"/>
        <v>10610.297779925064</v>
      </c>
      <c r="K80" s="794">
        <f t="shared" si="48"/>
        <v>87.320066843562074</v>
      </c>
      <c r="L80" s="794">
        <f t="shared" si="48"/>
        <v>2.9292619091964327E-2</v>
      </c>
      <c r="M80" s="794">
        <f t="shared" si="33"/>
        <v>1</v>
      </c>
      <c r="N80" s="794">
        <f t="shared" si="34"/>
        <v>0.44932896411722156</v>
      </c>
      <c r="O80" s="794">
        <f t="shared" si="35"/>
        <v>9.0717953289412498E-2</v>
      </c>
      <c r="P80" s="794">
        <f t="shared" si="36"/>
        <v>7.4658580837667942E-4</v>
      </c>
      <c r="Q80" s="794">
        <f t="shared" si="37"/>
        <v>2.5045163723276204E-7</v>
      </c>
      <c r="R80" s="794">
        <f t="shared" si="38"/>
        <v>8.5499912604764987E-6</v>
      </c>
      <c r="S80" s="211">
        <v>43.081006014000003</v>
      </c>
      <c r="T80" s="797">
        <v>41.4</v>
      </c>
      <c r="U80" s="794">
        <f t="shared" si="51"/>
        <v>40.581247900312896</v>
      </c>
      <c r="V80" s="794">
        <f t="shared" si="51"/>
        <v>38.419330541322452</v>
      </c>
      <c r="W80" s="794">
        <f t="shared" si="51"/>
        <v>37.659526011146596</v>
      </c>
      <c r="X80" s="794">
        <f t="shared" si="51"/>
        <v>35.653259885106095</v>
      </c>
      <c r="Y80" s="211"/>
      <c r="Z80" s="796">
        <f t="shared" si="49"/>
        <v>5.914561001030804E-2</v>
      </c>
      <c r="AA80" s="796">
        <f>1/SUMIFS('Vehicle eff data 2023'!Q$20:Q$117,'Vehicle eff data 2023'!$A$20:$A$117,Analytica!$C80,'Vehicle eff data 2023'!$D$20:$D$117,RIGHT(Analytica!$D80,3))</f>
        <v>6.9193607941341495E-2</v>
      </c>
      <c r="AB80" s="796">
        <f>1/SUMIFS('Vehicle eff data 2023'!R$20:R$117,'Vehicle eff data 2023'!$A$20:$A$117,Analytica!$C80,'Vehicle eff data 2023'!$D$20:$D$117,RIGHT(Analytica!$D80,3))</f>
        <v>6.9401604619788601E-2</v>
      </c>
      <c r="AC80" s="796">
        <f>1/SUMIFS('Vehicle eff data 2023'!S$20:S$117,'Vehicle eff data 2023'!$A$20:$A$117,Analytica!$C80,'Vehicle eff data 2023'!$D$20:$D$117,RIGHT(Analytica!$D80,3))</f>
        <v>7.3336746182173118E-2</v>
      </c>
      <c r="AD80" s="796">
        <f>1/SUMIFS('Vehicle eff data 2023'!T$20:T$117,'Vehicle eff data 2023'!$A$20:$A$117,Analytica!$C80,'Vehicle eff data 2023'!$D$20:$D$117,RIGHT(Analytica!$D80,3))</f>
        <v>8.109044640392632E-2</v>
      </c>
      <c r="AE80" s="796">
        <f>1/SUMIFS('Vehicle eff data 2023'!U$20:U$117,'Vehicle eff data 2023'!$A$20:$A$117,Analytica!$C80,'Vehicle eff data 2023'!$D$20:$D$117,RIGHT(Analytica!$D80,3))</f>
        <v>8.966392484408417E-2</v>
      </c>
      <c r="AF80" s="796"/>
      <c r="AG80" s="211"/>
      <c r="AH80" s="797"/>
      <c r="AI80" s="806">
        <f>AI79/AI78*AI79</f>
        <v>1332.6780226650678</v>
      </c>
      <c r="AJ80" s="797"/>
      <c r="AK80" s="890"/>
      <c r="AL80" s="890"/>
      <c r="AM80" s="890"/>
      <c r="AN80" s="890"/>
      <c r="AO80" s="890"/>
      <c r="AP80" s="890"/>
      <c r="AQ80" s="890"/>
      <c r="AR80" s="893"/>
      <c r="AS80" s="891"/>
      <c r="AT80" s="892"/>
      <c r="AU80" s="893"/>
      <c r="AV80" s="893"/>
      <c r="AW80" s="893"/>
      <c r="AX80" s="893"/>
      <c r="AY80" s="894"/>
      <c r="BA80" s="164">
        <f t="shared" si="43"/>
        <v>1</v>
      </c>
      <c r="BC80" s="166"/>
    </row>
    <row r="81" spans="1:56" x14ac:dyDescent="0.25">
      <c r="A81" s="61" t="str">
        <f t="shared" si="31"/>
        <v>CV9ODS</v>
      </c>
      <c r="B81" s="61" t="str">
        <f t="shared" si="45"/>
        <v>TFHCV9ODS-N</v>
      </c>
      <c r="C81" s="61" t="s">
        <v>511</v>
      </c>
      <c r="D81" s="61" t="s">
        <v>535</v>
      </c>
      <c r="E81" t="s">
        <v>249</v>
      </c>
      <c r="F81" s="793">
        <f t="shared" si="46"/>
        <v>0.18</v>
      </c>
      <c r="G81" s="794">
        <f t="shared" si="47"/>
        <v>104002.58508794699</v>
      </c>
      <c r="H81" s="794">
        <f t="shared" si="48"/>
        <v>104002.58508794699</v>
      </c>
      <c r="I81" s="794">
        <f t="shared" si="48"/>
        <v>42284.29563134932</v>
      </c>
      <c r="J81" s="794">
        <f t="shared" si="48"/>
        <v>6989.5470570949319</v>
      </c>
      <c r="K81" s="794">
        <f t="shared" si="48"/>
        <v>31.568855035569442</v>
      </c>
      <c r="L81" s="794">
        <f t="shared" si="48"/>
        <v>3.8959062151804123E-3</v>
      </c>
      <c r="M81" s="794">
        <f t="shared" si="33"/>
        <v>1</v>
      </c>
      <c r="N81" s="794">
        <f t="shared" si="34"/>
        <v>0.40656965974059917</v>
      </c>
      <c r="O81" s="794">
        <f t="shared" si="35"/>
        <v>6.720551273974977E-2</v>
      </c>
      <c r="P81" s="794">
        <f t="shared" si="36"/>
        <v>3.0353913807886683E-4</v>
      </c>
      <c r="Q81" s="794">
        <f t="shared" si="37"/>
        <v>3.7459705562952537E-8</v>
      </c>
      <c r="R81" s="794">
        <f t="shared" si="38"/>
        <v>9.6151456154130857E-6</v>
      </c>
      <c r="S81" s="211">
        <v>52.0302004999999</v>
      </c>
      <c r="T81" s="797">
        <v>49.999999999999901</v>
      </c>
      <c r="U81" s="794">
        <f t="shared" si="51"/>
        <v>49.011168961730448</v>
      </c>
      <c r="V81" s="794">
        <f t="shared" si="51"/>
        <v>46.400157658601906</v>
      </c>
      <c r="W81" s="794">
        <f t="shared" si="51"/>
        <v>45.482519337133468</v>
      </c>
      <c r="X81" s="794">
        <f t="shared" si="51"/>
        <v>43.05949261486235</v>
      </c>
      <c r="Y81" s="211"/>
      <c r="Z81" s="796">
        <f t="shared" si="49"/>
        <v>4.8972565088535154E-2</v>
      </c>
      <c r="AA81" s="796">
        <f>1/SUMIFS('Vehicle eff data 2023'!Q$20:Q$117,'Vehicle eff data 2023'!$A$20:$A$117,Analytica!$C81,'Vehicle eff data 2023'!$D$20:$D$117,RIGHT(Analytica!$D81,3))</f>
        <v>5.4371364101907703E-2</v>
      </c>
      <c r="AB81" s="796">
        <f>1/SUMIFS('Vehicle eff data 2023'!R$20:R$117,'Vehicle eff data 2023'!$A$20:$A$117,Analytica!$C81,'Vehicle eff data 2023'!$D$20:$D$117,RIGHT(Analytica!$D81,3))</f>
        <v>5.4534804966928384E-2</v>
      </c>
      <c r="AC81" s="796">
        <f>1/SUMIFS('Vehicle eff data 2023'!S$20:S$117,'Vehicle eff data 2023'!$A$20:$A$117,Analytica!$C81,'Vehicle eff data 2023'!$D$20:$D$117,RIGHT(Analytica!$D81,3))</f>
        <v>5.7626983869672431E-2</v>
      </c>
      <c r="AD81" s="796">
        <f>1/SUMIFS('Vehicle eff data 2023'!T$20:T$117,'Vehicle eff data 2023'!$A$20:$A$117,Analytica!$C81,'Vehicle eff data 2023'!$D$20:$D$117,RIGHT(Analytica!$D81,3))</f>
        <v>6.3719732469389584E-2</v>
      </c>
      <c r="AE81" s="796">
        <f>1/SUMIFS('Vehicle eff data 2023'!U$20:U$117,'Vehicle eff data 2023'!$A$20:$A$117,Analytica!$C81,'Vehicle eff data 2023'!$D$20:$D$117,RIGHT(Analytica!$D81,3))</f>
        <v>7.0456651265195916E-2</v>
      </c>
      <c r="AF81" s="796"/>
      <c r="AG81" s="211"/>
      <c r="AH81" s="797"/>
      <c r="AI81" s="806">
        <f>AI80/AI79 *AI80</f>
        <v>1491.9752634207996</v>
      </c>
      <c r="AJ81" s="797"/>
      <c r="AK81" s="890"/>
      <c r="AL81" s="890"/>
      <c r="AM81" s="890"/>
      <c r="AN81" s="890"/>
      <c r="AO81" s="890"/>
      <c r="AP81" s="890"/>
      <c r="AQ81" s="890"/>
      <c r="AR81" s="893"/>
      <c r="AS81" s="891"/>
      <c r="AT81" s="892"/>
      <c r="AU81" s="893"/>
      <c r="AV81" s="893"/>
      <c r="AW81" s="893"/>
      <c r="AX81" s="893"/>
      <c r="AY81" s="894"/>
      <c r="BA81" s="164">
        <f t="shared" si="43"/>
        <v>1</v>
      </c>
      <c r="BC81" s="166"/>
    </row>
    <row r="82" spans="1:56" x14ac:dyDescent="0.25">
      <c r="A82" s="61" t="str">
        <f t="shared" si="31"/>
        <v>CV1GAS</v>
      </c>
      <c r="B82" s="61" t="str">
        <f t="shared" si="45"/>
        <v>TFHCV1GAS-N</v>
      </c>
      <c r="C82" s="61" t="s">
        <v>509</v>
      </c>
      <c r="D82" s="61" t="s">
        <v>551</v>
      </c>
      <c r="E82" s="61" t="s">
        <v>550</v>
      </c>
      <c r="F82" s="793">
        <f>F73</f>
        <v>4.8000000000000001E-2</v>
      </c>
      <c r="G82" s="794">
        <f>G73</f>
        <v>17100.2801251579</v>
      </c>
      <c r="H82" s="794">
        <f t="shared" ref="H82:L90" si="52">(EXP(-((H$58)*$F82))*G82)</f>
        <v>17100.2801251579</v>
      </c>
      <c r="I82" s="794">
        <f t="shared" si="52"/>
        <v>13451.556778491855</v>
      </c>
      <c r="J82" s="794">
        <f t="shared" si="52"/>
        <v>8323.5999284680747</v>
      </c>
      <c r="K82" s="794">
        <f t="shared" si="52"/>
        <v>1972.0918752186101</v>
      </c>
      <c r="L82" s="794">
        <f t="shared" si="52"/>
        <v>178.90413861851181</v>
      </c>
      <c r="M82" s="794">
        <f t="shared" si="33"/>
        <v>1</v>
      </c>
      <c r="N82" s="794">
        <f t="shared" si="34"/>
        <v>0.78662786106655347</v>
      </c>
      <c r="O82" s="794">
        <f t="shared" si="35"/>
        <v>0.48675225595997168</v>
      </c>
      <c r="P82" s="794">
        <f t="shared" si="36"/>
        <v>0.11532512103806254</v>
      </c>
      <c r="Q82" s="794">
        <f t="shared" si="37"/>
        <v>1.0462058943426802E-2</v>
      </c>
      <c r="R82" s="794">
        <f t="shared" si="38"/>
        <v>5.8478574191822851E-5</v>
      </c>
      <c r="S82" s="811" t="e">
        <f t="shared" ref="S82:S90" si="53">S73*(1+$AJ$55)</f>
        <v>#REF!</v>
      </c>
      <c r="T82" s="794" t="e">
        <f t="shared" ref="T82:X90" si="54">S82/((1+T$53)^(T$58-S$58))</f>
        <v>#REF!</v>
      </c>
      <c r="U82" s="794" t="e">
        <f t="shared" si="54"/>
        <v>#REF!</v>
      </c>
      <c r="V82" s="794" t="e">
        <f t="shared" si="54"/>
        <v>#REF!</v>
      </c>
      <c r="W82" s="794" t="e">
        <f t="shared" si="54"/>
        <v>#REF!</v>
      </c>
      <c r="X82" s="794" t="e">
        <f t="shared" si="54"/>
        <v>#REF!</v>
      </c>
      <c r="Y82" s="211"/>
      <c r="Z82" s="796" t="e">
        <f>Z72/S72*S82</f>
        <v>#REF!</v>
      </c>
      <c r="AA82" s="796">
        <f>1/SUMIFS('Vehicle eff data 2023'!Q$20:Q$117,'Vehicle eff data 2023'!$A$20:$A$117,Analytica!$C82,'Vehicle eff data 2023'!$D$20:$D$117,RIGHT(Analytica!$D82,3))</f>
        <v>0.14810797918786262</v>
      </c>
      <c r="AB82" s="796">
        <f>1/SUMIFS('Vehicle eff data 2023'!R$20:R$117,'Vehicle eff data 2023'!$A$20:$A$117,Analytica!$C82,'Vehicle eff data 2023'!$D$20:$D$117,RIGHT(Analytica!$D82,3))</f>
        <v>0.14855319325660585</v>
      </c>
      <c r="AC82" s="796">
        <f>1/SUMIFS('Vehicle eff data 2023'!S$20:S$117,'Vehicle eff data 2023'!$A$20:$A$117,Analytica!$C82,'Vehicle eff data 2023'!$D$20:$D$117,RIGHT(Analytica!$D82,3))</f>
        <v>0.15697631039073517</v>
      </c>
      <c r="AD82" s="796">
        <f>1/SUMIFS('Vehicle eff data 2023'!T$20:T$117,'Vehicle eff data 2023'!$A$20:$A$117,Analytica!$C82,'Vehicle eff data 2023'!$D$20:$D$117,RIGHT(Analytica!$D82,3))</f>
        <v>0.17357300053653429</v>
      </c>
      <c r="AE82" s="796">
        <f>1/SUMIFS('Vehicle eff data 2023'!U$20:U$117,'Vehicle eff data 2023'!$A$20:$A$117,Analytica!$C82,'Vehicle eff data 2023'!$D$20:$D$117,RIGHT(Analytica!$D82,3))</f>
        <v>0.19192441483854544</v>
      </c>
      <c r="AF82" s="796"/>
      <c r="AG82" s="802"/>
      <c r="AH82" s="797">
        <f>AH72*(1+$AR$57)</f>
        <v>537.9300300000001</v>
      </c>
      <c r="AI82" s="806">
        <f>AI72*(1+$AR$57)</f>
        <v>324.50781138188347</v>
      </c>
      <c r="AJ82" s="806"/>
      <c r="AK82" s="890"/>
      <c r="AL82" s="890"/>
      <c r="AM82" s="890"/>
      <c r="AN82" s="890"/>
      <c r="AO82" s="890"/>
      <c r="AP82" s="890"/>
      <c r="AQ82" s="890"/>
      <c r="AR82" s="893"/>
      <c r="AS82" s="891"/>
      <c r="AT82" s="892"/>
      <c r="AU82" s="893"/>
      <c r="AV82" s="893"/>
      <c r="AW82" s="893"/>
      <c r="AX82" s="893"/>
      <c r="AY82" s="894"/>
      <c r="BA82" s="164">
        <f t="shared" si="43"/>
        <v>0</v>
      </c>
      <c r="BB82" s="61" t="s">
        <v>524</v>
      </c>
      <c r="BC82" s="166">
        <f>AJ82*1000</f>
        <v>0</v>
      </c>
      <c r="BD82" s="166">
        <f>(BC82-BC72)/5.5</f>
        <v>0</v>
      </c>
    </row>
    <row r="83" spans="1:56" x14ac:dyDescent="0.25">
      <c r="A83" s="61" t="str">
        <f t="shared" si="31"/>
        <v>CV2GAS</v>
      </c>
      <c r="B83" s="61" t="str">
        <f t="shared" si="45"/>
        <v>TFHCV2GAS-N</v>
      </c>
      <c r="C83" s="61" t="s">
        <v>509</v>
      </c>
      <c r="D83" s="61" t="s">
        <v>549</v>
      </c>
      <c r="E83" s="61" t="s">
        <v>548</v>
      </c>
      <c r="F83" s="793">
        <f t="shared" ref="F83:F90" si="55">F74</f>
        <v>4.8000000000000001E-2</v>
      </c>
      <c r="G83" s="794">
        <f t="shared" ref="G83:G90" si="56">G73</f>
        <v>17100.2801251579</v>
      </c>
      <c r="H83" s="794">
        <f t="shared" si="52"/>
        <v>17100.2801251579</v>
      </c>
      <c r="I83" s="794">
        <f t="shared" si="52"/>
        <v>13451.556778491855</v>
      </c>
      <c r="J83" s="794">
        <f t="shared" si="52"/>
        <v>8323.5999284680747</v>
      </c>
      <c r="K83" s="794">
        <f t="shared" si="52"/>
        <v>1972.0918752186101</v>
      </c>
      <c r="L83" s="794">
        <f t="shared" si="52"/>
        <v>178.90413861851181</v>
      </c>
      <c r="M83" s="794">
        <f t="shared" si="33"/>
        <v>1</v>
      </c>
      <c r="N83" s="794">
        <f t="shared" si="34"/>
        <v>0.78662786106655347</v>
      </c>
      <c r="O83" s="794">
        <f t="shared" si="35"/>
        <v>0.48675225595997168</v>
      </c>
      <c r="P83" s="794">
        <f t="shared" si="36"/>
        <v>0.11532512103806254</v>
      </c>
      <c r="Q83" s="794">
        <f t="shared" si="37"/>
        <v>1.0462058943426802E-2</v>
      </c>
      <c r="R83" s="794">
        <f t="shared" si="38"/>
        <v>5.8478574191822851E-5</v>
      </c>
      <c r="S83" s="811">
        <f t="shared" si="53"/>
        <v>26.087942530699998</v>
      </c>
      <c r="T83" s="794">
        <f t="shared" si="54"/>
        <v>24.944195417929475</v>
      </c>
      <c r="U83" s="794">
        <f t="shared" si="54"/>
        <v>23.496818472620845</v>
      </c>
      <c r="V83" s="794">
        <f t="shared" si="54"/>
        <v>21.80512163210318</v>
      </c>
      <c r="W83" s="794">
        <f t="shared" si="54"/>
        <v>20.235221629891608</v>
      </c>
      <c r="X83" s="794">
        <f t="shared" si="54"/>
        <v>18.778349477674478</v>
      </c>
      <c r="Y83" s="211"/>
      <c r="Z83" s="796" t="e">
        <f t="shared" ref="Z83:Z90" si="57">Z74/S73*S83</f>
        <v>#REF!</v>
      </c>
      <c r="AA83" s="796">
        <f>1/SUMIFS('Vehicle eff data 2023'!Q$20:Q$117,'Vehicle eff data 2023'!$A$20:$A$117,Analytica!$C83,'Vehicle eff data 2023'!$D$20:$D$117,RIGHT(Analytica!$D83,3))</f>
        <v>0.11863637247423742</v>
      </c>
      <c r="AB83" s="796">
        <f>1/SUMIFS('Vehicle eff data 2023'!R$20:R$117,'Vehicle eff data 2023'!$A$20:$A$117,Analytica!$C83,'Vehicle eff data 2023'!$D$20:$D$117,RIGHT(Analytica!$D83,3))</f>
        <v>0.11899299459804072</v>
      </c>
      <c r="AC83" s="796">
        <f>1/SUMIFS('Vehicle eff data 2023'!S$20:S$117,'Vehicle eff data 2023'!$A$20:$A$117,Analytica!$C83,'Vehicle eff data 2023'!$D$20:$D$117,RIGHT(Analytica!$D83,3))</f>
        <v>0.12574001840592877</v>
      </c>
      <c r="AD83" s="796">
        <f>1/SUMIFS('Vehicle eff data 2023'!T$20:T$117,'Vehicle eff data 2023'!$A$20:$A$117,Analytica!$C83,'Vehicle eff data 2023'!$D$20:$D$117,RIGHT(Analytica!$D83,3))</f>
        <v>0.13903417801011222</v>
      </c>
      <c r="AE83" s="796">
        <f>1/SUMIFS('Vehicle eff data 2023'!U$20:U$117,'Vehicle eff data 2023'!$A$20:$A$117,Analytica!$C83,'Vehicle eff data 2023'!$D$20:$D$117,RIGHT(Analytica!$D83,3))</f>
        <v>0.15373389395047296</v>
      </c>
      <c r="AF83" s="796"/>
      <c r="AG83" s="802"/>
      <c r="AH83" s="797"/>
      <c r="AI83" s="806">
        <f t="shared" ref="AI83:AI90" si="58">AI74*(1+$AR$57)</f>
        <v>419.61367137546472</v>
      </c>
      <c r="AJ83" s="806"/>
      <c r="AK83" s="890"/>
      <c r="AL83" s="890"/>
      <c r="AM83" s="890"/>
      <c r="AN83" s="890"/>
      <c r="AO83" s="890"/>
      <c r="AP83" s="890"/>
      <c r="AQ83" s="890"/>
      <c r="AR83" s="893"/>
      <c r="AS83" s="891"/>
      <c r="AT83" s="892"/>
      <c r="AU83" s="893"/>
      <c r="AV83" s="893"/>
      <c r="AW83" s="893"/>
      <c r="AX83" s="893"/>
      <c r="AY83" s="894"/>
      <c r="BA83" s="164">
        <f t="shared" si="43"/>
        <v>0</v>
      </c>
      <c r="BC83" s="166"/>
      <c r="BD83" s="166"/>
    </row>
    <row r="84" spans="1:56" x14ac:dyDescent="0.25">
      <c r="A84" s="61" t="str">
        <f t="shared" si="31"/>
        <v>CV3GAS</v>
      </c>
      <c r="B84" s="61" t="str">
        <f t="shared" si="45"/>
        <v>TFHCV3GAS-N</v>
      </c>
      <c r="C84" s="61" t="s">
        <v>509</v>
      </c>
      <c r="D84" s="61" t="s">
        <v>547</v>
      </c>
      <c r="E84" s="61" t="s">
        <v>546</v>
      </c>
      <c r="F84" s="793">
        <f t="shared" si="55"/>
        <v>8.4999999999999992E-2</v>
      </c>
      <c r="G84" s="794">
        <f t="shared" si="56"/>
        <v>30096.280108149898</v>
      </c>
      <c r="H84" s="794">
        <f t="shared" si="52"/>
        <v>30096.280108149898</v>
      </c>
      <c r="I84" s="794">
        <f t="shared" si="52"/>
        <v>19676.038579512857</v>
      </c>
      <c r="J84" s="794">
        <f t="shared" si="52"/>
        <v>8409.8326904830083</v>
      </c>
      <c r="K84" s="794">
        <f t="shared" si="52"/>
        <v>656.65374726387358</v>
      </c>
      <c r="L84" s="794">
        <f t="shared" si="52"/>
        <v>9.3666626481927722</v>
      </c>
      <c r="M84" s="794">
        <f t="shared" si="33"/>
        <v>1</v>
      </c>
      <c r="N84" s="794">
        <f t="shared" si="34"/>
        <v>0.65376978512984729</v>
      </c>
      <c r="O84" s="794">
        <f t="shared" si="35"/>
        <v>0.27943096822140734</v>
      </c>
      <c r="P84" s="794">
        <f t="shared" si="36"/>
        <v>2.1818435531042773E-2</v>
      </c>
      <c r="Q84" s="794">
        <f t="shared" si="37"/>
        <v>3.112232679432145E-4</v>
      </c>
      <c r="R84" s="794">
        <f t="shared" si="38"/>
        <v>3.3226697665177755E-5</v>
      </c>
      <c r="S84" s="811">
        <f t="shared" si="53"/>
        <v>26.566620375299998</v>
      </c>
      <c r="T84" s="794">
        <f t="shared" si="54"/>
        <v>25.401887076974052</v>
      </c>
      <c r="U84" s="794">
        <f t="shared" si="54"/>
        <v>23.927952756522146</v>
      </c>
      <c r="V84" s="794">
        <f t="shared" si="54"/>
        <v>22.205215607004156</v>
      </c>
      <c r="W84" s="794">
        <f t="shared" si="54"/>
        <v>20.606510100164851</v>
      </c>
      <c r="X84" s="794">
        <f t="shared" si="54"/>
        <v>19.122906348824472</v>
      </c>
      <c r="Y84" s="211"/>
      <c r="Z84" s="796">
        <f t="shared" si="57"/>
        <v>0.12917075654086085</v>
      </c>
      <c r="AA84" s="796">
        <f>1/SUMIFS('Vehicle eff data 2023'!Q$20:Q$117,'Vehicle eff data 2023'!$A$20:$A$117,Analytica!$C84,'Vehicle eff data 2023'!$D$20:$D$117,RIGHT(Analytica!$D84,3))</f>
        <v>0.10372327688440522</v>
      </c>
      <c r="AB84" s="796">
        <f>1/SUMIFS('Vehicle eff data 2023'!R$20:R$117,'Vehicle eff data 2023'!$A$20:$A$117,Analytica!$C84,'Vehicle eff data 2023'!$D$20:$D$117,RIGHT(Analytica!$D84,3))</f>
        <v>0.10403507009351054</v>
      </c>
      <c r="AC84" s="796">
        <f>1/SUMIFS('Vehicle eff data 2023'!S$20:S$117,'Vehicle eff data 2023'!$A$20:$A$117,Analytica!$C84,'Vehicle eff data 2023'!$D$20:$D$117,RIGHT(Analytica!$D84,3))</f>
        <v>0.10993396436999574</v>
      </c>
      <c r="AD84" s="796">
        <f>1/SUMIFS('Vehicle eff data 2023'!T$20:T$117,'Vehicle eff data 2023'!$A$20:$A$117,Analytica!$C84,'Vehicle eff data 2023'!$D$20:$D$117,RIGHT(Analytica!$D84,3))</f>
        <v>0.12155699168288527</v>
      </c>
      <c r="AE84" s="796">
        <f>1/SUMIFS('Vehicle eff data 2023'!U$20:U$117,'Vehicle eff data 2023'!$A$20:$A$117,Analytica!$C84,'Vehicle eff data 2023'!$D$20:$D$117,RIGHT(Analytica!$D84,3))</f>
        <v>0.13440889093440059</v>
      </c>
      <c r="AF84" s="796"/>
      <c r="AG84" s="802"/>
      <c r="AH84" s="797"/>
      <c r="AI84" s="806">
        <f t="shared" si="58"/>
        <v>582.23027542662123</v>
      </c>
      <c r="AJ84" s="806"/>
      <c r="AK84" s="890"/>
      <c r="AL84" s="890"/>
      <c r="AM84" s="890"/>
      <c r="AN84" s="890"/>
      <c r="AO84" s="890"/>
      <c r="AP84" s="890"/>
      <c r="AQ84" s="890"/>
      <c r="AR84" s="893"/>
      <c r="AS84" s="891"/>
      <c r="AT84" s="892"/>
      <c r="AU84" s="893"/>
      <c r="AV84" s="893"/>
      <c r="AW84" s="893"/>
      <c r="AX84" s="893"/>
      <c r="AY84" s="894"/>
      <c r="BA84" s="164">
        <f t="shared" si="43"/>
        <v>0</v>
      </c>
      <c r="BC84" s="166"/>
      <c r="BD84" s="166"/>
    </row>
    <row r="85" spans="1:56" x14ac:dyDescent="0.25">
      <c r="A85" s="61" t="str">
        <f t="shared" si="31"/>
        <v>CV4GAS</v>
      </c>
      <c r="B85" s="61" t="str">
        <f t="shared" si="45"/>
        <v>TFHCV4GAS-N</v>
      </c>
      <c r="C85" s="61" t="s">
        <v>509</v>
      </c>
      <c r="D85" s="61" t="s">
        <v>545</v>
      </c>
      <c r="E85" s="61" t="s">
        <v>544</v>
      </c>
      <c r="F85" s="793">
        <f t="shared" si="55"/>
        <v>8.4999999999999992E-2</v>
      </c>
      <c r="G85" s="794">
        <f t="shared" si="56"/>
        <v>54512.527353451602</v>
      </c>
      <c r="H85" s="794">
        <f t="shared" si="52"/>
        <v>54512.527353451602</v>
      </c>
      <c r="I85" s="794">
        <f t="shared" si="52"/>
        <v>35638.643294750975</v>
      </c>
      <c r="J85" s="794">
        <f t="shared" si="52"/>
        <v>15232.488298570934</v>
      </c>
      <c r="K85" s="794">
        <f t="shared" si="52"/>
        <v>1189.3780636954896</v>
      </c>
      <c r="L85" s="794">
        <f t="shared" si="52"/>
        <v>16.965566906785078</v>
      </c>
      <c r="M85" s="794">
        <f t="shared" si="33"/>
        <v>1</v>
      </c>
      <c r="N85" s="794">
        <f t="shared" si="34"/>
        <v>0.65376978512984729</v>
      </c>
      <c r="O85" s="794">
        <f t="shared" si="35"/>
        <v>0.27943096822140734</v>
      </c>
      <c r="P85" s="794">
        <f t="shared" si="36"/>
        <v>2.1818435531042773E-2</v>
      </c>
      <c r="Q85" s="794">
        <f t="shared" si="37"/>
        <v>3.112232679432145E-4</v>
      </c>
      <c r="R85" s="794">
        <f t="shared" si="38"/>
        <v>1.8344407213339054E-5</v>
      </c>
      <c r="S85" s="812">
        <f t="shared" si="53"/>
        <v>30.635382054399997</v>
      </c>
      <c r="T85" s="794">
        <f t="shared" si="54"/>
        <v>29.292266178852962</v>
      </c>
      <c r="U85" s="794">
        <f t="shared" si="54"/>
        <v>27.592594169683196</v>
      </c>
      <c r="V85" s="794">
        <f t="shared" si="54"/>
        <v>25.606014393662452</v>
      </c>
      <c r="W85" s="794">
        <f t="shared" si="54"/>
        <v>23.762462097487397</v>
      </c>
      <c r="X85" s="813">
        <f t="shared" si="54"/>
        <v>22.051639753599392</v>
      </c>
      <c r="Y85" s="211"/>
      <c r="Z85" s="796">
        <f t="shared" si="57"/>
        <v>0.12684335552210657</v>
      </c>
      <c r="AA85" s="796">
        <f>1/SUMIFS('Vehicle eff data 2023'!Q$20:Q$117,'Vehicle eff data 2023'!$A$20:$A$117,Analytica!$C85,'Vehicle eff data 2023'!$D$20:$D$117,RIGHT(Analytica!$D85,3))</f>
        <v>8.9140422453578269E-2</v>
      </c>
      <c r="AB85" s="796">
        <f>1/SUMIFS('Vehicle eff data 2023'!R$20:R$117,'Vehicle eff data 2023'!$A$20:$A$117,Analytica!$C85,'Vehicle eff data 2023'!$D$20:$D$117,RIGHT(Analytica!$D85,3))</f>
        <v>8.9408379456216935E-2</v>
      </c>
      <c r="AC85" s="796">
        <f>1/SUMIFS('Vehicle eff data 2023'!S$20:S$117,'Vehicle eff data 2023'!$A$20:$A$117,Analytica!$C85,'Vehicle eff data 2023'!$D$20:$D$117,RIGHT(Analytica!$D85,3))</f>
        <v>9.4477925498431731E-2</v>
      </c>
      <c r="AD85" s="796">
        <f>1/SUMIFS('Vehicle eff data 2023'!T$20:T$117,'Vehicle eff data 2023'!$A$20:$A$117,Analytica!$C85,'Vehicle eff data 2023'!$D$20:$D$117,RIGHT(Analytica!$D85,3))</f>
        <v>0.10446682669767859</v>
      </c>
      <c r="AE85" s="796">
        <f>1/SUMIFS('Vehicle eff data 2023'!U$20:U$117,'Vehicle eff data 2023'!$A$20:$A$117,Analytica!$C85,'Vehicle eff data 2023'!$D$20:$D$117,RIGHT(Analytica!$D85,3))</f>
        <v>0.11551182800329342</v>
      </c>
      <c r="AF85" s="796"/>
      <c r="AG85" s="802"/>
      <c r="AH85" s="797"/>
      <c r="AI85" s="806">
        <f t="shared" si="58"/>
        <v>829.74081227272734</v>
      </c>
      <c r="AJ85" s="806"/>
      <c r="AK85" s="890"/>
      <c r="AL85" s="890"/>
      <c r="AM85" s="890"/>
      <c r="AN85" s="890"/>
      <c r="AO85" s="890"/>
      <c r="AP85" s="890"/>
      <c r="AQ85" s="890"/>
      <c r="AR85" s="893"/>
      <c r="AS85" s="891"/>
      <c r="AT85" s="892"/>
      <c r="AU85" s="893"/>
      <c r="AV85" s="893"/>
      <c r="AW85" s="893"/>
      <c r="AX85" s="893"/>
      <c r="AY85" s="894"/>
      <c r="BA85" s="164">
        <f t="shared" si="43"/>
        <v>0</v>
      </c>
      <c r="BC85" s="166"/>
      <c r="BD85" s="166"/>
    </row>
    <row r="86" spans="1:56" x14ac:dyDescent="0.25">
      <c r="A86" s="61" t="str">
        <f t="shared" si="31"/>
        <v>CV5GAS</v>
      </c>
      <c r="B86" s="61" t="str">
        <f t="shared" si="45"/>
        <v>TFHCV5GAS-N</v>
      </c>
      <c r="C86" s="61" t="s">
        <v>509</v>
      </c>
      <c r="D86" s="61" t="s">
        <v>543</v>
      </c>
      <c r="E86" s="61" t="s">
        <v>542</v>
      </c>
      <c r="F86" s="793">
        <f t="shared" si="55"/>
        <v>0.11</v>
      </c>
      <c r="G86" s="794">
        <f t="shared" si="56"/>
        <v>53608.118344618502</v>
      </c>
      <c r="H86" s="794">
        <f t="shared" si="52"/>
        <v>53608.118344618502</v>
      </c>
      <c r="I86" s="794">
        <f t="shared" si="52"/>
        <v>30929.193713782333</v>
      </c>
      <c r="J86" s="794">
        <f t="shared" si="52"/>
        <v>10295.434229414555</v>
      </c>
      <c r="K86" s="794">
        <f t="shared" si="52"/>
        <v>379.72822415195355</v>
      </c>
      <c r="L86" s="794">
        <f t="shared" si="52"/>
        <v>1.5518624608428848</v>
      </c>
      <c r="M86" s="794">
        <f t="shared" si="33"/>
        <v>1</v>
      </c>
      <c r="N86" s="794">
        <f t="shared" si="34"/>
        <v>0.57694981038048665</v>
      </c>
      <c r="O86" s="794">
        <f t="shared" si="35"/>
        <v>0.19204990862075411</v>
      </c>
      <c r="P86" s="794">
        <f t="shared" si="36"/>
        <v>7.0834089290521219E-3</v>
      </c>
      <c r="Q86" s="794">
        <f t="shared" si="37"/>
        <v>2.8948273298211554E-5</v>
      </c>
      <c r="R86" s="794">
        <f t="shared" si="38"/>
        <v>1.8653891068728135E-5</v>
      </c>
      <c r="S86" s="812">
        <f t="shared" si="53"/>
        <v>38.533566490299997</v>
      </c>
      <c r="T86" s="794">
        <f t="shared" si="54"/>
        <v>36.84417855308849</v>
      </c>
      <c r="U86" s="794">
        <f t="shared" si="54"/>
        <v>34.706309854054645</v>
      </c>
      <c r="V86" s="794">
        <f t="shared" si="54"/>
        <v>32.207564979528556</v>
      </c>
      <c r="W86" s="794">
        <f t="shared" si="54"/>
        <v>29.888721856995868</v>
      </c>
      <c r="X86" s="813">
        <f t="shared" si="54"/>
        <v>27.736828127574235</v>
      </c>
      <c r="Y86" s="211"/>
      <c r="Z86" s="796">
        <f t="shared" si="57"/>
        <v>0.1099969723668268</v>
      </c>
      <c r="AA86" s="796">
        <f>1/SUMIFS('Vehicle eff data 2023'!Q$20:Q$117,'Vehicle eff data 2023'!$A$20:$A$117,Analytica!$C86,'Vehicle eff data 2023'!$D$20:$D$117,RIGHT(Analytica!$D86,3))</f>
        <v>8.2121371165139845E-2</v>
      </c>
      <c r="AB86" s="796">
        <f>1/SUMIFS('Vehicle eff data 2023'!R$20:R$117,'Vehicle eff data 2023'!$A$20:$A$117,Analytica!$C86,'Vehicle eff data 2023'!$D$20:$D$117,RIGHT(Analytica!$D86,3))</f>
        <v>8.2368228829309525E-2</v>
      </c>
      <c r="AC86" s="796">
        <f>1/SUMIFS('Vehicle eff data 2023'!S$20:S$117,'Vehicle eff data 2023'!$A$20:$A$117,Analytica!$C86,'Vehicle eff data 2023'!$D$20:$D$117,RIGHT(Analytica!$D86,3))</f>
        <v>8.7038591171245835E-2</v>
      </c>
      <c r="AD86" s="796">
        <f>1/SUMIFS('Vehicle eff data 2023'!T$20:T$117,'Vehicle eff data 2023'!$A$20:$A$117,Analytica!$C86,'Vehicle eff data 2023'!$D$20:$D$117,RIGHT(Analytica!$D86,3))</f>
        <v>9.6240951226724075E-2</v>
      </c>
      <c r="AE86" s="796">
        <f>1/SUMIFS('Vehicle eff data 2023'!U$20:U$117,'Vehicle eff data 2023'!$A$20:$A$117,Analytica!$C86,'Vehicle eff data 2023'!$D$20:$D$117,RIGHT(Analytica!$D86,3))</f>
        <v>0.10641625247358774</v>
      </c>
      <c r="AF86" s="796"/>
      <c r="AG86" s="802"/>
      <c r="AH86" s="797"/>
      <c r="AI86" s="806">
        <f t="shared" si="58"/>
        <v>904.92848297604041</v>
      </c>
      <c r="AJ86" s="806"/>
      <c r="AK86" s="890"/>
      <c r="AL86" s="890"/>
      <c r="AM86" s="890"/>
      <c r="AN86" s="890"/>
      <c r="AO86" s="890"/>
      <c r="AP86" s="890"/>
      <c r="AQ86" s="890"/>
      <c r="AR86" s="893"/>
      <c r="AS86" s="891"/>
      <c r="AT86" s="892"/>
      <c r="AU86" s="893"/>
      <c r="AV86" s="893"/>
      <c r="AW86" s="893"/>
      <c r="AX86" s="893"/>
      <c r="AY86" s="894"/>
      <c r="BA86" s="164">
        <f t="shared" si="43"/>
        <v>0</v>
      </c>
      <c r="BC86" s="166"/>
      <c r="BD86" s="166"/>
    </row>
    <row r="87" spans="1:56" x14ac:dyDescent="0.25">
      <c r="A87" s="61" t="str">
        <f t="shared" si="31"/>
        <v>CV6GAS</v>
      </c>
      <c r="B87" s="61" t="str">
        <f t="shared" si="45"/>
        <v>TFHCV6GAS-N</v>
      </c>
      <c r="C87" s="61" t="s">
        <v>509</v>
      </c>
      <c r="D87" s="61" t="s">
        <v>541</v>
      </c>
      <c r="E87" s="61" t="s">
        <v>540</v>
      </c>
      <c r="F87" s="793">
        <f t="shared" si="55"/>
        <v>0.11</v>
      </c>
      <c r="G87" s="794">
        <f t="shared" si="56"/>
        <v>56756.7653972318</v>
      </c>
      <c r="H87" s="794">
        <f t="shared" si="52"/>
        <v>56756.7653972318</v>
      </c>
      <c r="I87" s="794">
        <f t="shared" si="52"/>
        <v>32745.805033742654</v>
      </c>
      <c r="J87" s="794">
        <f t="shared" si="52"/>
        <v>10900.131608147945</v>
      </c>
      <c r="K87" s="794">
        <f t="shared" si="52"/>
        <v>402.03137879886822</v>
      </c>
      <c r="L87" s="794">
        <f t="shared" si="52"/>
        <v>1.6430103562415428</v>
      </c>
      <c r="M87" s="794">
        <f t="shared" si="33"/>
        <v>1</v>
      </c>
      <c r="N87" s="794">
        <f t="shared" si="34"/>
        <v>0.57694981038048665</v>
      </c>
      <c r="O87" s="794">
        <f t="shared" si="35"/>
        <v>0.19204990862075411</v>
      </c>
      <c r="P87" s="794">
        <f t="shared" si="36"/>
        <v>7.0834089290521219E-3</v>
      </c>
      <c r="Q87" s="794">
        <f t="shared" si="37"/>
        <v>2.8948273298211554E-5</v>
      </c>
      <c r="R87" s="794">
        <f t="shared" si="38"/>
        <v>1.761904493677811E-5</v>
      </c>
      <c r="S87" s="812">
        <f t="shared" si="53"/>
        <v>37.097532956499997</v>
      </c>
      <c r="T87" s="794">
        <f t="shared" si="54"/>
        <v>35.471103575954757</v>
      </c>
      <c r="U87" s="794">
        <f t="shared" si="54"/>
        <v>33.412907002350742</v>
      </c>
      <c r="V87" s="794">
        <f t="shared" si="54"/>
        <v>31.007283054825621</v>
      </c>
      <c r="W87" s="794">
        <f t="shared" si="54"/>
        <v>28.774856446176141</v>
      </c>
      <c r="X87" s="813">
        <f t="shared" si="54"/>
        <v>26.703157514124257</v>
      </c>
      <c r="Y87" s="211"/>
      <c r="Z87" s="796">
        <f t="shared" si="57"/>
        <v>8.7451009086669751E-2</v>
      </c>
      <c r="AA87" s="796">
        <f>1/SUMIFS('Vehicle eff data 2023'!Q$20:Q$117,'Vehicle eff data 2023'!$A$20:$A$117,Analytica!$C87,'Vehicle eff data 2023'!$D$20:$D$117,RIGHT(Analytica!$D87,3))</f>
        <v>5.6643542741085136E-2</v>
      </c>
      <c r="AB87" s="796">
        <f>1/SUMIFS('Vehicle eff data 2023'!R$20:R$117,'Vehicle eff data 2023'!$A$20:$A$117,Analytica!$C87,'Vehicle eff data 2023'!$D$20:$D$117,RIGHT(Analytica!$D87,3))</f>
        <v>5.6813813797851109E-2</v>
      </c>
      <c r="AC87" s="796">
        <f>1/SUMIFS('Vehicle eff data 2023'!S$20:S$117,'Vehicle eff data 2023'!$A$20:$A$117,Analytica!$C87,'Vehicle eff data 2023'!$D$20:$D$117,RIGHT(Analytica!$D87,3))</f>
        <v>6.0035214819027953E-2</v>
      </c>
      <c r="AD87" s="796">
        <f>1/SUMIFS('Vehicle eff data 2023'!T$20:T$117,'Vehicle eff data 2023'!$A$20:$A$117,Analytica!$C87,'Vehicle eff data 2023'!$D$20:$D$117,RIGHT(Analytica!$D87,3))</f>
        <v>6.6382579308024769E-2</v>
      </c>
      <c r="AE87" s="796">
        <f>1/SUMIFS('Vehicle eff data 2023'!U$20:U$117,'Vehicle eff data 2023'!$A$20:$A$117,Analytica!$C87,'Vehicle eff data 2023'!$D$20:$D$117,RIGHT(Analytica!$D87,3))</f>
        <v>7.3401033857707229E-2</v>
      </c>
      <c r="AF87" s="796"/>
      <c r="AG87" s="802"/>
      <c r="AH87" s="797"/>
      <c r="AI87" s="806">
        <f t="shared" si="58"/>
        <v>1169.6209727016771</v>
      </c>
      <c r="AJ87" s="806"/>
      <c r="AK87" s="890"/>
      <c r="AL87" s="890"/>
      <c r="AM87" s="890"/>
      <c r="AN87" s="890"/>
      <c r="AO87" s="890"/>
      <c r="AP87" s="890"/>
      <c r="AQ87" s="890"/>
      <c r="AR87" s="893"/>
      <c r="AS87" s="891"/>
      <c r="AT87" s="892"/>
      <c r="AU87" s="893"/>
      <c r="AV87" s="893"/>
      <c r="AW87" s="893"/>
      <c r="AX87" s="893"/>
      <c r="AY87" s="894"/>
      <c r="BA87" s="164">
        <f t="shared" si="43"/>
        <v>0</v>
      </c>
      <c r="BC87" s="166"/>
      <c r="BD87" s="166"/>
    </row>
    <row r="88" spans="1:56" x14ac:dyDescent="0.25">
      <c r="A88" s="61" t="str">
        <f t="shared" si="31"/>
        <v>CV7GAS</v>
      </c>
      <c r="B88" s="61" t="str">
        <f t="shared" si="45"/>
        <v>TFHCV7GAS-N</v>
      </c>
      <c r="C88" s="61" t="s">
        <v>509</v>
      </c>
      <c r="D88" s="61" t="s">
        <v>539</v>
      </c>
      <c r="E88" s="61" t="s">
        <v>538</v>
      </c>
      <c r="F88" s="793">
        <f t="shared" si="55"/>
        <v>0.16</v>
      </c>
      <c r="G88" s="794">
        <f t="shared" si="56"/>
        <v>64512.330335483297</v>
      </c>
      <c r="H88" s="794">
        <f t="shared" si="52"/>
        <v>64512.330335483297</v>
      </c>
      <c r="I88" s="794">
        <f t="shared" si="52"/>
        <v>28987.258562430718</v>
      </c>
      <c r="J88" s="794">
        <f t="shared" si="52"/>
        <v>5852.4265699655216</v>
      </c>
      <c r="K88" s="794">
        <f t="shared" si="52"/>
        <v>48.163990293780166</v>
      </c>
      <c r="L88" s="794">
        <f t="shared" si="52"/>
        <v>1.6157218754222567E-2</v>
      </c>
      <c r="M88" s="794">
        <f t="shared" si="33"/>
        <v>1</v>
      </c>
      <c r="N88" s="794">
        <f t="shared" si="34"/>
        <v>0.44932896411722156</v>
      </c>
      <c r="O88" s="794">
        <f t="shared" si="35"/>
        <v>9.0717953289412484E-2</v>
      </c>
      <c r="P88" s="794">
        <f t="shared" si="36"/>
        <v>7.4658580837667931E-4</v>
      </c>
      <c r="Q88" s="794">
        <f t="shared" si="37"/>
        <v>2.5045163723276199E-7</v>
      </c>
      <c r="R88" s="794">
        <f t="shared" si="38"/>
        <v>1.5500912690639181E-5</v>
      </c>
      <c r="S88" s="812">
        <f t="shared" si="53"/>
        <v>43.918692242049993</v>
      </c>
      <c r="T88" s="794">
        <f t="shared" si="54"/>
        <v>41.993209717339987</v>
      </c>
      <c r="U88" s="794">
        <f t="shared" si="54"/>
        <v>39.556570547944268</v>
      </c>
      <c r="V88" s="794">
        <f t="shared" si="54"/>
        <v>36.70862219716453</v>
      </c>
      <c r="W88" s="794">
        <f t="shared" si="54"/>
        <v>34.065717147569821</v>
      </c>
      <c r="X88" s="813">
        <f t="shared" si="54"/>
        <v>31.613092928011625</v>
      </c>
      <c r="Y88" s="211"/>
      <c r="Z88" s="796">
        <f t="shared" si="57"/>
        <v>9.0836209438411794E-2</v>
      </c>
      <c r="AA88" s="796">
        <f>1/SUMIFS('Vehicle eff data 2023'!Q$20:Q$117,'Vehicle eff data 2023'!$A$20:$A$117,Analytica!$C88,'Vehicle eff data 2023'!$D$20:$D$117,RIGHT(Analytica!$D88,3))</f>
        <v>6.1145949155644107E-2</v>
      </c>
      <c r="AB88" s="796">
        <f>1/SUMIFS('Vehicle eff data 2023'!R$20:R$117,'Vehicle eff data 2023'!$A$20:$A$117,Analytica!$C88,'Vehicle eff data 2023'!$D$20:$D$117,RIGHT(Analytica!$D88,3))</f>
        <v>6.1329754491183934E-2</v>
      </c>
      <c r="AC88" s="796">
        <f>1/SUMIFS('Vehicle eff data 2023'!S$20:S$117,'Vehicle eff data 2023'!$A$20:$A$117,Analytica!$C88,'Vehicle eff data 2023'!$D$20:$D$117,RIGHT(Analytica!$D88,3))</f>
        <v>6.4807213942320058E-2</v>
      </c>
      <c r="AD88" s="796">
        <f>1/SUMIFS('Vehicle eff data 2023'!T$20:T$117,'Vehicle eff data 2023'!$A$20:$A$117,Analytica!$C88,'Vehicle eff data 2023'!$D$20:$D$117,RIGHT(Analytica!$D88,3))</f>
        <v>7.1659109278220876E-2</v>
      </c>
      <c r="AE88" s="796">
        <f>1/SUMIFS('Vehicle eff data 2023'!U$20:U$117,'Vehicle eff data 2023'!$A$20:$A$117,Analytica!$C88,'Vehicle eff data 2023'!$D$20:$D$117,RIGHT(Analytica!$D88,3))</f>
        <v>7.9235437386928814E-2</v>
      </c>
      <c r="AF88" s="796"/>
      <c r="AG88" s="802"/>
      <c r="AH88" s="797"/>
      <c r="AI88" s="806">
        <f t="shared" si="58"/>
        <v>1309.4277306076999</v>
      </c>
      <c r="AJ88" s="806"/>
      <c r="AK88" s="890"/>
      <c r="AL88" s="890"/>
      <c r="AM88" s="890"/>
      <c r="AN88" s="890"/>
      <c r="AO88" s="890"/>
      <c r="AP88" s="890"/>
      <c r="AQ88" s="890"/>
      <c r="AR88" s="893"/>
      <c r="AS88" s="891"/>
      <c r="AT88" s="892"/>
      <c r="AU88" s="893"/>
      <c r="AV88" s="893"/>
      <c r="AW88" s="893"/>
      <c r="AX88" s="893"/>
      <c r="AY88" s="894"/>
      <c r="BA88" s="164">
        <f t="shared" si="43"/>
        <v>0</v>
      </c>
      <c r="BC88" s="166"/>
      <c r="BD88" s="166"/>
    </row>
    <row r="89" spans="1:56" x14ac:dyDescent="0.25">
      <c r="A89" s="61" t="str">
        <f t="shared" si="31"/>
        <v>CV8GAS</v>
      </c>
      <c r="B89" s="61" t="str">
        <f t="shared" si="45"/>
        <v>TFHCV8GAS-N</v>
      </c>
      <c r="C89" s="61" t="s">
        <v>509</v>
      </c>
      <c r="D89" s="61" t="s">
        <v>537</v>
      </c>
      <c r="E89" s="61" t="s">
        <v>536</v>
      </c>
      <c r="F89" s="793">
        <f t="shared" si="55"/>
        <v>0.16</v>
      </c>
      <c r="G89" s="794">
        <f t="shared" si="56"/>
        <v>92421.691229504097</v>
      </c>
      <c r="H89" s="794">
        <f t="shared" si="52"/>
        <v>92421.691229504097</v>
      </c>
      <c r="I89" s="794">
        <f t="shared" si="52"/>
        <v>41527.742782114779</v>
      </c>
      <c r="J89" s="794">
        <f t="shared" si="52"/>
        <v>8384.3066678866562</v>
      </c>
      <c r="K89" s="794">
        <f t="shared" si="52"/>
        <v>69.000723058119178</v>
      </c>
      <c r="L89" s="794">
        <f t="shared" si="52"/>
        <v>2.3147163884250102E-2</v>
      </c>
      <c r="M89" s="794">
        <f t="shared" si="33"/>
        <v>1</v>
      </c>
      <c r="N89" s="794">
        <f t="shared" si="34"/>
        <v>0.44932896411722156</v>
      </c>
      <c r="O89" s="794">
        <f t="shared" si="35"/>
        <v>9.0717953289412484E-2</v>
      </c>
      <c r="P89" s="794">
        <f t="shared" si="36"/>
        <v>7.4658580837667942E-4</v>
      </c>
      <c r="Q89" s="794">
        <f t="shared" si="37"/>
        <v>2.5045163723276199E-7</v>
      </c>
      <c r="R89" s="794">
        <f t="shared" si="38"/>
        <v>1.0819970795781829E-5</v>
      </c>
      <c r="S89" s="812">
        <f t="shared" si="53"/>
        <v>49.543156916100003</v>
      </c>
      <c r="T89" s="794">
        <f t="shared" si="54"/>
        <v>47.371086711113783</v>
      </c>
      <c r="U89" s="794">
        <f t="shared" si="54"/>
        <v>44.622398383784549</v>
      </c>
      <c r="V89" s="794">
        <f t="shared" si="54"/>
        <v>41.409726402251003</v>
      </c>
      <c r="W89" s="794">
        <f t="shared" si="54"/>
        <v>38.428356673280405</v>
      </c>
      <c r="X89" s="813">
        <f t="shared" si="54"/>
        <v>35.661636164024017</v>
      </c>
      <c r="Y89" s="211"/>
      <c r="Z89" s="796">
        <f t="shared" si="57"/>
        <v>7.6728133313099883E-2</v>
      </c>
      <c r="AA89" s="796">
        <f>1/SUMIFS('Vehicle eff data 2023'!Q$20:Q$117,'Vehicle eff data 2023'!$A$20:$A$117,Analytica!$C89,'Vehicle eff data 2023'!$D$20:$D$117,RIGHT(Analytica!$D89,3))</f>
        <v>6.0168354731601301E-2</v>
      </c>
      <c r="AB89" s="796">
        <f>1/SUMIFS('Vehicle eff data 2023'!R$20:R$117,'Vehicle eff data 2023'!$A$20:$A$117,Analytica!$C89,'Vehicle eff data 2023'!$D$20:$D$117,RIGHT(Analytica!$D89,3))</f>
        <v>6.0349221408511837E-2</v>
      </c>
      <c r="AC89" s="796">
        <f>1/SUMIFS('Vehicle eff data 2023'!S$20:S$117,'Vehicle eff data 2023'!$A$20:$A$117,Analytica!$C89,'Vehicle eff data 2023'!$D$20:$D$117,RIGHT(Analytica!$D89,3))</f>
        <v>6.3771083636672277E-2</v>
      </c>
      <c r="AD89" s="796">
        <f>1/SUMIFS('Vehicle eff data 2023'!T$20:T$117,'Vehicle eff data 2023'!$A$20:$A$117,Analytica!$C89,'Vehicle eff data 2023'!$D$20:$D$117,RIGHT(Analytica!$D89,3))</f>
        <v>7.0513431655588113E-2</v>
      </c>
      <c r="AE89" s="796">
        <f>1/SUMIFS('Vehicle eff data 2023'!U$20:U$117,'Vehicle eff data 2023'!$A$20:$A$117,Analytica!$C89,'Vehicle eff data 2023'!$D$20:$D$117,RIGHT(Analytica!$D89,3))</f>
        <v>7.7968630299203631E-2</v>
      </c>
      <c r="AF89" s="796"/>
      <c r="AG89" s="802"/>
      <c r="AH89" s="797"/>
      <c r="AI89" s="806">
        <f t="shared" si="58"/>
        <v>1465.9458249315746</v>
      </c>
      <c r="AJ89" s="806"/>
      <c r="AK89" s="890"/>
      <c r="AL89" s="890"/>
      <c r="AM89" s="890"/>
      <c r="AN89" s="890"/>
      <c r="AO89" s="890"/>
      <c r="AP89" s="890"/>
      <c r="AQ89" s="890"/>
      <c r="AR89" s="893"/>
      <c r="AS89" s="891"/>
      <c r="AT89" s="892"/>
      <c r="AU89" s="893"/>
      <c r="AV89" s="893"/>
      <c r="AW89" s="893"/>
      <c r="AX89" s="893"/>
      <c r="AY89" s="894"/>
      <c r="BA89" s="164">
        <f t="shared" si="43"/>
        <v>0</v>
      </c>
      <c r="BC89" s="166"/>
      <c r="BD89" s="166"/>
    </row>
    <row r="90" spans="1:56" ht="15.75" thickBot="1" x14ac:dyDescent="0.3">
      <c r="A90" s="61" t="str">
        <f t="shared" si="31"/>
        <v>CV9GAS</v>
      </c>
      <c r="B90" s="61" t="str">
        <f t="shared" si="45"/>
        <v>TFHCV9GAS-N</v>
      </c>
      <c r="C90" s="61" t="s">
        <v>509</v>
      </c>
      <c r="D90" s="61" t="s">
        <v>535</v>
      </c>
      <c r="E90" s="61" t="s">
        <v>534</v>
      </c>
      <c r="F90" s="793">
        <f t="shared" si="55"/>
        <v>0.18</v>
      </c>
      <c r="G90" s="794">
        <f t="shared" si="56"/>
        <v>116959.183879244</v>
      </c>
      <c r="H90" s="794">
        <f t="shared" si="52"/>
        <v>116959.183879244</v>
      </c>
      <c r="I90" s="794">
        <f t="shared" si="52"/>
        <v>47552.055593322402</v>
      </c>
      <c r="J90" s="794">
        <f t="shared" si="52"/>
        <v>7860.3019222272696</v>
      </c>
      <c r="K90" s="794">
        <f t="shared" si="52"/>
        <v>35.501689865113427</v>
      </c>
      <c r="L90" s="794">
        <f t="shared" si="52"/>
        <v>4.3812565909997049E-3</v>
      </c>
      <c r="M90" s="794">
        <f t="shared" si="33"/>
        <v>1</v>
      </c>
      <c r="N90" s="794">
        <f t="shared" si="34"/>
        <v>0.40656965974059917</v>
      </c>
      <c r="O90" s="794">
        <f t="shared" si="35"/>
        <v>6.7205512739749784E-2</v>
      </c>
      <c r="P90" s="794">
        <f t="shared" si="36"/>
        <v>3.0353913807886688E-4</v>
      </c>
      <c r="Q90" s="794">
        <f t="shared" si="37"/>
        <v>3.7459705562952537E-8</v>
      </c>
      <c r="R90" s="794">
        <f t="shared" si="38"/>
        <v>8.5499912604764987E-6</v>
      </c>
      <c r="S90" s="812">
        <f t="shared" si="53"/>
        <v>59.834730574999881</v>
      </c>
      <c r="T90" s="794">
        <f t="shared" si="54"/>
        <v>57.211457380572085</v>
      </c>
      <c r="U90" s="794">
        <f t="shared" si="54"/>
        <v>53.891785487662389</v>
      </c>
      <c r="V90" s="794">
        <f t="shared" si="54"/>
        <v>50.011746862621877</v>
      </c>
      <c r="W90" s="794">
        <f t="shared" si="54"/>
        <v>46.411058784154974</v>
      </c>
      <c r="X90" s="813">
        <f t="shared" si="54"/>
        <v>43.069608893748722</v>
      </c>
      <c r="Y90" s="211"/>
      <c r="Z90" s="796">
        <f t="shared" si="57"/>
        <v>6.8017451511854232E-2</v>
      </c>
      <c r="AA90" s="796">
        <f>1/SUMIFS('Vehicle eff data 2023'!Q$20:Q$117,'Vehicle eff data 2023'!$A$20:$A$117,Analytica!$C90,'Vehicle eff data 2023'!$D$20:$D$117,RIGHT(Analytica!$D90,3))</f>
        <v>4.7279447045137132E-2</v>
      </c>
      <c r="AB90" s="796">
        <f>1/SUMIFS('Vehicle eff data 2023'!R$20:R$117,'Vehicle eff data 2023'!$A$20:$A$117,Analytica!$C90,'Vehicle eff data 2023'!$D$20:$D$117,RIGHT(Analytica!$D90,3))</f>
        <v>4.7421569536459478E-2</v>
      </c>
      <c r="AC90" s="796">
        <f>1/SUMIFS('Vehicle eff data 2023'!S$20:S$117,'Vehicle eff data 2023'!$A$20:$A$117,Analytica!$C90,'Vehicle eff data 2023'!$D$20:$D$117,RIGHT(Analytica!$D90,3))</f>
        <v>5.0110420756236902E-2</v>
      </c>
      <c r="AD90" s="796">
        <f>1/SUMIFS('Vehicle eff data 2023'!T$20:T$117,'Vehicle eff data 2023'!$A$20:$A$117,Analytica!$C90,'Vehicle eff data 2023'!$D$20:$D$117,RIGHT(Analytica!$D90,3))</f>
        <v>5.5408463016860511E-2</v>
      </c>
      <c r="AE90" s="796">
        <f>1/SUMIFS('Vehicle eff data 2023'!U$20:U$117,'Vehicle eff data 2023'!$A$20:$A$117,Analytica!$C90,'Vehicle eff data 2023'!$D$20:$D$117,RIGHT(Analytica!$D90,3))</f>
        <v>6.1266653274083406E-2</v>
      </c>
      <c r="AF90" s="796"/>
      <c r="AG90" s="802"/>
      <c r="AH90" s="797"/>
      <c r="AI90" s="806">
        <f t="shared" si="58"/>
        <v>1641.1727897628796</v>
      </c>
      <c r="AJ90" s="806"/>
      <c r="AK90" s="890"/>
      <c r="AL90" s="890"/>
      <c r="AM90" s="890"/>
      <c r="AN90" s="890"/>
      <c r="AO90" s="890"/>
      <c r="AP90" s="890"/>
      <c r="AQ90" s="890"/>
      <c r="AR90" s="893"/>
      <c r="AS90" s="891"/>
      <c r="AT90" s="892"/>
      <c r="AU90" s="893"/>
      <c r="AV90" s="893"/>
      <c r="AW90" s="893"/>
      <c r="AX90" s="893"/>
      <c r="AY90" s="894"/>
      <c r="BA90" s="164">
        <f t="shared" si="43"/>
        <v>0</v>
      </c>
      <c r="BC90" s="166"/>
      <c r="BD90" s="166"/>
    </row>
    <row r="91" spans="1:56" x14ac:dyDescent="0.25">
      <c r="A91" s="61" t="str">
        <f t="shared" ref="A91:A128" si="59">RIGHT(D91,3)&amp;C91</f>
        <v>CV1ELC</v>
      </c>
      <c r="B91" s="61" t="str">
        <f t="shared" si="45"/>
        <v>TFHCV1ELC-N</v>
      </c>
      <c r="C91" s="61" t="s">
        <v>501</v>
      </c>
      <c r="D91" s="61" t="str">
        <f>D73</f>
        <v>TFHCV1</v>
      </c>
      <c r="E91" t="s">
        <v>1295</v>
      </c>
      <c r="F91" s="793">
        <f>F73</f>
        <v>4.8000000000000001E-2</v>
      </c>
      <c r="G91" s="211">
        <f>G72</f>
        <v>30805.1279861556</v>
      </c>
      <c r="H91" s="211">
        <f t="shared" ref="H91:M91" si="60">H73</f>
        <v>17100.2801251579</v>
      </c>
      <c r="I91" s="211">
        <f t="shared" si="60"/>
        <v>13451.556778491855</v>
      </c>
      <c r="J91" s="211">
        <f t="shared" si="60"/>
        <v>8323.5999284680747</v>
      </c>
      <c r="K91" s="211">
        <f t="shared" si="60"/>
        <v>1972.0918752186101</v>
      </c>
      <c r="L91" s="211">
        <f t="shared" si="60"/>
        <v>178.90413861851181</v>
      </c>
      <c r="M91" s="211">
        <f t="shared" si="60"/>
        <v>1</v>
      </c>
      <c r="N91" s="211">
        <f t="shared" ref="N91:N130" si="61">I91/$G91</f>
        <v>0.43666615456157937</v>
      </c>
      <c r="O91" s="211">
        <f t="shared" ref="O91:O130" si="62">J91/$G91</f>
        <v>0.27020176420655861</v>
      </c>
      <c r="P91" s="211">
        <f t="shared" ref="P91:P130" si="63">K91/$G91</f>
        <v>6.401829838541509E-2</v>
      </c>
      <c r="Q91" s="211">
        <f t="shared" ref="Q91:Q130" si="64">L91/$G91</f>
        <v>5.8076090025957587E-3</v>
      </c>
      <c r="R91" s="211">
        <f t="shared" ref="R91:R130" si="65">M91/$G91</f>
        <v>3.2462127748646868E-5</v>
      </c>
      <c r="S91" s="799" t="s">
        <v>532</v>
      </c>
      <c r="T91" s="800"/>
      <c r="U91" s="800"/>
      <c r="V91" s="800"/>
      <c r="W91" s="800"/>
      <c r="X91" s="801" t="s">
        <v>532</v>
      </c>
      <c r="Y91" s="211"/>
      <c r="Z91" s="796">
        <f t="shared" ref="Z91:Z107" si="66">(AA91/AB91)*AA91</f>
        <v>0.55601425097572121</v>
      </c>
      <c r="AA91" s="796">
        <f>1/SUMIFS('Vehicle eff data 2023'!Q$20:Q$117,'Vehicle eff data 2023'!$A$20:$A$117,Analytica!$C91,'Vehicle eff data 2023'!$D$20:$D$117,RIGHT(Analytica!$D91,3))</f>
        <v>0.55768563538264859</v>
      </c>
      <c r="AB91" s="796">
        <f>1/SUMIFS('Vehicle eff data 2023'!R$20:R$117,'Vehicle eff data 2023'!$A$20:$A$117,Analytica!$C91,'Vehicle eff data 2023'!$D$20:$D$117,RIGHT(Analytica!$D91,3))</f>
        <v>0.55936204398784217</v>
      </c>
      <c r="AC91" s="796">
        <f>1/SUMIFS('Vehicle eff data 2023'!S$20:S$117,'Vehicle eff data 2023'!$A$20:$A$117,Analytica!$C91,'Vehicle eff data 2023'!$D$20:$D$117,RIGHT(Analytica!$D91,3))</f>
        <v>0.59107844074517712</v>
      </c>
      <c r="AD91" s="796">
        <f>1/SUMIFS('Vehicle eff data 2023'!T$20:T$117,'Vehicle eff data 2023'!$A$20:$A$117,Analytica!$C91,'Vehicle eff data 2023'!$D$20:$D$117,RIGHT(Analytica!$D91,3))</f>
        <v>0.65357160107294576</v>
      </c>
      <c r="AE91" s="796">
        <f>1/SUMIFS('Vehicle eff data 2023'!U$20:U$117,'Vehicle eff data 2023'!$A$20:$A$117,Analytica!$C91,'Vehicle eff data 2023'!$D$20:$D$117,RIGHT(Analytica!$D91,3))</f>
        <v>0.72267199796787562</v>
      </c>
      <c r="AF91" s="796"/>
      <c r="AG91" s="211"/>
      <c r="AH91" s="211"/>
      <c r="AI91" s="211"/>
      <c r="AJ91" s="211"/>
      <c r="AK91" s="890"/>
      <c r="AL91" s="890"/>
      <c r="AM91" s="890"/>
      <c r="AN91" s="890"/>
      <c r="AO91" s="890"/>
      <c r="AP91" s="890"/>
      <c r="AQ91" s="890"/>
      <c r="AR91" s="893"/>
      <c r="AS91" s="891"/>
      <c r="AT91" s="892"/>
      <c r="AU91" s="893"/>
      <c r="AV91" s="893"/>
      <c r="AW91" s="893"/>
      <c r="AX91" s="893"/>
      <c r="AY91" s="894"/>
      <c r="BA91" s="74">
        <f t="shared" si="43"/>
        <v>0</v>
      </c>
      <c r="BB91" s="61" t="s">
        <v>533</v>
      </c>
    </row>
    <row r="92" spans="1:56" x14ac:dyDescent="0.25">
      <c r="A92" s="61" t="str">
        <f t="shared" si="59"/>
        <v>CV2ELC</v>
      </c>
      <c r="B92" s="61" t="str">
        <f t="shared" si="45"/>
        <v>TFHCV2ELC-N</v>
      </c>
      <c r="C92" s="61" t="s">
        <v>501</v>
      </c>
      <c r="D92" s="61" t="str">
        <f>D100</f>
        <v>TFHCV2</v>
      </c>
      <c r="E92" t="s">
        <v>994</v>
      </c>
      <c r="F92" s="793">
        <f>F74</f>
        <v>4.8000000000000001E-2</v>
      </c>
      <c r="G92" s="211">
        <f>G91</f>
        <v>30805.1279861556</v>
      </c>
      <c r="H92" s="211">
        <f t="shared" ref="H92:M93" si="67">H100</f>
        <v>17100.2801251579</v>
      </c>
      <c r="I92" s="211">
        <f t="shared" si="67"/>
        <v>13451.556778491855</v>
      </c>
      <c r="J92" s="211">
        <f t="shared" si="67"/>
        <v>8323.5999284680747</v>
      </c>
      <c r="K92" s="211">
        <f t="shared" si="67"/>
        <v>1972.0918752186101</v>
      </c>
      <c r="L92" s="211">
        <f t="shared" si="67"/>
        <v>178.90413861851181</v>
      </c>
      <c r="M92" s="211">
        <f t="shared" si="67"/>
        <v>1</v>
      </c>
      <c r="N92" s="211">
        <f t="shared" si="61"/>
        <v>0.43666615456157937</v>
      </c>
      <c r="O92" s="211">
        <f t="shared" si="62"/>
        <v>0.27020176420655861</v>
      </c>
      <c r="P92" s="211">
        <f t="shared" si="63"/>
        <v>6.401829838541509E-2</v>
      </c>
      <c r="Q92" s="211">
        <f t="shared" si="64"/>
        <v>5.8076090025957587E-3</v>
      </c>
      <c r="R92" s="211">
        <f t="shared" si="65"/>
        <v>3.2462127748646868E-5</v>
      </c>
      <c r="S92" s="814"/>
      <c r="T92" s="211"/>
      <c r="U92" s="211"/>
      <c r="V92" s="211"/>
      <c r="W92" s="211"/>
      <c r="X92" s="815"/>
      <c r="Y92" s="211"/>
      <c r="Z92" s="796">
        <f t="shared" si="66"/>
        <v>0.44537447706359251</v>
      </c>
      <c r="AA92" s="796">
        <f>1/SUMIFS('Vehicle eff data 2023'!Q$20:Q$117,'Vehicle eff data 2023'!$A$20:$A$117,Analytica!$C92,'Vehicle eff data 2023'!$D$20:$D$117,RIGHT(Analytica!$D92,3))</f>
        <v>0.44671327720208048</v>
      </c>
      <c r="AB92" s="796">
        <f>1/SUMIFS('Vehicle eff data 2023'!R$20:R$117,'Vehicle eff data 2023'!$A$20:$A$117,Analytica!$C92,'Vehicle eff data 2023'!$D$20:$D$117,RIGHT(Analytica!$D92,3))</f>
        <v>0.44805610178719285</v>
      </c>
      <c r="AC92" s="796">
        <f>1/SUMIFS('Vehicle eff data 2023'!S$20:S$117,'Vehicle eff data 2023'!$A$20:$A$117,Analytica!$C92,'Vehicle eff data 2023'!$D$20:$D$117,RIGHT(Analytica!$D92,3))</f>
        <v>0.47346133842519467</v>
      </c>
      <c r="AD92" s="796">
        <f>1/SUMIFS('Vehicle eff data 2023'!T$20:T$117,'Vehicle eff data 2023'!$A$20:$A$117,Analytica!$C92,'Vehicle eff data 2023'!$D$20:$D$117,RIGHT(Analytica!$D92,3))</f>
        <v>0.52351915358404844</v>
      </c>
      <c r="AE92" s="796">
        <f>1/SUMIFS('Vehicle eff data 2023'!U$20:U$117,'Vehicle eff data 2023'!$A$20:$A$117,Analytica!$C92,'Vehicle eff data 2023'!$D$20:$D$117,RIGHT(Analytica!$D92,3))</f>
        <v>0.57886944915283944</v>
      </c>
      <c r="AF92" s="796"/>
      <c r="AG92" s="211"/>
      <c r="AH92" s="211"/>
      <c r="AI92" s="211"/>
      <c r="AJ92" s="211"/>
      <c r="AK92" s="890"/>
      <c r="AL92" s="890"/>
      <c r="AM92" s="890"/>
      <c r="AN92" s="890"/>
      <c r="AO92" s="890"/>
      <c r="AP92" s="890"/>
      <c r="AQ92" s="890"/>
      <c r="AR92" s="893"/>
      <c r="AS92" s="891"/>
      <c r="AT92" s="892"/>
      <c r="AU92" s="893"/>
      <c r="AV92" s="893"/>
      <c r="AW92" s="893"/>
      <c r="AX92" s="893"/>
      <c r="AY92" s="894"/>
      <c r="BA92" s="74">
        <f t="shared" si="43"/>
        <v>0</v>
      </c>
      <c r="BB92" s="61" t="s">
        <v>533</v>
      </c>
    </row>
    <row r="93" spans="1:56" ht="15.75" thickBot="1" x14ac:dyDescent="0.3">
      <c r="A93" s="61" t="str">
        <f t="shared" si="59"/>
        <v>CV3ELC</v>
      </c>
      <c r="B93" s="61" t="str">
        <f t="shared" si="45"/>
        <v>TFHCV3ELC-N</v>
      </c>
      <c r="C93" s="61" t="s">
        <v>501</v>
      </c>
      <c r="D93" s="61" t="str">
        <f>D101</f>
        <v>TFHCV3</v>
      </c>
      <c r="E93" t="s">
        <v>995</v>
      </c>
      <c r="F93" s="793">
        <f>F75</f>
        <v>8.4999999999999992E-2</v>
      </c>
      <c r="G93" s="211">
        <f>G92</f>
        <v>30805.1279861556</v>
      </c>
      <c r="H93" s="211">
        <f t="shared" si="67"/>
        <v>30096.280108149898</v>
      </c>
      <c r="I93" s="211">
        <f t="shared" si="67"/>
        <v>19676.038579512857</v>
      </c>
      <c r="J93" s="211">
        <f t="shared" si="67"/>
        <v>8409.8326904830083</v>
      </c>
      <c r="K93" s="211">
        <f t="shared" si="67"/>
        <v>656.65374726387358</v>
      </c>
      <c r="L93" s="211">
        <f t="shared" si="67"/>
        <v>9.3666626481927722</v>
      </c>
      <c r="M93" s="211">
        <f t="shared" si="67"/>
        <v>1</v>
      </c>
      <c r="N93" s="211">
        <f t="shared" si="61"/>
        <v>0.63872607795545067</v>
      </c>
      <c r="O93" s="211">
        <f t="shared" si="62"/>
        <v>0.27300106314320605</v>
      </c>
      <c r="P93" s="211">
        <f t="shared" si="63"/>
        <v>2.1316377830307539E-2</v>
      </c>
      <c r="Q93" s="211">
        <f t="shared" si="64"/>
        <v>3.0406179946411275E-4</v>
      </c>
      <c r="R93" s="211">
        <f t="shared" si="65"/>
        <v>3.2462127748646868E-5</v>
      </c>
      <c r="S93" s="816" t="s">
        <v>532</v>
      </c>
      <c r="T93" s="817"/>
      <c r="U93" s="817"/>
      <c r="V93" s="817"/>
      <c r="W93" s="817"/>
      <c r="X93" s="818" t="s">
        <v>532</v>
      </c>
      <c r="Y93" s="211"/>
      <c r="Z93" s="796">
        <f t="shared" si="66"/>
        <v>0.38938901483814226</v>
      </c>
      <c r="AA93" s="796">
        <f>1/SUMIFS('Vehicle eff data 2023'!Q$20:Q$117,'Vehicle eff data 2023'!$A$20:$A$117,Analytica!$C93,'Vehicle eff data 2023'!$D$20:$D$117,RIGHT(Analytica!$D93,3))</f>
        <v>0.39055952211648487</v>
      </c>
      <c r="AB93" s="796">
        <f>1/SUMIFS('Vehicle eff data 2023'!R$20:R$117,'Vehicle eff data 2023'!$A$20:$A$117,Analytica!$C93,'Vehicle eff data 2023'!$D$20:$D$117,RIGHT(Analytica!$D93,3))</f>
        <v>0.39173354795142884</v>
      </c>
      <c r="AC93" s="796">
        <f>1/SUMIFS('Vehicle eff data 2023'!S$20:S$117,'Vehicle eff data 2023'!$A$20:$A$117,Analytica!$C93,'Vehicle eff data 2023'!$D$20:$D$117,RIGHT(Analytica!$D93,3))</f>
        <v>0.41394523850770848</v>
      </c>
      <c r="AD93" s="796">
        <f>1/SUMIFS('Vehicle eff data 2023'!T$20:T$117,'Vehicle eff data 2023'!$A$20:$A$117,Analytica!$C93,'Vehicle eff data 2023'!$D$20:$D$117,RIGHT(Analytica!$D93,3))</f>
        <v>0.45771057382321367</v>
      </c>
      <c r="AE93" s="796">
        <f>1/SUMIFS('Vehicle eff data 2023'!U$20:U$117,'Vehicle eff data 2023'!$A$20:$A$117,Analytica!$C93,'Vehicle eff data 2023'!$D$20:$D$117,RIGHT(Analytica!$D93,3))</f>
        <v>0.50610310229640254</v>
      </c>
      <c r="AF93" s="796"/>
      <c r="AG93" s="211"/>
      <c r="AH93" s="211"/>
      <c r="AI93" s="211"/>
      <c r="AJ93" s="211"/>
      <c r="AK93" s="890"/>
      <c r="AL93" s="890"/>
      <c r="AM93" s="890"/>
      <c r="AN93" s="890"/>
      <c r="AO93" s="890"/>
      <c r="AP93" s="890"/>
      <c r="AQ93" s="890"/>
      <c r="AR93" s="893"/>
      <c r="AS93" s="891"/>
      <c r="AT93" s="892"/>
      <c r="AU93" s="893"/>
      <c r="AV93" s="893"/>
      <c r="AW93" s="893"/>
      <c r="AX93" s="893"/>
      <c r="AY93" s="894"/>
      <c r="BA93" s="74">
        <f t="shared" si="43"/>
        <v>0</v>
      </c>
      <c r="BB93" s="61" t="s">
        <v>533</v>
      </c>
    </row>
    <row r="94" spans="1:56" x14ac:dyDescent="0.25">
      <c r="A94" s="61" t="str">
        <f t="shared" si="59"/>
        <v>CV4ELC</v>
      </c>
      <c r="B94" s="61" t="str">
        <f t="shared" si="45"/>
        <v>TFHCV4ELC-N</v>
      </c>
      <c r="C94" s="61" t="s">
        <v>501</v>
      </c>
      <c r="D94" s="61" t="str">
        <f t="shared" ref="D94:D99" si="68">D102</f>
        <v>TFHCV4</v>
      </c>
      <c r="E94" t="s">
        <v>1302</v>
      </c>
      <c r="F94" s="793">
        <f t="shared" ref="F94:F99" si="69">F76</f>
        <v>8.4999999999999992E-2</v>
      </c>
      <c r="G94" s="211">
        <f t="shared" ref="G94:G99" si="70">G93</f>
        <v>30805.1279861556</v>
      </c>
      <c r="H94" s="211">
        <f t="shared" ref="H94:M94" si="71">H102</f>
        <v>54512.527353451602</v>
      </c>
      <c r="I94" s="211">
        <f t="shared" si="71"/>
        <v>35638.643294750975</v>
      </c>
      <c r="J94" s="211">
        <f t="shared" si="71"/>
        <v>15232.488298570934</v>
      </c>
      <c r="K94" s="211">
        <f t="shared" si="71"/>
        <v>1189.3780636954896</v>
      </c>
      <c r="L94" s="211">
        <f t="shared" si="71"/>
        <v>16.965566906785078</v>
      </c>
      <c r="M94" s="211">
        <f t="shared" si="71"/>
        <v>1</v>
      </c>
      <c r="N94" s="211">
        <f t="shared" ref="N94:N99" si="72">I94/$G94</f>
        <v>1.1569061914226633</v>
      </c>
      <c r="O94" s="211">
        <f t="shared" ref="O94:O99" si="73">J94/$G94</f>
        <v>0.49447898107797827</v>
      </c>
      <c r="P94" s="211">
        <f t="shared" ref="P94:P99" si="74">K94/$G94</f>
        <v>3.8609742645121237E-2</v>
      </c>
      <c r="Q94" s="211">
        <f t="shared" ref="Q94:Q99" si="75">L94/$G94</f>
        <v>5.5073840025627295E-4</v>
      </c>
      <c r="R94" s="211">
        <f t="shared" ref="R94:R99" si="76">M94/$G94</f>
        <v>3.2462127748646868E-5</v>
      </c>
      <c r="S94" s="211"/>
      <c r="T94" s="211"/>
      <c r="U94" s="211"/>
      <c r="V94" s="211"/>
      <c r="W94" s="211"/>
      <c r="X94" s="819"/>
      <c r="Y94" s="211"/>
      <c r="Z94" s="796">
        <f t="shared" ref="Z94:Z99" si="77">(AA94/AB94)*AA94</f>
        <v>0.3346433155996188</v>
      </c>
      <c r="AA94" s="796">
        <f>1/SUMIFS('Vehicle eff data 2023'!Q$20:Q$117,'Vehicle eff data 2023'!$A$20:$A$117,Analytica!$C94,'Vehicle eff data 2023'!$D$20:$D$117,RIGHT(Analytica!$D94,3))</f>
        <v>0.33564925675777102</v>
      </c>
      <c r="AB94" s="796">
        <f>1/SUMIFS('Vehicle eff data 2023'!R$20:R$117,'Vehicle eff data 2023'!$A$20:$A$117,Analytica!$C94,'Vehicle eff data 2023'!$D$20:$D$117,RIGHT(Analytica!$D94,3))</f>
        <v>0.33665822178511917</v>
      </c>
      <c r="AC94" s="796">
        <f>1/SUMIFS('Vehicle eff data 2023'!S$20:S$117,'Vehicle eff data 2023'!$A$20:$A$117,Analytica!$C94,'Vehicle eff data 2023'!$D$20:$D$117,RIGHT(Analytica!$D94,3))</f>
        <v>0.35574708533694754</v>
      </c>
      <c r="AD94" s="796">
        <f>1/SUMIFS('Vehicle eff data 2023'!T$20:T$117,'Vehicle eff data 2023'!$A$20:$A$117,Analytica!$C94,'Vehicle eff data 2023'!$D$20:$D$117,RIGHT(Analytica!$D94,3))</f>
        <v>0.39335928383309043</v>
      </c>
      <c r="AE94" s="796">
        <f>1/SUMIFS('Vehicle eff data 2023'!U$20:U$117,'Vehicle eff data 2023'!$A$20:$A$117,Analytica!$C94,'Vehicle eff data 2023'!$D$20:$D$117,RIGHT(Analytica!$D94,3))</f>
        <v>0.43494812060407212</v>
      </c>
      <c r="AF94" s="796"/>
      <c r="AG94" s="211"/>
      <c r="AH94" s="211"/>
      <c r="AI94" s="211"/>
      <c r="AJ94" s="211"/>
      <c r="AK94" s="890"/>
      <c r="AL94" s="890"/>
      <c r="AM94" s="890"/>
      <c r="AN94" s="890"/>
      <c r="AO94" s="890"/>
      <c r="AP94" s="890"/>
      <c r="AQ94" s="890"/>
      <c r="AR94" s="893"/>
      <c r="AS94" s="891"/>
      <c r="AT94" s="892"/>
      <c r="AU94" s="893"/>
      <c r="AV94" s="893"/>
      <c r="AW94" s="893"/>
      <c r="AX94" s="893"/>
      <c r="AY94" s="894"/>
      <c r="BA94" s="74"/>
    </row>
    <row r="95" spans="1:56" x14ac:dyDescent="0.25">
      <c r="A95" s="61" t="str">
        <f t="shared" si="59"/>
        <v>CV5ELC</v>
      </c>
      <c r="B95" s="61" t="str">
        <f t="shared" si="45"/>
        <v>TFHCV5ELC-N</v>
      </c>
      <c r="C95" s="61" t="s">
        <v>501</v>
      </c>
      <c r="D95" s="61" t="str">
        <f t="shared" si="68"/>
        <v>TFHCV5</v>
      </c>
      <c r="E95" t="s">
        <v>1303</v>
      </c>
      <c r="F95" s="793">
        <f t="shared" si="69"/>
        <v>0.11</v>
      </c>
      <c r="G95" s="211">
        <f t="shared" si="70"/>
        <v>30805.1279861556</v>
      </c>
      <c r="H95" s="211">
        <f t="shared" ref="H95:M95" si="78">H103</f>
        <v>53608.118344618502</v>
      </c>
      <c r="I95" s="211">
        <f t="shared" si="78"/>
        <v>30929.193713782333</v>
      </c>
      <c r="J95" s="211">
        <f t="shared" si="78"/>
        <v>10295.434229414555</v>
      </c>
      <c r="K95" s="211">
        <f t="shared" si="78"/>
        <v>379.72822415195355</v>
      </c>
      <c r="L95" s="211">
        <f t="shared" si="78"/>
        <v>1.5518624608428848</v>
      </c>
      <c r="M95" s="211">
        <f t="shared" si="78"/>
        <v>1</v>
      </c>
      <c r="N95" s="211">
        <f t="shared" si="72"/>
        <v>1.0040274374994478</v>
      </c>
      <c r="O95" s="211">
        <f t="shared" si="73"/>
        <v>0.33421170118304705</v>
      </c>
      <c r="P95" s="211">
        <f t="shared" si="74"/>
        <v>1.232678612218753E-2</v>
      </c>
      <c r="Q95" s="211">
        <f t="shared" si="75"/>
        <v>5.037675745221123E-5</v>
      </c>
      <c r="R95" s="211">
        <f t="shared" si="76"/>
        <v>3.2462127748646868E-5</v>
      </c>
      <c r="S95" s="211"/>
      <c r="T95" s="211"/>
      <c r="U95" s="211"/>
      <c r="V95" s="211"/>
      <c r="W95" s="211"/>
      <c r="X95" s="819"/>
      <c r="Y95" s="211"/>
      <c r="Z95" s="796">
        <f t="shared" si="77"/>
        <v>0.30829299628460727</v>
      </c>
      <c r="AA95" s="796">
        <f>1/SUMIFS('Vehicle eff data 2023'!Q$20:Q$117,'Vehicle eff data 2023'!$A$20:$A$117,Analytica!$C95,'Vehicle eff data 2023'!$D$20:$D$117,RIGHT(Analytica!$D95,3))</f>
        <v>0.30921972811899956</v>
      </c>
      <c r="AB95" s="796">
        <f>1/SUMIFS('Vehicle eff data 2023'!R$20:R$117,'Vehicle eff data 2023'!$A$20:$A$117,Analytica!$C95,'Vehicle eff data 2023'!$D$20:$D$117,RIGHT(Analytica!$D95,3))</f>
        <v>0.31014924571856728</v>
      </c>
      <c r="AC95" s="796">
        <f>1/SUMIFS('Vehicle eff data 2023'!S$20:S$117,'Vehicle eff data 2023'!$A$20:$A$117,Analytica!$C95,'Vehicle eff data 2023'!$D$20:$D$117,RIGHT(Analytica!$D95,3))</f>
        <v>0.32773502336817145</v>
      </c>
      <c r="AD95" s="796">
        <f>1/SUMIFS('Vehicle eff data 2023'!T$20:T$117,'Vehicle eff data 2023'!$A$20:$A$117,Analytica!$C95,'Vehicle eff data 2023'!$D$20:$D$117,RIGHT(Analytica!$D95,3))</f>
        <v>0.36238558063524301</v>
      </c>
      <c r="AE95" s="796">
        <f>1/SUMIFS('Vehicle eff data 2023'!U$20:U$117,'Vehicle eff data 2023'!$A$20:$A$117,Analytica!$C95,'Vehicle eff data 2023'!$D$20:$D$117,RIGHT(Analytica!$D95,3))</f>
        <v>0.40069964968259147</v>
      </c>
      <c r="AF95" s="796"/>
      <c r="AG95" s="211"/>
      <c r="AH95" s="211"/>
      <c r="AI95" s="211"/>
      <c r="AJ95" s="211"/>
      <c r="AK95" s="890"/>
      <c r="AL95" s="890"/>
      <c r="AM95" s="890"/>
      <c r="AN95" s="890"/>
      <c r="AO95" s="890"/>
      <c r="AP95" s="890"/>
      <c r="AQ95" s="890"/>
      <c r="AR95" s="893"/>
      <c r="AS95" s="891"/>
      <c r="AT95" s="892"/>
      <c r="AU95" s="893"/>
      <c r="AV95" s="893"/>
      <c r="AW95" s="893"/>
      <c r="AX95" s="893"/>
      <c r="AY95" s="894"/>
      <c r="BA95" s="74"/>
    </row>
    <row r="96" spans="1:56" x14ac:dyDescent="0.25">
      <c r="A96" s="840" t="str">
        <f t="shared" si="59"/>
        <v>CV6ELC</v>
      </c>
      <c r="B96" s="840" t="str">
        <f t="shared" si="45"/>
        <v>TFHCV6ELC-N</v>
      </c>
      <c r="C96" s="840" t="s">
        <v>501</v>
      </c>
      <c r="D96" s="840" t="str">
        <f t="shared" si="68"/>
        <v>TFHCV6</v>
      </c>
      <c r="E96" s="841" t="s">
        <v>1304</v>
      </c>
      <c r="F96" s="842">
        <f t="shared" si="69"/>
        <v>0.11</v>
      </c>
      <c r="G96" s="840">
        <f t="shared" si="70"/>
        <v>30805.1279861556</v>
      </c>
      <c r="H96" s="840">
        <f t="shared" ref="H96:M96" si="79">H104</f>
        <v>56756.7653972318</v>
      </c>
      <c r="I96" s="840">
        <f t="shared" si="79"/>
        <v>32745.805033742654</v>
      </c>
      <c r="J96" s="840">
        <f t="shared" si="79"/>
        <v>10900.131608147945</v>
      </c>
      <c r="K96" s="840">
        <f t="shared" si="79"/>
        <v>402.03137879886822</v>
      </c>
      <c r="L96" s="840">
        <f t="shared" si="79"/>
        <v>1.6430103562415428</v>
      </c>
      <c r="M96" s="840">
        <f t="shared" si="79"/>
        <v>1</v>
      </c>
      <c r="N96" s="840">
        <f t="shared" si="72"/>
        <v>1.0629985062376377</v>
      </c>
      <c r="O96" s="840">
        <f t="shared" si="73"/>
        <v>0.35384146474076228</v>
      </c>
      <c r="P96" s="840">
        <f t="shared" si="74"/>
        <v>1.3050793977533502E-2</v>
      </c>
      <c r="Q96" s="840">
        <f t="shared" si="75"/>
        <v>5.3335612076662768E-5</v>
      </c>
      <c r="R96" s="840">
        <f t="shared" si="76"/>
        <v>3.2462127748646868E-5</v>
      </c>
      <c r="S96" s="840"/>
      <c r="T96" s="840"/>
      <c r="U96" s="840"/>
      <c r="V96" s="840"/>
      <c r="W96" s="840"/>
      <c r="X96" s="843"/>
      <c r="Y96" s="840"/>
      <c r="Z96" s="839">
        <f t="shared" si="77"/>
        <v>0.21264632170726877</v>
      </c>
      <c r="AA96" s="839">
        <f>1/SUMIFS('Vehicle eff data 2023'!Q$20:Q$117,'Vehicle eff data 2023'!$A$20:$A$117,Analytica!$C96,'Vehicle eff data 2023'!$D$20:$D$117,RIGHT(Analytica!$D96,3))</f>
        <v>0.21328553867997815</v>
      </c>
      <c r="AB96" s="839">
        <f>1/SUMIFS('Vehicle eff data 2023'!R$20:R$117,'Vehicle eff data 2023'!$A$20:$A$117,Analytica!$C96,'Vehicle eff data 2023'!$D$20:$D$117,RIGHT(Analytica!$D96,3))</f>
        <v>0.21392667714530927</v>
      </c>
      <c r="AC96" s="839">
        <f>1/SUMIFS('Vehicle eff data 2023'!S$20:S$117,'Vehicle eff data 2023'!$A$20:$A$117,Analytica!$C96,'Vehicle eff data 2023'!$D$20:$D$117,RIGHT(Analytica!$D96,3))</f>
        <v>0.22605653729982925</v>
      </c>
      <c r="AD96" s="839">
        <f>1/SUMIFS('Vehicle eff data 2023'!T$20:T$117,'Vehicle eff data 2023'!$A$20:$A$117,Analytica!$C96,'Vehicle eff data 2023'!$D$20:$D$117,RIGHT(Analytica!$D96,3))</f>
        <v>0.24995689714176231</v>
      </c>
      <c r="AE96" s="839">
        <f>1/SUMIFS('Vehicle eff data 2023'!U$20:U$117,'Vehicle eff data 2023'!$A$20:$A$117,Analytica!$C96,'Vehicle eff data 2023'!$D$20:$D$117,RIGHT(Analytica!$D96,3))</f>
        <v>0.27638417882102423</v>
      </c>
      <c r="AF96" s="796"/>
      <c r="AG96" s="211"/>
      <c r="AH96" s="211"/>
      <c r="AI96" s="211"/>
      <c r="AJ96" s="211"/>
      <c r="AK96" s="890"/>
      <c r="AL96" s="890"/>
      <c r="AM96" s="890"/>
      <c r="AN96" s="890"/>
      <c r="AO96" s="890"/>
      <c r="AP96" s="890"/>
      <c r="AQ96" s="890"/>
      <c r="AR96" s="893"/>
      <c r="AS96" s="891"/>
      <c r="AT96" s="892"/>
      <c r="AU96" s="893"/>
      <c r="AV96" s="893"/>
      <c r="AW96" s="893"/>
      <c r="AX96" s="893"/>
      <c r="AY96" s="894"/>
      <c r="BA96" s="74"/>
    </row>
    <row r="97" spans="1:55" x14ac:dyDescent="0.25">
      <c r="A97" s="61" t="str">
        <f t="shared" si="59"/>
        <v>CV7ELC</v>
      </c>
      <c r="B97" s="61" t="str">
        <f t="shared" si="45"/>
        <v>TFHCV7ELC-N</v>
      </c>
      <c r="C97" s="61" t="s">
        <v>501</v>
      </c>
      <c r="D97" s="61" t="str">
        <f t="shared" si="68"/>
        <v>TFHCV7</v>
      </c>
      <c r="E97" t="s">
        <v>1305</v>
      </c>
      <c r="F97" s="793">
        <f t="shared" si="69"/>
        <v>0.16</v>
      </c>
      <c r="G97" s="211">
        <f t="shared" si="70"/>
        <v>30805.1279861556</v>
      </c>
      <c r="H97" s="211">
        <f t="shared" ref="H97:M97" si="80">H105</f>
        <v>64512.330335483297</v>
      </c>
      <c r="I97" s="211">
        <f t="shared" si="80"/>
        <v>28987.258562430718</v>
      </c>
      <c r="J97" s="211">
        <f t="shared" si="80"/>
        <v>5852.4265699655216</v>
      </c>
      <c r="K97" s="211">
        <f t="shared" si="80"/>
        <v>48.163990293780166</v>
      </c>
      <c r="L97" s="211">
        <f t="shared" si="80"/>
        <v>1.6157218754222567E-2</v>
      </c>
      <c r="M97" s="211">
        <f t="shared" si="80"/>
        <v>1</v>
      </c>
      <c r="N97" s="211">
        <f t="shared" si="72"/>
        <v>0.94098809053668386</v>
      </c>
      <c r="O97" s="211">
        <f t="shared" si="73"/>
        <v>0.18998221895379599</v>
      </c>
      <c r="P97" s="211">
        <f t="shared" si="74"/>
        <v>1.5635056058012798E-3</v>
      </c>
      <c r="Q97" s="211">
        <f t="shared" si="75"/>
        <v>5.2449769926240608E-7</v>
      </c>
      <c r="R97" s="211">
        <f t="shared" si="76"/>
        <v>3.2462127748646868E-5</v>
      </c>
      <c r="S97" s="211"/>
      <c r="T97" s="211"/>
      <c r="U97" s="211"/>
      <c r="V97" s="211"/>
      <c r="W97" s="211"/>
      <c r="X97" s="819"/>
      <c r="Y97" s="211"/>
      <c r="Z97" s="796">
        <f t="shared" si="77"/>
        <v>0.22954886905081148</v>
      </c>
      <c r="AA97" s="796">
        <f>1/SUMIFS('Vehicle eff data 2023'!Q$20:Q$117,'Vehicle eff data 2023'!$A$20:$A$117,Analytica!$C97,'Vehicle eff data 2023'!$D$20:$D$117,RIGHT(Analytica!$D97,3))</f>
        <v>0.23023889525011493</v>
      </c>
      <c r="AB97" s="796">
        <f>1/SUMIFS('Vehicle eff data 2023'!R$20:R$117,'Vehicle eff data 2023'!$A$20:$A$117,Analytica!$C97,'Vehicle eff data 2023'!$D$20:$D$117,RIGHT(Analytica!$D97,3))</f>
        <v>0.2309309956750841</v>
      </c>
      <c r="AC97" s="796">
        <f>1/SUMIFS('Vehicle eff data 2023'!S$20:S$117,'Vehicle eff data 2023'!$A$20:$A$117,Analytica!$C97,'Vehicle eff data 2023'!$D$20:$D$117,RIGHT(Analytica!$D97,3))</f>
        <v>0.24402501798339182</v>
      </c>
      <c r="AD97" s="796">
        <f>1/SUMIFS('Vehicle eff data 2023'!T$20:T$117,'Vehicle eff data 2023'!$A$20:$A$117,Analytica!$C97,'Vehicle eff data 2023'!$D$20:$D$117,RIGHT(Analytica!$D97,3))</f>
        <v>0.26982513776715022</v>
      </c>
      <c r="AE97" s="796">
        <f>1/SUMIFS('Vehicle eff data 2023'!U$20:U$117,'Vehicle eff data 2023'!$A$20:$A$117,Analytica!$C97,'Vehicle eff data 2023'!$D$20:$D$117,RIGHT(Analytica!$D97,3))</f>
        <v>0.29835303598263313</v>
      </c>
      <c r="AF97" s="796"/>
      <c r="AG97" s="211"/>
      <c r="AH97" s="211"/>
      <c r="AI97" s="211"/>
      <c r="AJ97" s="211"/>
      <c r="AK97" s="890"/>
      <c r="AL97" s="890"/>
      <c r="AM97" s="890"/>
      <c r="AN97" s="890"/>
      <c r="AO97" s="890"/>
      <c r="AP97" s="890"/>
      <c r="AQ97" s="890"/>
      <c r="AR97" s="893"/>
      <c r="AS97" s="891"/>
      <c r="AT97" s="892"/>
      <c r="AU97" s="893"/>
      <c r="AV97" s="893"/>
      <c r="AW97" s="893"/>
      <c r="AX97" s="893"/>
      <c r="AY97" s="894"/>
      <c r="BA97" s="74"/>
    </row>
    <row r="98" spans="1:55" x14ac:dyDescent="0.25">
      <c r="A98" s="61" t="str">
        <f t="shared" si="59"/>
        <v>CV8ELC</v>
      </c>
      <c r="B98" s="61" t="str">
        <f t="shared" si="45"/>
        <v>TFHCV8ELC-N</v>
      </c>
      <c r="C98" s="61" t="s">
        <v>501</v>
      </c>
      <c r="D98" s="61" t="str">
        <f t="shared" si="68"/>
        <v>TFHCV8</v>
      </c>
      <c r="E98" t="s">
        <v>1306</v>
      </c>
      <c r="F98" s="793">
        <f t="shared" si="69"/>
        <v>0.16</v>
      </c>
      <c r="G98" s="211">
        <f t="shared" si="70"/>
        <v>30805.1279861556</v>
      </c>
      <c r="H98" s="211">
        <f t="shared" ref="H98:M98" si="81">H106</f>
        <v>92421.691229504097</v>
      </c>
      <c r="I98" s="211">
        <f t="shared" si="81"/>
        <v>41527.742782114779</v>
      </c>
      <c r="J98" s="211">
        <f t="shared" si="81"/>
        <v>8384.3066678866562</v>
      </c>
      <c r="K98" s="211">
        <f t="shared" si="81"/>
        <v>69.000723058119178</v>
      </c>
      <c r="L98" s="211">
        <f t="shared" si="81"/>
        <v>2.3147163884250102E-2</v>
      </c>
      <c r="M98" s="211">
        <f t="shared" si="81"/>
        <v>1</v>
      </c>
      <c r="N98" s="211">
        <f t="shared" si="72"/>
        <v>1.348078891305958</v>
      </c>
      <c r="O98" s="211">
        <f t="shared" si="73"/>
        <v>0.27217243413676839</v>
      </c>
      <c r="P98" s="211">
        <f t="shared" si="74"/>
        <v>2.2399102866616687E-3</v>
      </c>
      <c r="Q98" s="211">
        <f t="shared" si="75"/>
        <v>7.5140619102939197E-7</v>
      </c>
      <c r="R98" s="211">
        <f t="shared" si="76"/>
        <v>3.2462127748646868E-5</v>
      </c>
      <c r="S98" s="211"/>
      <c r="T98" s="211"/>
      <c r="U98" s="211"/>
      <c r="V98" s="211"/>
      <c r="W98" s="211"/>
      <c r="X98" s="819"/>
      <c r="Y98" s="211"/>
      <c r="Z98" s="796">
        <f t="shared" si="77"/>
        <v>0.22587886805273732</v>
      </c>
      <c r="AA98" s="796">
        <f>1/SUMIFS('Vehicle eff data 2023'!Q$20:Q$117,'Vehicle eff data 2023'!$A$20:$A$117,Analytica!$C98,'Vehicle eff data 2023'!$D$20:$D$117,RIGHT(Analytica!$D98,3))</f>
        <v>0.22655786219228544</v>
      </c>
      <c r="AB98" s="796">
        <f>1/SUMIFS('Vehicle eff data 2023'!R$20:R$117,'Vehicle eff data 2023'!$A$20:$A$117,Analytica!$C98,'Vehicle eff data 2023'!$D$20:$D$117,RIGHT(Analytica!$D98,3))</f>
        <v>0.22723889739501718</v>
      </c>
      <c r="AC98" s="796">
        <f>1/SUMIFS('Vehicle eff data 2023'!S$20:S$117,'Vehicle eff data 2023'!$A$20:$A$117,Analytica!$C98,'Vehicle eff data 2023'!$D$20:$D$117,RIGHT(Analytica!$D98,3))</f>
        <v>0.24012357397603376</v>
      </c>
      <c r="AD98" s="796">
        <f>1/SUMIFS('Vehicle eff data 2023'!T$20:T$117,'Vehicle eff data 2023'!$A$20:$A$117,Analytica!$C98,'Vehicle eff data 2023'!$D$20:$D$117,RIGHT(Analytica!$D98,3))</f>
        <v>0.26551120440295778</v>
      </c>
      <c r="AE98" s="796">
        <f>1/SUMIFS('Vehicle eff data 2023'!U$20:U$117,'Vehicle eff data 2023'!$A$20:$A$117,Analytica!$C98,'Vehicle eff data 2023'!$D$20:$D$117,RIGHT(Analytica!$D98,3))</f>
        <v>0.29358300185280983</v>
      </c>
      <c r="AF98" s="796"/>
      <c r="AG98" s="211"/>
      <c r="AH98" s="211"/>
      <c r="AI98" s="211"/>
      <c r="AJ98" s="211"/>
      <c r="AK98" s="890"/>
      <c r="AL98" s="890"/>
      <c r="AM98" s="890"/>
      <c r="AN98" s="890"/>
      <c r="AO98" s="890"/>
      <c r="AP98" s="890"/>
      <c r="AQ98" s="890"/>
      <c r="AR98" s="893"/>
      <c r="AS98" s="891"/>
      <c r="AT98" s="892"/>
      <c r="AU98" s="893"/>
      <c r="AV98" s="893"/>
      <c r="AW98" s="893"/>
      <c r="AX98" s="893"/>
      <c r="AY98" s="894"/>
      <c r="BA98" s="74"/>
    </row>
    <row r="99" spans="1:55" x14ac:dyDescent="0.25">
      <c r="A99" s="61" t="str">
        <f t="shared" si="59"/>
        <v>CV9ELC</v>
      </c>
      <c r="B99" s="61" t="str">
        <f t="shared" si="45"/>
        <v>TFHCV9ELC-N</v>
      </c>
      <c r="C99" s="61" t="s">
        <v>501</v>
      </c>
      <c r="D99" s="61" t="str">
        <f t="shared" si="68"/>
        <v>TFHCV9</v>
      </c>
      <c r="E99" t="s">
        <v>1307</v>
      </c>
      <c r="F99" s="793">
        <f t="shared" si="69"/>
        <v>0.18</v>
      </c>
      <c r="G99" s="211">
        <f t="shared" si="70"/>
        <v>30805.1279861556</v>
      </c>
      <c r="H99" s="211">
        <f t="shared" ref="H99:M99" si="82">H107</f>
        <v>116959.183879244</v>
      </c>
      <c r="I99" s="211">
        <f t="shared" si="82"/>
        <v>47552.055593322402</v>
      </c>
      <c r="J99" s="211">
        <f t="shared" si="82"/>
        <v>7860.3019222272696</v>
      </c>
      <c r="K99" s="211">
        <f t="shared" si="82"/>
        <v>35.501689865113427</v>
      </c>
      <c r="L99" s="211">
        <f t="shared" si="82"/>
        <v>4.3812565909997049E-3</v>
      </c>
      <c r="M99" s="211">
        <f t="shared" si="82"/>
        <v>1</v>
      </c>
      <c r="N99" s="211">
        <f t="shared" si="72"/>
        <v>1.5436409033811898</v>
      </c>
      <c r="O99" s="211">
        <f t="shared" si="73"/>
        <v>0.25516212514227621</v>
      </c>
      <c r="P99" s="211">
        <f t="shared" si="74"/>
        <v>1.152460391694154E-3</v>
      </c>
      <c r="Q99" s="211">
        <f t="shared" si="75"/>
        <v>1.4222491115663353E-7</v>
      </c>
      <c r="R99" s="211">
        <f t="shared" si="76"/>
        <v>3.2462127748646868E-5</v>
      </c>
      <c r="S99" s="211"/>
      <c r="T99" s="211"/>
      <c r="U99" s="211"/>
      <c r="V99" s="211"/>
      <c r="W99" s="211"/>
      <c r="X99" s="819"/>
      <c r="Y99" s="211"/>
      <c r="Z99" s="796">
        <f t="shared" si="77"/>
        <v>0.17749243814881849</v>
      </c>
      <c r="AA99" s="796">
        <f>1/SUMIFS('Vehicle eff data 2023'!Q$20:Q$117,'Vehicle eff data 2023'!$A$20:$A$117,Analytica!$C99,'Vehicle eff data 2023'!$D$20:$D$117,RIGHT(Analytica!$D99,3))</f>
        <v>0.17802598219548429</v>
      </c>
      <c r="AB99" s="796">
        <f>1/SUMIFS('Vehicle eff data 2023'!R$20:R$117,'Vehicle eff data 2023'!$A$20:$A$117,Analytica!$C99,'Vehicle eff data 2023'!$D$20:$D$117,RIGHT(Analytica!$D99,3))</f>
        <v>0.17856113008089783</v>
      </c>
      <c r="AC99" s="796">
        <f>1/SUMIFS('Vehicle eff data 2023'!S$20:S$117,'Vehicle eff data 2023'!$A$20:$A$117,Analytica!$C99,'Vehicle eff data 2023'!$D$20:$D$117,RIGHT(Analytica!$D99,3))</f>
        <v>0.18868572775060846</v>
      </c>
      <c r="AD99" s="796">
        <f>1/SUMIFS('Vehicle eff data 2023'!T$20:T$117,'Vehicle eff data 2023'!$A$20:$A$117,Analytica!$C99,'Vehicle eff data 2023'!$D$20:$D$117,RIGHT(Analytica!$D99,3))</f>
        <v>0.20863497073266468</v>
      </c>
      <c r="AE99" s="796">
        <f>1/SUMIFS('Vehicle eff data 2023'!U$20:U$117,'Vehicle eff data 2023'!$A$20:$A$117,Analytica!$C99,'Vehicle eff data 2023'!$D$20:$D$117,RIGHT(Analytica!$D99,3))</f>
        <v>0.23069339441588732</v>
      </c>
      <c r="AF99" s="796"/>
      <c r="AG99" s="211"/>
      <c r="AH99" s="211"/>
      <c r="AI99" s="211"/>
      <c r="AJ99" s="211"/>
      <c r="AK99" s="890"/>
      <c r="AL99" s="890"/>
      <c r="AM99" s="890"/>
      <c r="AN99" s="890"/>
      <c r="AO99" s="890"/>
      <c r="AP99" s="890"/>
      <c r="AQ99" s="890"/>
      <c r="AR99" s="893"/>
      <c r="AS99" s="891"/>
      <c r="AT99" s="892"/>
      <c r="AU99" s="893"/>
      <c r="AV99" s="893"/>
      <c r="AW99" s="893"/>
      <c r="AX99" s="893"/>
      <c r="AY99" s="894"/>
      <c r="BA99" s="74"/>
    </row>
    <row r="100" spans="1:55" x14ac:dyDescent="0.25">
      <c r="A100" s="61" t="str">
        <f t="shared" si="59"/>
        <v>CV2HGN</v>
      </c>
      <c r="B100" s="61" t="str">
        <f t="shared" si="45"/>
        <v>TFHCV2HGN-N</v>
      </c>
      <c r="C100" s="61" t="s">
        <v>504</v>
      </c>
      <c r="D100" s="61" t="str">
        <f t="shared" ref="D100:D107" si="83">D83</f>
        <v>TFHCV2</v>
      </c>
      <c r="E100" t="s">
        <v>996</v>
      </c>
      <c r="F100" s="793">
        <f t="shared" ref="F100:F107" si="84">F74</f>
        <v>4.8000000000000001E-2</v>
      </c>
      <c r="G100" s="211">
        <f t="shared" ref="G100:M107" si="85">G83</f>
        <v>17100.2801251579</v>
      </c>
      <c r="H100" s="211">
        <f t="shared" si="85"/>
        <v>17100.2801251579</v>
      </c>
      <c r="I100" s="211">
        <f t="shared" si="85"/>
        <v>13451.556778491855</v>
      </c>
      <c r="J100" s="211">
        <f t="shared" si="85"/>
        <v>8323.5999284680747</v>
      </c>
      <c r="K100" s="211">
        <f t="shared" si="85"/>
        <v>1972.0918752186101</v>
      </c>
      <c r="L100" s="211">
        <f t="shared" si="85"/>
        <v>178.90413861851181</v>
      </c>
      <c r="M100" s="211">
        <f t="shared" si="85"/>
        <v>1</v>
      </c>
      <c r="N100" s="211">
        <f t="shared" si="61"/>
        <v>0.78662786106655347</v>
      </c>
      <c r="O100" s="211">
        <f t="shared" si="62"/>
        <v>0.48675225595997168</v>
      </c>
      <c r="P100" s="211">
        <f t="shared" si="63"/>
        <v>0.11532512103806254</v>
      </c>
      <c r="Q100" s="211">
        <f t="shared" si="64"/>
        <v>1.0462058943426802E-2</v>
      </c>
      <c r="R100" s="211">
        <f t="shared" si="65"/>
        <v>5.8478574191822851E-5</v>
      </c>
      <c r="S100" s="820" t="s">
        <v>532</v>
      </c>
      <c r="T100" s="211"/>
      <c r="U100" s="211"/>
      <c r="V100" s="211"/>
      <c r="W100" s="211"/>
      <c r="X100" s="821" t="s">
        <v>532</v>
      </c>
      <c r="Y100" s="211"/>
      <c r="Z100" s="796">
        <f t="shared" si="66"/>
        <v>0.28848119537073613</v>
      </c>
      <c r="AA100" s="796">
        <f>1/SUMIFS('Vehicle eff data 2023'!Q$20:Q$117,'Vehicle eff data 2023'!$A$20:$A$117,Analytica!$C100,'Vehicle eff data 2023'!$D$20:$D$117,RIGHT(Analytica!$D100,3))</f>
        <v>0.28934837273316583</v>
      </c>
      <c r="AB100" s="796">
        <f>1/SUMIFS('Vehicle eff data 2023'!R$20:R$117,'Vehicle eff data 2023'!$A$20:$A$117,Analytica!$C100,'Vehicle eff data 2023'!$D$20:$D$117,RIGHT(Analytica!$D100,3))</f>
        <v>0.29021815683943175</v>
      </c>
      <c r="AC100" s="796">
        <f>1/SUMIFS('Vehicle eff data 2023'!S$20:S$117,'Vehicle eff data 2023'!$A$20:$A$117,Analytica!$C100,'Vehicle eff data 2023'!$D$20:$D$117,RIGHT(Analytica!$D100,3))</f>
        <v>0.3066738214799557</v>
      </c>
      <c r="AD100" s="796">
        <f>1/SUMIFS('Vehicle eff data 2023'!T$20:T$117,'Vehicle eff data 2023'!$A$20:$A$117,Analytica!$C100,'Vehicle eff data 2023'!$D$20:$D$117,RIGHT(Analytica!$D100,3))</f>
        <v>0.33909763357148603</v>
      </c>
      <c r="AE100" s="796">
        <f>1/SUMIFS('Vehicle eff data 2023'!U$20:U$117,'Vehicle eff data 2023'!$A$20:$A$117,Analytica!$C100,'Vehicle eff data 2023'!$D$20:$D$117,RIGHT(Analytica!$D100,3))</f>
        <v>0.37494952956490746</v>
      </c>
      <c r="AF100" s="796"/>
      <c r="AG100" s="211"/>
      <c r="AH100" s="211"/>
      <c r="AI100" s="211"/>
      <c r="AJ100" s="211"/>
      <c r="AK100" s="890"/>
      <c r="AL100" s="890"/>
      <c r="AM100" s="890"/>
      <c r="AN100" s="890"/>
      <c r="AO100" s="890"/>
      <c r="AP100" s="890"/>
      <c r="AQ100" s="890"/>
      <c r="AR100" s="893"/>
      <c r="AS100" s="891"/>
      <c r="AT100" s="892"/>
      <c r="AU100" s="893"/>
      <c r="AV100" s="893"/>
      <c r="AW100" s="893"/>
      <c r="AX100" s="893"/>
      <c r="AY100" s="894"/>
      <c r="BA100" s="74">
        <f t="shared" si="43"/>
        <v>0</v>
      </c>
      <c r="BB100" s="61" t="s">
        <v>531</v>
      </c>
    </row>
    <row r="101" spans="1:55" x14ac:dyDescent="0.25">
      <c r="A101" s="61" t="str">
        <f t="shared" si="59"/>
        <v>CV3HGN</v>
      </c>
      <c r="B101" s="61" t="str">
        <f t="shared" si="45"/>
        <v>TFHCV3HGN-N</v>
      </c>
      <c r="C101" s="61" t="s">
        <v>504</v>
      </c>
      <c r="D101" s="61" t="str">
        <f t="shared" si="83"/>
        <v>TFHCV3</v>
      </c>
      <c r="E101" t="s">
        <v>997</v>
      </c>
      <c r="F101" s="793">
        <f t="shared" si="84"/>
        <v>8.4999999999999992E-2</v>
      </c>
      <c r="G101" s="211">
        <f t="shared" si="85"/>
        <v>30096.280108149898</v>
      </c>
      <c r="H101" s="211">
        <f t="shared" si="85"/>
        <v>30096.280108149898</v>
      </c>
      <c r="I101" s="211">
        <f t="shared" si="85"/>
        <v>19676.038579512857</v>
      </c>
      <c r="J101" s="211">
        <f t="shared" si="85"/>
        <v>8409.8326904830083</v>
      </c>
      <c r="K101" s="211">
        <f t="shared" si="85"/>
        <v>656.65374726387358</v>
      </c>
      <c r="L101" s="211">
        <f t="shared" si="85"/>
        <v>9.3666626481927722</v>
      </c>
      <c r="M101" s="211">
        <f t="shared" si="85"/>
        <v>1</v>
      </c>
      <c r="N101" s="211">
        <f t="shared" si="61"/>
        <v>0.65376978512984729</v>
      </c>
      <c r="O101" s="211">
        <f t="shared" si="62"/>
        <v>0.27943096822140734</v>
      </c>
      <c r="P101" s="211">
        <f t="shared" si="63"/>
        <v>2.1818435531042773E-2</v>
      </c>
      <c r="Q101" s="211">
        <f t="shared" si="64"/>
        <v>3.112232679432145E-4</v>
      </c>
      <c r="R101" s="211">
        <f t="shared" si="65"/>
        <v>3.3226697665177755E-5</v>
      </c>
      <c r="S101" s="820"/>
      <c r="T101" s="211"/>
      <c r="U101" s="211"/>
      <c r="V101" s="211"/>
      <c r="W101" s="211"/>
      <c r="X101" s="821"/>
      <c r="Y101" s="211"/>
      <c r="Z101" s="796">
        <f t="shared" si="66"/>
        <v>0.25221788461106948</v>
      </c>
      <c r="AA101" s="796">
        <f>1/SUMIFS('Vehicle eff data 2023'!Q$20:Q$117,'Vehicle eff data 2023'!$A$20:$A$117,Analytica!$C101,'Vehicle eff data 2023'!$D$20:$D$117,RIGHT(Analytica!$D101,3))</f>
        <v>0.25297605409817775</v>
      </c>
      <c r="AB101" s="796">
        <f>1/SUMIFS('Vehicle eff data 2023'!R$20:R$117,'Vehicle eff data 2023'!$A$20:$A$117,Analytica!$C101,'Vehicle eff data 2023'!$D$20:$D$117,RIGHT(Analytica!$D101,3))</f>
        <v>0.25373650265035735</v>
      </c>
      <c r="AC101" s="796">
        <f>1/SUMIFS('Vehicle eff data 2023'!S$20:S$117,'Vehicle eff data 2023'!$A$20:$A$117,Analytica!$C101,'Vehicle eff data 2023'!$D$20:$D$117,RIGHT(Analytica!$D101,3))</f>
        <v>0.26812362039703852</v>
      </c>
      <c r="AD101" s="796">
        <f>1/SUMIFS('Vehicle eff data 2023'!T$20:T$117,'Vehicle eff data 2023'!$A$20:$A$117,Analytica!$C101,'Vehicle eff data 2023'!$D$20:$D$117,RIGHT(Analytica!$D101,3))</f>
        <v>0.29647162168094532</v>
      </c>
      <c r="AE101" s="796">
        <f>1/SUMIFS('Vehicle eff data 2023'!U$20:U$117,'Vehicle eff data 2023'!$A$20:$A$117,Analytica!$C101,'Vehicle eff data 2023'!$D$20:$D$117,RIGHT(Analytica!$D101,3))</f>
        <v>0.32781678216926086</v>
      </c>
      <c r="AF101" s="796"/>
      <c r="AG101" s="211"/>
      <c r="AH101" s="211"/>
      <c r="AI101" s="211"/>
      <c r="AJ101" s="211"/>
      <c r="AK101" s="890"/>
      <c r="AL101" s="890"/>
      <c r="AM101" s="890"/>
      <c r="AN101" s="890"/>
      <c r="AO101" s="890"/>
      <c r="AP101" s="890"/>
      <c r="AQ101" s="890"/>
      <c r="AR101" s="893"/>
      <c r="AS101" s="891"/>
      <c r="AT101" s="892"/>
      <c r="AU101" s="893"/>
      <c r="AV101" s="893"/>
      <c r="AW101" s="893"/>
      <c r="AX101" s="893"/>
      <c r="AY101" s="894"/>
      <c r="BA101" s="74">
        <f t="shared" si="43"/>
        <v>0</v>
      </c>
      <c r="BB101" s="61" t="s">
        <v>531</v>
      </c>
    </row>
    <row r="102" spans="1:55" x14ac:dyDescent="0.25">
      <c r="A102" s="61" t="str">
        <f t="shared" si="59"/>
        <v>CV4HGN</v>
      </c>
      <c r="B102" s="61" t="str">
        <f t="shared" si="45"/>
        <v>TFHCV4HGN-N</v>
      </c>
      <c r="C102" s="61" t="s">
        <v>504</v>
      </c>
      <c r="D102" s="61" t="str">
        <f t="shared" si="83"/>
        <v>TFHCV4</v>
      </c>
      <c r="E102" t="s">
        <v>998</v>
      </c>
      <c r="F102" s="793">
        <f t="shared" si="84"/>
        <v>8.4999999999999992E-2</v>
      </c>
      <c r="G102" s="211">
        <f t="shared" si="85"/>
        <v>54512.527353451602</v>
      </c>
      <c r="H102" s="211">
        <f t="shared" si="85"/>
        <v>54512.527353451602</v>
      </c>
      <c r="I102" s="211">
        <f t="shared" si="85"/>
        <v>35638.643294750975</v>
      </c>
      <c r="J102" s="211">
        <f t="shared" si="85"/>
        <v>15232.488298570934</v>
      </c>
      <c r="K102" s="211">
        <f t="shared" si="85"/>
        <v>1189.3780636954896</v>
      </c>
      <c r="L102" s="211">
        <f t="shared" si="85"/>
        <v>16.965566906785078</v>
      </c>
      <c r="M102" s="211">
        <f t="shared" si="85"/>
        <v>1</v>
      </c>
      <c r="N102" s="211">
        <f t="shared" si="61"/>
        <v>0.65376978512984729</v>
      </c>
      <c r="O102" s="211">
        <f t="shared" si="62"/>
        <v>0.27943096822140734</v>
      </c>
      <c r="P102" s="211">
        <f t="shared" si="63"/>
        <v>2.1818435531042773E-2</v>
      </c>
      <c r="Q102" s="211">
        <f t="shared" si="64"/>
        <v>3.112232679432145E-4</v>
      </c>
      <c r="R102" s="211">
        <f t="shared" si="65"/>
        <v>1.8344407213339054E-5</v>
      </c>
      <c r="S102" s="820"/>
      <c r="T102" s="211"/>
      <c r="U102" s="211"/>
      <c r="V102" s="211"/>
      <c r="W102" s="211"/>
      <c r="X102" s="822"/>
      <c r="Y102" s="211"/>
      <c r="Z102" s="796">
        <f t="shared" si="66"/>
        <v>0.21562320269889015</v>
      </c>
      <c r="AA102" s="796">
        <f>1/SUMIFS('Vehicle eff data 2023'!Q$20:Q$117,'Vehicle eff data 2023'!$A$20:$A$117,Analytica!$C102,'Vehicle eff data 2023'!$D$20:$D$117,RIGHT(Analytica!$D102,3))</f>
        <v>0.21627136820567391</v>
      </c>
      <c r="AB102" s="796">
        <f>1/SUMIFS('Vehicle eff data 2023'!R$20:R$117,'Vehicle eff data 2023'!$A$20:$A$117,Analytica!$C102,'Vehicle eff data 2023'!$D$20:$D$117,RIGHT(Analytica!$D102,3))</f>
        <v>0.21692148210446247</v>
      </c>
      <c r="AC102" s="796">
        <f>1/SUMIFS('Vehicle eff data 2023'!S$20:S$117,'Vehicle eff data 2023'!$A$20:$A$117,Analytica!$C102,'Vehicle eff data 2023'!$D$20:$D$117,RIGHT(Analytica!$D102,3))</f>
        <v>0.22922115074584032</v>
      </c>
      <c r="AD102" s="796">
        <f>1/SUMIFS('Vehicle eff data 2023'!T$20:T$117,'Vehicle eff data 2023'!$A$20:$A$117,Analytica!$C102,'Vehicle eff data 2023'!$D$20:$D$117,RIGHT(Analytica!$D102,3))</f>
        <v>0.25345609679803616</v>
      </c>
      <c r="AE102" s="796">
        <f>1/SUMIFS('Vehicle eff data 2023'!U$20:U$117,'Vehicle eff data 2023'!$A$20:$A$117,Analytica!$C102,'Vehicle eff data 2023'!$D$20:$D$117,RIGHT(Analytica!$D102,3))</f>
        <v>0.28025333960269916</v>
      </c>
      <c r="AF102" s="796"/>
      <c r="AG102" s="211"/>
      <c r="AH102" s="211"/>
      <c r="AI102" s="211"/>
      <c r="AJ102" s="211"/>
      <c r="AK102" s="890"/>
      <c r="AL102" s="890"/>
      <c r="AM102" s="890"/>
      <c r="AN102" s="890"/>
      <c r="AO102" s="890"/>
      <c r="AP102" s="890"/>
      <c r="AQ102" s="890"/>
      <c r="AR102" s="893"/>
      <c r="AS102" s="891"/>
      <c r="AT102" s="892"/>
      <c r="AU102" s="893"/>
      <c r="AV102" s="893"/>
      <c r="AW102" s="893"/>
      <c r="AX102" s="893"/>
      <c r="AY102" s="894"/>
      <c r="BA102" s="74">
        <f t="shared" si="43"/>
        <v>0</v>
      </c>
      <c r="BB102" s="61" t="s">
        <v>531</v>
      </c>
    </row>
    <row r="103" spans="1:55" x14ac:dyDescent="0.25">
      <c r="A103" s="61" t="str">
        <f t="shared" si="59"/>
        <v>CV5HGN</v>
      </c>
      <c r="B103" s="61" t="str">
        <f t="shared" si="45"/>
        <v>TFHCV5HGN-N</v>
      </c>
      <c r="C103" s="61" t="s">
        <v>504</v>
      </c>
      <c r="D103" s="61" t="str">
        <f t="shared" si="83"/>
        <v>TFHCV5</v>
      </c>
      <c r="E103" t="s">
        <v>999</v>
      </c>
      <c r="F103" s="793">
        <f t="shared" si="84"/>
        <v>0.11</v>
      </c>
      <c r="G103" s="211">
        <f t="shared" si="85"/>
        <v>53608.118344618502</v>
      </c>
      <c r="H103" s="211">
        <f t="shared" si="85"/>
        <v>53608.118344618502</v>
      </c>
      <c r="I103" s="211">
        <f t="shared" si="85"/>
        <v>30929.193713782333</v>
      </c>
      <c r="J103" s="211">
        <f t="shared" si="85"/>
        <v>10295.434229414555</v>
      </c>
      <c r="K103" s="211">
        <f t="shared" si="85"/>
        <v>379.72822415195355</v>
      </c>
      <c r="L103" s="211">
        <f t="shared" si="85"/>
        <v>1.5518624608428848</v>
      </c>
      <c r="M103" s="211">
        <f t="shared" si="85"/>
        <v>1</v>
      </c>
      <c r="N103" s="211">
        <f t="shared" si="61"/>
        <v>0.57694981038048665</v>
      </c>
      <c r="O103" s="211">
        <f t="shared" si="62"/>
        <v>0.19204990862075411</v>
      </c>
      <c r="P103" s="211">
        <f t="shared" si="63"/>
        <v>7.0834089290521219E-3</v>
      </c>
      <c r="Q103" s="211">
        <f t="shared" si="64"/>
        <v>2.8948273298211554E-5</v>
      </c>
      <c r="R103" s="211">
        <f t="shared" si="65"/>
        <v>1.8653891068728135E-5</v>
      </c>
      <c r="S103" s="820"/>
      <c r="T103" s="211"/>
      <c r="U103" s="211"/>
      <c r="V103" s="211"/>
      <c r="W103" s="211"/>
      <c r="X103" s="822"/>
      <c r="Y103" s="211"/>
      <c r="Z103" s="796">
        <f t="shared" si="66"/>
        <v>0.19864470655692903</v>
      </c>
      <c r="AA103" s="796">
        <f>1/SUMIFS('Vehicle eff data 2023'!Q$20:Q$117,'Vehicle eff data 2023'!$A$20:$A$117,Analytica!$C103,'Vehicle eff data 2023'!$D$20:$D$117,RIGHT(Analytica!$D103,3))</f>
        <v>0.19924183453427008</v>
      </c>
      <c r="AB103" s="796">
        <f>1/SUMIFS('Vehicle eff data 2023'!R$20:R$117,'Vehicle eff data 2023'!$A$20:$A$117,Analytica!$C103,'Vehicle eff data 2023'!$D$20:$D$117,RIGHT(Analytica!$D103,3))</f>
        <v>0.19984075748429125</v>
      </c>
      <c r="AC103" s="796">
        <f>1/SUMIFS('Vehicle eff data 2023'!S$20:S$117,'Vehicle eff data 2023'!$A$20:$A$117,Analytica!$C103,'Vehicle eff data 2023'!$D$20:$D$117,RIGHT(Analytica!$D103,3))</f>
        <v>0.21117193166885198</v>
      </c>
      <c r="AD103" s="796">
        <f>1/SUMIFS('Vehicle eff data 2023'!T$20:T$117,'Vehicle eff data 2023'!$A$20:$A$117,Analytica!$C103,'Vehicle eff data 2023'!$D$20:$D$117,RIGHT(Analytica!$D103,3))</f>
        <v>0.23349858152241262</v>
      </c>
      <c r="AE103" s="796">
        <f>1/SUMIFS('Vehicle eff data 2023'!U$20:U$117,'Vehicle eff data 2023'!$A$20:$A$117,Analytica!$C103,'Vehicle eff data 2023'!$D$20:$D$117,RIGHT(Analytica!$D103,3))</f>
        <v>0.25818576901818791</v>
      </c>
      <c r="AF103" s="796"/>
      <c r="AG103" s="211"/>
      <c r="AH103" s="211"/>
      <c r="AI103" s="211"/>
      <c r="AJ103" s="211"/>
      <c r="AK103" s="890"/>
      <c r="AL103" s="890"/>
      <c r="AM103" s="890"/>
      <c r="AN103" s="890"/>
      <c r="AO103" s="890"/>
      <c r="AP103" s="890"/>
      <c r="AQ103" s="890"/>
      <c r="AR103" s="893"/>
      <c r="AS103" s="891"/>
      <c r="AT103" s="892"/>
      <c r="AU103" s="893"/>
      <c r="AV103" s="893"/>
      <c r="AW103" s="893"/>
      <c r="AX103" s="893"/>
      <c r="AY103" s="894"/>
      <c r="BA103" s="74">
        <f t="shared" si="43"/>
        <v>0</v>
      </c>
      <c r="BB103" s="61" t="s">
        <v>531</v>
      </c>
    </row>
    <row r="104" spans="1:55" x14ac:dyDescent="0.25">
      <c r="A104" s="61" t="str">
        <f t="shared" si="59"/>
        <v>CV6HGN</v>
      </c>
      <c r="B104" s="61" t="str">
        <f t="shared" si="45"/>
        <v>TFHCV6HGN-N</v>
      </c>
      <c r="C104" s="61" t="s">
        <v>504</v>
      </c>
      <c r="D104" s="61" t="str">
        <f t="shared" si="83"/>
        <v>TFHCV6</v>
      </c>
      <c r="E104" t="s">
        <v>1000</v>
      </c>
      <c r="F104" s="793">
        <f t="shared" si="84"/>
        <v>0.11</v>
      </c>
      <c r="G104" s="211">
        <f t="shared" si="85"/>
        <v>56756.7653972318</v>
      </c>
      <c r="H104" s="211">
        <f t="shared" si="85"/>
        <v>56756.7653972318</v>
      </c>
      <c r="I104" s="211">
        <f t="shared" si="85"/>
        <v>32745.805033742654</v>
      </c>
      <c r="J104" s="211">
        <f t="shared" si="85"/>
        <v>10900.131608147945</v>
      </c>
      <c r="K104" s="211">
        <f t="shared" si="85"/>
        <v>402.03137879886822</v>
      </c>
      <c r="L104" s="211">
        <f t="shared" si="85"/>
        <v>1.6430103562415428</v>
      </c>
      <c r="M104" s="211">
        <f t="shared" si="85"/>
        <v>1</v>
      </c>
      <c r="N104" s="211">
        <f t="shared" si="61"/>
        <v>0.57694981038048665</v>
      </c>
      <c r="O104" s="211">
        <f t="shared" si="62"/>
        <v>0.19204990862075411</v>
      </c>
      <c r="P104" s="211">
        <f t="shared" si="63"/>
        <v>7.0834089290521219E-3</v>
      </c>
      <c r="Q104" s="211">
        <f t="shared" si="64"/>
        <v>2.8948273298211554E-5</v>
      </c>
      <c r="R104" s="211">
        <f t="shared" si="65"/>
        <v>1.761904493677811E-5</v>
      </c>
      <c r="S104" s="820"/>
      <c r="T104" s="211"/>
      <c r="U104" s="211"/>
      <c r="V104" s="211"/>
      <c r="W104" s="211"/>
      <c r="X104" s="822"/>
      <c r="Y104" s="211"/>
      <c r="Z104" s="796">
        <f t="shared" si="66"/>
        <v>0.13701597728465742</v>
      </c>
      <c r="AA104" s="796">
        <f>1/SUMIFS('Vehicle eff data 2023'!Q$20:Q$117,'Vehicle eff data 2023'!$A$20:$A$117,Analytica!$C104,'Vehicle eff data 2023'!$D$20:$D$117,RIGHT(Analytica!$D104,3))</f>
        <v>0.13742784868459301</v>
      </c>
      <c r="AB104" s="796">
        <f>1/SUMIFS('Vehicle eff data 2023'!R$20:R$117,'Vehicle eff data 2023'!$A$20:$A$117,Analytica!$C104,'Vehicle eff data 2023'!$D$20:$D$117,RIGHT(Analytica!$D104,3))</f>
        <v>0.13784095817408171</v>
      </c>
      <c r="AC104" s="796">
        <f>1/SUMIFS('Vehicle eff data 2023'!S$20:S$117,'Vehicle eff data 2023'!$A$20:$A$117,Analytica!$C104,'Vehicle eff data 2023'!$D$20:$D$117,RIGHT(Analytica!$D104,3))</f>
        <v>0.1456566806848415</v>
      </c>
      <c r="AD104" s="796">
        <f>1/SUMIFS('Vehicle eff data 2023'!T$20:T$117,'Vehicle eff data 2023'!$A$20:$A$117,Analytica!$C104,'Vehicle eff data 2023'!$D$20:$D$117,RIGHT(Analytica!$D104,3))</f>
        <v>0.16105657631861348</v>
      </c>
      <c r="AE104" s="796">
        <f>1/SUMIFS('Vehicle eff data 2023'!U$20:U$117,'Vehicle eff data 2023'!$A$20:$A$117,Analytica!$C104,'Vehicle eff data 2023'!$D$20:$D$117,RIGHT(Analytica!$D104,3))</f>
        <v>0.17808466218997712</v>
      </c>
      <c r="AF104" s="796"/>
      <c r="AG104" s="211"/>
      <c r="AH104" s="211"/>
      <c r="AI104" s="211"/>
      <c r="AJ104" s="211"/>
      <c r="AK104" s="890"/>
      <c r="AL104" s="890"/>
      <c r="AM104" s="890"/>
      <c r="AN104" s="890"/>
      <c r="AO104" s="890"/>
      <c r="AP104" s="890"/>
      <c r="AQ104" s="890"/>
      <c r="AR104" s="893"/>
      <c r="AS104" s="891"/>
      <c r="AT104" s="892"/>
      <c r="AU104" s="893"/>
      <c r="AV104" s="893"/>
      <c r="AW104" s="893"/>
      <c r="AX104" s="893"/>
      <c r="AY104" s="894"/>
      <c r="BA104" s="74">
        <f t="shared" si="43"/>
        <v>0</v>
      </c>
      <c r="BB104" s="61" t="s">
        <v>531</v>
      </c>
    </row>
    <row r="105" spans="1:55" x14ac:dyDescent="0.25">
      <c r="A105" s="61" t="str">
        <f t="shared" si="59"/>
        <v>CV7HGN</v>
      </c>
      <c r="B105" s="61" t="str">
        <f t="shared" si="45"/>
        <v>TFHCV7HGN-N</v>
      </c>
      <c r="C105" s="61" t="s">
        <v>504</v>
      </c>
      <c r="D105" s="61" t="str">
        <f t="shared" si="83"/>
        <v>TFHCV7</v>
      </c>
      <c r="E105" t="s">
        <v>1001</v>
      </c>
      <c r="F105" s="793">
        <f t="shared" si="84"/>
        <v>0.16</v>
      </c>
      <c r="G105" s="211">
        <f t="shared" si="85"/>
        <v>64512.330335483297</v>
      </c>
      <c r="H105" s="211">
        <f t="shared" si="85"/>
        <v>64512.330335483297</v>
      </c>
      <c r="I105" s="211">
        <f t="shared" si="85"/>
        <v>28987.258562430718</v>
      </c>
      <c r="J105" s="211">
        <f t="shared" si="85"/>
        <v>5852.4265699655216</v>
      </c>
      <c r="K105" s="211">
        <f t="shared" si="85"/>
        <v>48.163990293780166</v>
      </c>
      <c r="L105" s="211">
        <f t="shared" si="85"/>
        <v>1.6157218754222567E-2</v>
      </c>
      <c r="M105" s="211">
        <f t="shared" si="85"/>
        <v>1</v>
      </c>
      <c r="N105" s="211">
        <f t="shared" si="61"/>
        <v>0.44932896411722156</v>
      </c>
      <c r="O105" s="211">
        <f t="shared" si="62"/>
        <v>9.0717953289412484E-2</v>
      </c>
      <c r="P105" s="211">
        <f t="shared" si="63"/>
        <v>7.4658580837667931E-4</v>
      </c>
      <c r="Q105" s="211">
        <f t="shared" si="64"/>
        <v>2.5045163723276199E-7</v>
      </c>
      <c r="R105" s="211">
        <f t="shared" si="65"/>
        <v>1.5500912690639181E-5</v>
      </c>
      <c r="S105" s="820"/>
      <c r="T105" s="211"/>
      <c r="U105" s="211"/>
      <c r="V105" s="211"/>
      <c r="W105" s="211"/>
      <c r="X105" s="822"/>
      <c r="Y105" s="211"/>
      <c r="Z105" s="796">
        <f t="shared" si="66"/>
        <v>0.147603705383693</v>
      </c>
      <c r="AA105" s="796">
        <f>1/SUMIFS('Vehicle eff data 2023'!Q$20:Q$117,'Vehicle eff data 2023'!$A$20:$A$117,Analytica!$C105,'Vehicle eff data 2023'!$D$20:$D$117,RIGHT(Analytica!$D105,3))</f>
        <v>0.14804740360033058</v>
      </c>
      <c r="AB105" s="796">
        <f>1/SUMIFS('Vehicle eff data 2023'!R$20:R$117,'Vehicle eff data 2023'!$A$20:$A$117,Analytica!$C105,'Vehicle eff data 2023'!$D$20:$D$117,RIGHT(Analytica!$D105,3))</f>
        <v>0.14849243557825104</v>
      </c>
      <c r="AC105" s="796">
        <f>1/SUMIFS('Vehicle eff data 2023'!S$20:S$117,'Vehicle eff data 2023'!$A$20:$A$117,Analytica!$C105,'Vehicle eff data 2023'!$D$20:$D$117,RIGHT(Analytica!$D105,3))</f>
        <v>0.15691210769022793</v>
      </c>
      <c r="AD105" s="796">
        <f>1/SUMIFS('Vehicle eff data 2023'!T$20:T$117,'Vehicle eff data 2023'!$A$20:$A$117,Analytica!$C105,'Vehicle eff data 2023'!$D$20:$D$117,RIGHT(Analytica!$D105,3))</f>
        <v>0.17350200985429787</v>
      </c>
      <c r="AE105" s="796">
        <f>1/SUMIFS('Vehicle eff data 2023'!U$20:U$117,'Vehicle eff data 2023'!$A$20:$A$117,Analytica!$C105,'Vehicle eff data 2023'!$D$20:$D$117,RIGHT(Analytica!$D105,3))</f>
        <v>0.19184591849922369</v>
      </c>
      <c r="AF105" s="796"/>
      <c r="AG105" s="211"/>
      <c r="AH105" s="211"/>
      <c r="AI105" s="211"/>
      <c r="AJ105" s="211"/>
      <c r="AK105" s="890"/>
      <c r="AL105" s="890"/>
      <c r="AM105" s="890"/>
      <c r="AN105" s="890"/>
      <c r="AO105" s="890"/>
      <c r="AP105" s="890"/>
      <c r="AQ105" s="890"/>
      <c r="AR105" s="893"/>
      <c r="AS105" s="891"/>
      <c r="AT105" s="892"/>
      <c r="AU105" s="893"/>
      <c r="AV105" s="893"/>
      <c r="AW105" s="893"/>
      <c r="AX105" s="893"/>
      <c r="AY105" s="894"/>
      <c r="BA105" s="74">
        <f t="shared" si="43"/>
        <v>0</v>
      </c>
      <c r="BB105" s="61" t="s">
        <v>531</v>
      </c>
    </row>
    <row r="106" spans="1:55" x14ac:dyDescent="0.25">
      <c r="A106" s="61" t="str">
        <f t="shared" si="59"/>
        <v>CV8HGN</v>
      </c>
      <c r="B106" s="61" t="str">
        <f t="shared" si="45"/>
        <v>TFHCV8HGN-N</v>
      </c>
      <c r="C106" s="61" t="s">
        <v>504</v>
      </c>
      <c r="D106" s="61" t="str">
        <f t="shared" si="83"/>
        <v>TFHCV8</v>
      </c>
      <c r="E106" t="s">
        <v>1002</v>
      </c>
      <c r="F106" s="793">
        <f t="shared" si="84"/>
        <v>0.16</v>
      </c>
      <c r="G106" s="211">
        <f t="shared" si="85"/>
        <v>92421.691229504097</v>
      </c>
      <c r="H106" s="211">
        <f t="shared" si="85"/>
        <v>92421.691229504097</v>
      </c>
      <c r="I106" s="211">
        <f t="shared" si="85"/>
        <v>41527.742782114779</v>
      </c>
      <c r="J106" s="211">
        <f t="shared" si="85"/>
        <v>8384.3066678866562</v>
      </c>
      <c r="K106" s="211">
        <f t="shared" si="85"/>
        <v>69.000723058119178</v>
      </c>
      <c r="L106" s="211">
        <f t="shared" si="85"/>
        <v>2.3147163884250102E-2</v>
      </c>
      <c r="M106" s="211">
        <f t="shared" si="85"/>
        <v>1</v>
      </c>
      <c r="N106" s="211">
        <f t="shared" si="61"/>
        <v>0.44932896411722156</v>
      </c>
      <c r="O106" s="211">
        <f t="shared" si="62"/>
        <v>9.0717953289412484E-2</v>
      </c>
      <c r="P106" s="211">
        <f t="shared" si="63"/>
        <v>7.4658580837667942E-4</v>
      </c>
      <c r="Q106" s="211">
        <f t="shared" si="64"/>
        <v>2.5045163723276199E-7</v>
      </c>
      <c r="R106" s="211">
        <f t="shared" si="65"/>
        <v>1.0819970795781829E-5</v>
      </c>
      <c r="S106" s="820"/>
      <c r="T106" s="211"/>
      <c r="U106" s="211"/>
      <c r="V106" s="211"/>
      <c r="W106" s="211"/>
      <c r="X106" s="822"/>
      <c r="Y106" s="211"/>
      <c r="Z106" s="796">
        <f t="shared" si="66"/>
        <v>0.14524383426641169</v>
      </c>
      <c r="AA106" s="796">
        <f>1/SUMIFS('Vehicle eff data 2023'!Q$20:Q$117,'Vehicle eff data 2023'!$A$20:$A$117,Analytica!$C106,'Vehicle eff data 2023'!$D$20:$D$117,RIGHT(Analytica!$D106,3))</f>
        <v>0.14568043868683658</v>
      </c>
      <c r="AB106" s="796">
        <f>1/SUMIFS('Vehicle eff data 2023'!R$20:R$117,'Vehicle eff data 2023'!$A$20:$A$117,Analytica!$C106,'Vehicle eff data 2023'!$D$20:$D$117,RIGHT(Analytica!$D106,3))</f>
        <v>0.14611835554452188</v>
      </c>
      <c r="AC106" s="796">
        <f>1/SUMIFS('Vehicle eff data 2023'!S$20:S$117,'Vehicle eff data 2023'!$A$20:$A$117,Analytica!$C106,'Vehicle eff data 2023'!$D$20:$D$117,RIGHT(Analytica!$D106,3))</f>
        <v>0.15440341490418077</v>
      </c>
      <c r="AD106" s="796">
        <f>1/SUMIFS('Vehicle eff data 2023'!T$20:T$117,'Vehicle eff data 2023'!$A$20:$A$117,Analytica!$C106,'Vehicle eff data 2023'!$D$20:$D$117,RIGHT(Analytica!$D106,3))</f>
        <v>0.17072807961466688</v>
      </c>
      <c r="AE106" s="796">
        <f>1/SUMIFS('Vehicle eff data 2023'!U$20:U$117,'Vehicle eff data 2023'!$A$20:$A$117,Analytica!$C106,'Vehicle eff data 2023'!$D$20:$D$117,RIGHT(Analytica!$D106,3))</f>
        <v>0.18877870795150914</v>
      </c>
      <c r="AF106" s="796"/>
      <c r="AG106" s="211"/>
      <c r="AH106" s="211"/>
      <c r="AI106" s="211"/>
      <c r="AJ106" s="211"/>
      <c r="AK106" s="890"/>
      <c r="AL106" s="890"/>
      <c r="AM106" s="890"/>
      <c r="AN106" s="890"/>
      <c r="AO106" s="890"/>
      <c r="AP106" s="890"/>
      <c r="AQ106" s="890"/>
      <c r="AR106" s="893"/>
      <c r="AS106" s="891"/>
      <c r="AT106" s="892"/>
      <c r="AU106" s="893"/>
      <c r="AV106" s="893"/>
      <c r="AW106" s="893"/>
      <c r="AX106" s="893"/>
      <c r="AY106" s="894"/>
      <c r="BA106" s="74">
        <f t="shared" si="43"/>
        <v>0</v>
      </c>
      <c r="BB106" s="61" t="s">
        <v>531</v>
      </c>
    </row>
    <row r="107" spans="1:55" ht="15.6" customHeight="1" x14ac:dyDescent="0.25">
      <c r="A107" s="61" t="str">
        <f t="shared" si="59"/>
        <v>CV9HGN</v>
      </c>
      <c r="B107" s="61" t="str">
        <f t="shared" si="45"/>
        <v>TFHCV9HGN-N</v>
      </c>
      <c r="C107" s="61" t="s">
        <v>504</v>
      </c>
      <c r="D107" s="61" t="str">
        <f t="shared" si="83"/>
        <v>TFHCV9</v>
      </c>
      <c r="E107" t="s">
        <v>1003</v>
      </c>
      <c r="F107" s="793">
        <f t="shared" si="84"/>
        <v>0.18</v>
      </c>
      <c r="G107" s="211">
        <f t="shared" si="85"/>
        <v>116959.183879244</v>
      </c>
      <c r="H107" s="211">
        <f t="shared" si="85"/>
        <v>116959.183879244</v>
      </c>
      <c r="I107" s="211">
        <f t="shared" si="85"/>
        <v>47552.055593322402</v>
      </c>
      <c r="J107" s="211">
        <f t="shared" si="85"/>
        <v>7860.3019222272696</v>
      </c>
      <c r="K107" s="211">
        <f t="shared" si="85"/>
        <v>35.501689865113427</v>
      </c>
      <c r="L107" s="211">
        <f t="shared" si="85"/>
        <v>4.3812565909997049E-3</v>
      </c>
      <c r="M107" s="211">
        <f t="shared" si="85"/>
        <v>1</v>
      </c>
      <c r="N107" s="211">
        <f t="shared" si="61"/>
        <v>0.40656965974059917</v>
      </c>
      <c r="O107" s="211">
        <f t="shared" si="62"/>
        <v>6.7205512739749784E-2</v>
      </c>
      <c r="P107" s="211">
        <f t="shared" si="63"/>
        <v>3.0353913807886688E-4</v>
      </c>
      <c r="Q107" s="211">
        <f t="shared" si="64"/>
        <v>3.7459705562952537E-8</v>
      </c>
      <c r="R107" s="211">
        <f t="shared" si="65"/>
        <v>8.5499912604764987E-6</v>
      </c>
      <c r="S107" s="823" t="s">
        <v>532</v>
      </c>
      <c r="T107" s="824"/>
      <c r="U107" s="824"/>
      <c r="V107" s="824"/>
      <c r="W107" s="824"/>
      <c r="X107" s="825" t="s">
        <v>532</v>
      </c>
      <c r="Y107" s="211"/>
      <c r="Z107" s="796">
        <f t="shared" si="66"/>
        <v>0.1141305625102096</v>
      </c>
      <c r="AA107" s="796">
        <f>1/SUMIFS('Vehicle eff data 2023'!Q$20:Q$117,'Vehicle eff data 2023'!$A$20:$A$117,Analytica!$C107,'Vehicle eff data 2023'!$D$20:$D$117,RIGHT(Analytica!$D107,3))</f>
        <v>0.11447364012413526</v>
      </c>
      <c r="AB107" s="796">
        <f>1/SUMIFS('Vehicle eff data 2023'!R$20:R$117,'Vehicle eff data 2023'!$A$20:$A$117,Analytica!$C107,'Vehicle eff data 2023'!$D$20:$D$117,RIGHT(Analytica!$D107,3))</f>
        <v>0.11481774903280431</v>
      </c>
      <c r="AC107" s="796">
        <f>1/SUMIFS('Vehicle eff data 2023'!S$20:S$117,'Vehicle eff data 2023'!$A$20:$A$117,Analytica!$C107,'Vehicle eff data 2023'!$D$20:$D$117,RIGHT(Analytica!$D107,3))</f>
        <v>0.12132803217097823</v>
      </c>
      <c r="AD107" s="796">
        <f>1/SUMIFS('Vehicle eff data 2023'!T$20:T$117,'Vehicle eff data 2023'!$A$20:$A$117,Analytica!$C107,'Vehicle eff data 2023'!$D$20:$D$117,RIGHT(Analytica!$D107,3))</f>
        <v>0.13415572413882385</v>
      </c>
      <c r="AE107" s="796">
        <f>1/SUMIFS('Vehicle eff data 2023'!U$20:U$117,'Vehicle eff data 2023'!$A$20:$A$117,Analytica!$C107,'Vehicle eff data 2023'!$D$20:$D$117,RIGHT(Analytica!$D107,3))</f>
        <v>0.14833965405331348</v>
      </c>
      <c r="AF107" s="796"/>
      <c r="AG107" s="211"/>
      <c r="AH107" s="211"/>
      <c r="AI107" s="211"/>
      <c r="AJ107" s="211"/>
      <c r="AK107" s="890"/>
      <c r="AL107" s="890"/>
      <c r="AM107" s="890"/>
      <c r="AN107" s="890"/>
      <c r="AO107" s="890"/>
      <c r="AP107" s="890"/>
      <c r="AQ107" s="890"/>
      <c r="AR107" s="893"/>
      <c r="AS107" s="891"/>
      <c r="AT107" s="892"/>
      <c r="AU107" s="893"/>
      <c r="AV107" s="893"/>
      <c r="AW107" s="893"/>
      <c r="AX107" s="893"/>
      <c r="AY107" s="894"/>
      <c r="BA107" s="74">
        <f t="shared" si="43"/>
        <v>0</v>
      </c>
      <c r="BB107" s="61" t="s">
        <v>531</v>
      </c>
    </row>
    <row r="108" spans="1:55" x14ac:dyDescent="0.25">
      <c r="A108" s="61" t="str">
        <f t="shared" si="59"/>
        <v>LCVODS</v>
      </c>
      <c r="B108" s="61" t="str">
        <f t="shared" si="45"/>
        <v>TFLCVODS-N</v>
      </c>
      <c r="C108" s="61" t="s">
        <v>511</v>
      </c>
      <c r="D108" s="61" t="s">
        <v>527</v>
      </c>
      <c r="E108" s="61" t="s">
        <v>247</v>
      </c>
      <c r="F108" s="793">
        <f>INDEX($F$17:$F$49,MATCH($E108,$E$17:$E$49,0))</f>
        <v>0.04</v>
      </c>
      <c r="G108" s="794">
        <f>G33</f>
        <v>24753.4936084117</v>
      </c>
      <c r="H108" s="794">
        <f t="shared" ref="H108:L117" si="86">(EXP(-((H$58)*$F108))*G108)</f>
        <v>24753.4936084117</v>
      </c>
      <c r="I108" s="794">
        <f t="shared" si="86"/>
        <v>20266.446463325919</v>
      </c>
      <c r="J108" s="794">
        <f t="shared" si="86"/>
        <v>13585.00532627545</v>
      </c>
      <c r="K108" s="794">
        <f t="shared" si="86"/>
        <v>4091.7249730706026</v>
      </c>
      <c r="L108" s="794">
        <f t="shared" si="86"/>
        <v>553.75475815683149</v>
      </c>
      <c r="M108" s="794">
        <f t="shared" ref="M108:M130" si="87">H108/$G108</f>
        <v>1</v>
      </c>
      <c r="N108" s="794">
        <f t="shared" si="61"/>
        <v>0.81873075307798182</v>
      </c>
      <c r="O108" s="794">
        <f t="shared" si="62"/>
        <v>0.54881163609402639</v>
      </c>
      <c r="P108" s="794">
        <f t="shared" si="63"/>
        <v>0.16529888822158656</v>
      </c>
      <c r="Q108" s="794">
        <f t="shared" si="64"/>
        <v>2.2370771856165598E-2</v>
      </c>
      <c r="R108" s="794">
        <f t="shared" si="65"/>
        <v>4.0398337940474847E-5</v>
      </c>
      <c r="S108" s="811">
        <f>S122/S124*S110</f>
        <v>11.966666666666667</v>
      </c>
      <c r="T108" s="797">
        <f>W33</f>
        <v>11.124053535325499</v>
      </c>
      <c r="U108" s="794">
        <f t="shared" ref="U108:X113" si="88">T108/((1+U$53)^(U$58-T$58))</f>
        <v>10.478584785756766</v>
      </c>
      <c r="V108" s="794">
        <f t="shared" si="88"/>
        <v>9.7241597219628435</v>
      </c>
      <c r="W108" s="794">
        <f t="shared" si="88"/>
        <v>9.0240508839300659</v>
      </c>
      <c r="X108" s="794">
        <f t="shared" si="88"/>
        <v>8.3743476746720358</v>
      </c>
      <c r="Y108" s="211"/>
      <c r="Z108" s="796">
        <f>SUMIF($AC$56:$AC$57,$C108,$AD$56:$AD$57)/S108</f>
        <v>0.21292916829156933</v>
      </c>
      <c r="AA108" s="796">
        <f>1/SUMIFS('Vehicle eff data 2023'!Q$20:Q$117,'Vehicle eff data 2023'!$A$20:$A$117,Analytica!$C108,'Vehicle eff data 2023'!$D$20:$D$117,RIGHT(Analytica!$D108,3))</f>
        <v>0.23594563867169499</v>
      </c>
      <c r="AB108" s="796">
        <f>1/SUMIFS('Vehicle eff data 2023'!R$20:R$117,'Vehicle eff data 2023'!$A$20:$A$117,Analytica!$C108,'Vehicle eff data 2023'!$D$20:$D$117,RIGHT(Analytica!$D108,3))</f>
        <v>0.23665489362454264</v>
      </c>
      <c r="AC108" s="796">
        <f>1/SUMIFS('Vehicle eff data 2023'!S$20:S$117,'Vehicle eff data 2023'!$A$20:$A$117,Analytica!$C108,'Vehicle eff data 2023'!$D$20:$D$117,RIGHT(Analytica!$D108,3))</f>
        <v>0.25007346676770725</v>
      </c>
      <c r="AD108" s="796">
        <f>1/SUMIFS('Vehicle eff data 2023'!T$20:T$117,'Vehicle eff data 2023'!$A$20:$A$117,Analytica!$C108,'Vehicle eff data 2023'!$D$20:$D$117,RIGHT(Analytica!$D108,3))</f>
        <v>0.27651307304523115</v>
      </c>
      <c r="AE108" s="796">
        <f>1/SUMIFS('Vehicle eff data 2023'!U$20:U$117,'Vehicle eff data 2023'!$A$20:$A$117,Analytica!$C108,'Vehicle eff data 2023'!$D$20:$D$117,RIGHT(Analytica!$D108,3))</f>
        <v>0.30574806897022955</v>
      </c>
      <c r="AF108" s="796"/>
      <c r="AG108" s="211"/>
      <c r="AH108" s="826">
        <f>AH122/AH124*AH110</f>
        <v>64.352048125819607</v>
      </c>
      <c r="AI108" s="826">
        <v>285.80088368995087</v>
      </c>
      <c r="AJ108" s="797"/>
      <c r="AK108" s="890"/>
      <c r="AL108" s="890"/>
      <c r="AM108" s="890"/>
      <c r="AN108" s="890"/>
      <c r="AO108" s="890"/>
      <c r="AP108" s="890"/>
      <c r="AQ108" s="890"/>
      <c r="AR108" s="893"/>
      <c r="AS108" s="891"/>
      <c r="AT108" s="892"/>
      <c r="AU108" s="893"/>
      <c r="AV108" s="893"/>
      <c r="AW108" s="893"/>
      <c r="AX108" s="893"/>
      <c r="AY108" s="894"/>
      <c r="BA108" s="164">
        <f t="shared" si="43"/>
        <v>0.74392467269385154</v>
      </c>
      <c r="BC108" s="166"/>
    </row>
    <row r="109" spans="1:55" x14ac:dyDescent="0.25">
      <c r="A109" s="61" t="str">
        <f t="shared" si="59"/>
        <v>LCVODSH</v>
      </c>
      <c r="B109" s="61" t="str">
        <f t="shared" si="45"/>
        <v>TFLCVODSH-N</v>
      </c>
      <c r="C109" s="61" t="s">
        <v>521</v>
      </c>
      <c r="D109" s="61" t="s">
        <v>527</v>
      </c>
      <c r="E109" s="61" t="s">
        <v>530</v>
      </c>
      <c r="F109" s="793">
        <f>F108</f>
        <v>0.04</v>
      </c>
      <c r="G109" s="794">
        <f>$G$38/$G$39 * G108</f>
        <v>27649.267007664359</v>
      </c>
      <c r="H109" s="794">
        <f t="shared" si="86"/>
        <v>27649.267007664359</v>
      </c>
      <c r="I109" s="794">
        <f t="shared" si="86"/>
        <v>22637.305199239239</v>
      </c>
      <c r="J109" s="794">
        <f t="shared" si="86"/>
        <v>15174.239463276865</v>
      </c>
      <c r="K109" s="794">
        <f t="shared" si="86"/>
        <v>4570.393096508712</v>
      </c>
      <c r="L109" s="794">
        <f t="shared" si="86"/>
        <v>618.53544421866593</v>
      </c>
      <c r="M109" s="794">
        <f t="shared" si="87"/>
        <v>1</v>
      </c>
      <c r="N109" s="794">
        <f t="shared" si="61"/>
        <v>0.81873075307798193</v>
      </c>
      <c r="O109" s="794">
        <f t="shared" si="62"/>
        <v>0.5488116360940265</v>
      </c>
      <c r="P109" s="794">
        <f t="shared" si="63"/>
        <v>0.16529888822158656</v>
      </c>
      <c r="Q109" s="794">
        <f t="shared" si="64"/>
        <v>2.2370771856165601E-2</v>
      </c>
      <c r="R109" s="794">
        <f t="shared" si="65"/>
        <v>3.6167324064062912E-5</v>
      </c>
      <c r="S109" s="811">
        <f>S123/S125*S112</f>
        <v>15.751426694738184</v>
      </c>
      <c r="T109" s="797">
        <f>W34</f>
        <v>14.176565003733501</v>
      </c>
      <c r="U109" s="794">
        <f t="shared" si="88"/>
        <v>13.353975499189914</v>
      </c>
      <c r="V109" s="794">
        <f t="shared" si="88"/>
        <v>12.392531370630406</v>
      </c>
      <c r="W109" s="794">
        <f t="shared" si="88"/>
        <v>11.500308187728439</v>
      </c>
      <c r="X109" s="794">
        <f t="shared" si="88"/>
        <v>10.67232226066222</v>
      </c>
      <c r="Y109" s="211"/>
      <c r="Z109" s="796">
        <f>AA109/AA108 *Z108</f>
        <v>0.21837716429938203</v>
      </c>
      <c r="AA109" s="796">
        <f>1/SUMIFS('Vehicle eff data 2023'!Q$20:Q$117,'Vehicle eff data 2023'!$A$20:$A$117,Analytica!$C109,'Vehicle eff data 2023'!$D$20:$D$117,RIGHT(Analytica!$D109,3))</f>
        <v>0.24198253304299144</v>
      </c>
      <c r="AB109" s="796">
        <f>1/SUMIFS('Vehicle eff data 2023'!R$20:R$117,'Vehicle eff data 2023'!$A$20:$A$117,Analytica!$C109,'Vehicle eff data 2023'!$D$20:$D$117,RIGHT(Analytica!$D109,3))</f>
        <v>0.24270993496077886</v>
      </c>
      <c r="AC109" s="796">
        <f>1/SUMIFS('Vehicle eff data 2023'!S$20:S$117,'Vehicle eff data 2023'!$A$20:$A$117,Analytica!$C109,'Vehicle eff data 2023'!$D$20:$D$117,RIGHT(Analytica!$D109,3))</f>
        <v>0.25647183510559879</v>
      </c>
      <c r="AD109" s="796">
        <f>1/SUMIFS('Vehicle eff data 2023'!T$20:T$117,'Vehicle eff data 2023'!$A$20:$A$117,Analytica!$C109,'Vehicle eff data 2023'!$D$20:$D$117,RIGHT(Analytica!$D109,3))</f>
        <v>0.28358792394586324</v>
      </c>
      <c r="AE109" s="796">
        <f>1/SUMIFS('Vehicle eff data 2023'!U$20:U$117,'Vehicle eff data 2023'!$A$20:$A$117,Analytica!$C109,'Vehicle eff data 2023'!$D$20:$D$117,RIGHT(Analytica!$D109,3))</f>
        <v>0.31357092514588203</v>
      </c>
      <c r="AF109" s="796"/>
      <c r="AG109" s="211"/>
      <c r="AH109" s="826">
        <f>AH123/AH124*AH112</f>
        <v>156.3771639383817</v>
      </c>
      <c r="AI109" s="826">
        <v>286.80088368995098</v>
      </c>
      <c r="AJ109" s="797"/>
      <c r="AK109" s="890"/>
      <c r="AL109" s="890"/>
      <c r="AM109" s="890"/>
      <c r="AN109" s="890"/>
      <c r="AO109" s="890"/>
      <c r="AP109" s="890"/>
      <c r="AQ109" s="890"/>
      <c r="AR109" s="893"/>
      <c r="AS109" s="891"/>
      <c r="AT109" s="892"/>
      <c r="AU109" s="893"/>
      <c r="AV109" s="893"/>
      <c r="AW109" s="893"/>
      <c r="AX109" s="893"/>
      <c r="AY109" s="894"/>
      <c r="BA109" s="164">
        <f t="shared" si="43"/>
        <v>0</v>
      </c>
      <c r="BC109" s="166"/>
    </row>
    <row r="110" spans="1:55" x14ac:dyDescent="0.25">
      <c r="A110" s="61" t="str">
        <f t="shared" si="59"/>
        <v>LCVOGS</v>
      </c>
      <c r="B110" s="61" t="str">
        <f t="shared" si="45"/>
        <v>TFLCVOGS-N</v>
      </c>
      <c r="C110" s="61" t="s">
        <v>573</v>
      </c>
      <c r="D110" s="61" t="s">
        <v>527</v>
      </c>
      <c r="E110" s="61" t="s">
        <v>246</v>
      </c>
      <c r="F110" s="793">
        <f>INDEX($F$17:$F$49,MATCH($E110,$E$17:$E$49,0))</f>
        <v>3.4999999999999996E-2</v>
      </c>
      <c r="G110" s="794">
        <f>G34</f>
        <v>16984.001252855</v>
      </c>
      <c r="H110" s="794">
        <f t="shared" si="86"/>
        <v>16984.001252855</v>
      </c>
      <c r="I110" s="794">
        <f t="shared" si="86"/>
        <v>14257.339092462144</v>
      </c>
      <c r="J110" s="794">
        <f t="shared" si="86"/>
        <v>10046.977049539084</v>
      </c>
      <c r="K110" s="794">
        <f t="shared" si="86"/>
        <v>3515.8165340871446</v>
      </c>
      <c r="L110" s="794">
        <f t="shared" si="86"/>
        <v>610.95730357659954</v>
      </c>
      <c r="M110" s="794">
        <f t="shared" si="87"/>
        <v>1</v>
      </c>
      <c r="N110" s="794">
        <f t="shared" si="61"/>
        <v>0.83945702076920736</v>
      </c>
      <c r="O110" s="794">
        <f t="shared" si="62"/>
        <v>0.59155536436681511</v>
      </c>
      <c r="P110" s="794">
        <f t="shared" si="63"/>
        <v>0.2070075526811527</v>
      </c>
      <c r="Q110" s="794">
        <f t="shared" si="64"/>
        <v>3.5972518753429675E-2</v>
      </c>
      <c r="R110" s="794">
        <f t="shared" si="65"/>
        <v>5.8878940545997701E-5</v>
      </c>
      <c r="S110" s="211">
        <v>14.36</v>
      </c>
      <c r="T110" s="797">
        <f>W34</f>
        <v>14.176565003733501</v>
      </c>
      <c r="U110" s="794">
        <f t="shared" si="88"/>
        <v>13.353975499189914</v>
      </c>
      <c r="V110" s="794">
        <f t="shared" si="88"/>
        <v>12.392531370630406</v>
      </c>
      <c r="W110" s="794">
        <f t="shared" si="88"/>
        <v>11.500308187728439</v>
      </c>
      <c r="X110" s="794">
        <f t="shared" si="88"/>
        <v>10.67232226066222</v>
      </c>
      <c r="Y110" s="211"/>
      <c r="Z110" s="796">
        <f>SUMIF($AC$56:$AC$57,$C110,$AD$56:$AD$57)/S110</f>
        <v>0.20361954096010662</v>
      </c>
      <c r="AA110" s="796">
        <f>1/SUMIFS('Vehicle eff data 2023'!Q$20:Q$117,'Vehicle eff data 2023'!$A$20:$A$117,Analytica!$C110,'Vehicle eff data 2023'!$D$20:$D$117,RIGHT(Analytica!$D110,3))</f>
        <v>0.206254237709705</v>
      </c>
      <c r="AB110" s="796">
        <f>1/SUMIFS('Vehicle eff data 2023'!R$20:R$117,'Vehicle eff data 2023'!$A$20:$A$117,Analytica!$C110,'Vehicle eff data 2023'!$D$20:$D$117,RIGHT(Analytica!$D110,3))</f>
        <v>0.2068742400139009</v>
      </c>
      <c r="AC110" s="796">
        <f>1/SUMIFS('Vehicle eff data 2023'!S$20:S$117,'Vehicle eff data 2023'!$A$20:$A$117,Analytica!$C110,'Vehicle eff data 2023'!$D$20:$D$117,RIGHT(Analytica!$D110,3))</f>
        <v>0.21860421981084194</v>
      </c>
      <c r="AD110" s="796">
        <f>1/SUMIFS('Vehicle eff data 2023'!T$20:T$117,'Vehicle eff data 2023'!$A$20:$A$117,Analytica!$C110,'Vehicle eff data 2023'!$D$20:$D$117,RIGHT(Analytica!$D110,3))</f>
        <v>0.24171666583364532</v>
      </c>
      <c r="AE110" s="796">
        <f>1/SUMIFS('Vehicle eff data 2023'!U$20:U$117,'Vehicle eff data 2023'!$A$20:$A$117,Analytica!$C110,'Vehicle eff data 2023'!$D$20:$D$117,RIGHT(Analytica!$D110,3))</f>
        <v>0.26727272964945947</v>
      </c>
      <c r="AF110" s="796"/>
      <c r="AG110" s="211"/>
      <c r="AH110" s="797">
        <v>62.089100000000002</v>
      </c>
      <c r="AI110" s="797">
        <v>183.51728669017189</v>
      </c>
      <c r="AJ110" s="797"/>
      <c r="AK110" s="890"/>
      <c r="AL110" s="890"/>
      <c r="AM110" s="890"/>
      <c r="AN110" s="890"/>
      <c r="AO110" s="890"/>
      <c r="AP110" s="890"/>
      <c r="AQ110" s="890"/>
      <c r="AR110" s="893"/>
      <c r="AS110" s="891"/>
      <c r="AT110" s="892"/>
      <c r="AU110" s="893"/>
      <c r="AV110" s="893"/>
      <c r="AW110" s="893"/>
      <c r="AX110" s="893"/>
      <c r="AY110" s="894"/>
      <c r="BA110" s="164">
        <f t="shared" si="43"/>
        <v>0.25607532730614846</v>
      </c>
      <c r="BB110" s="61" t="s">
        <v>129</v>
      </c>
      <c r="BC110" s="166">
        <f>AJ110*1000</f>
        <v>0</v>
      </c>
    </row>
    <row r="111" spans="1:55" x14ac:dyDescent="0.25">
      <c r="A111" s="61" t="str">
        <f t="shared" si="59"/>
        <v>LCVOGSH</v>
      </c>
      <c r="B111" s="61" t="str">
        <f t="shared" si="45"/>
        <v>TFLCVOGSH-N</v>
      </c>
      <c r="C111" s="61" t="s">
        <v>519</v>
      </c>
      <c r="D111" s="61" t="s">
        <v>527</v>
      </c>
      <c r="E111" s="61" t="s">
        <v>529</v>
      </c>
      <c r="F111" s="793">
        <f>F110</f>
        <v>3.4999999999999996E-2</v>
      </c>
      <c r="G111" s="794">
        <f>$G$38/$G$39 * G110</f>
        <v>18970.86499899621</v>
      </c>
      <c r="H111" s="794">
        <f t="shared" si="86"/>
        <v>18970.86499899621</v>
      </c>
      <c r="I111" s="794">
        <f t="shared" si="86"/>
        <v>15925.225813472191</v>
      </c>
      <c r="J111" s="794">
        <f t="shared" si="86"/>
        <v>11222.316956834862</v>
      </c>
      <c r="K111" s="794">
        <f t="shared" si="86"/>
        <v>3927.1123356867433</v>
      </c>
      <c r="L111" s="794">
        <f t="shared" si="86"/>
        <v>682.42979694517373</v>
      </c>
      <c r="M111" s="794">
        <f t="shared" si="87"/>
        <v>1</v>
      </c>
      <c r="N111" s="794">
        <f t="shared" si="61"/>
        <v>0.83945702076920736</v>
      </c>
      <c r="O111" s="794">
        <f t="shared" si="62"/>
        <v>0.59155536436681511</v>
      </c>
      <c r="P111" s="794">
        <f t="shared" si="63"/>
        <v>0.20700755268115267</v>
      </c>
      <c r="Q111" s="794">
        <f t="shared" si="64"/>
        <v>3.5972518753429668E-2</v>
      </c>
      <c r="R111" s="794">
        <f t="shared" si="65"/>
        <v>5.2712409268260151E-5</v>
      </c>
      <c r="S111" s="211">
        <v>15.36</v>
      </c>
      <c r="T111" s="797">
        <f>W35</f>
        <v>11.0775109229247</v>
      </c>
      <c r="U111" s="794">
        <f t="shared" si="88"/>
        <v>10.434742789793365</v>
      </c>
      <c r="V111" s="794">
        <f t="shared" si="88"/>
        <v>9.6834742114674519</v>
      </c>
      <c r="W111" s="794">
        <f t="shared" si="88"/>
        <v>8.9862946019019283</v>
      </c>
      <c r="X111" s="794">
        <f t="shared" si="88"/>
        <v>8.3393097258978717</v>
      </c>
      <c r="Y111" s="211"/>
      <c r="Z111" s="796">
        <f>AA111/AA110*Z110</f>
        <v>0.26648447154333066</v>
      </c>
      <c r="AA111" s="796">
        <f>1/SUMIFS('Vehicle eff data 2023'!Q$20:Q$117,'Vehicle eff data 2023'!$A$20:$A$117,Analytica!$C111,'Vehicle eff data 2023'!$D$20:$D$117,RIGHT(Analytica!$D111,3))</f>
        <v>0.26993259723737301</v>
      </c>
      <c r="AB111" s="796">
        <f>1/SUMIFS('Vehicle eff data 2023'!R$20:R$117,'Vehicle eff data 2023'!$A$20:$A$117,Analytica!$C111,'Vehicle eff data 2023'!$D$20:$D$117,RIGHT(Analytica!$D111,3))</f>
        <v>0.2707440173280492</v>
      </c>
      <c r="AC111" s="796">
        <f>1/SUMIFS('Vehicle eff data 2023'!S$20:S$117,'Vehicle eff data 2023'!$A$20:$A$117,Analytica!$C111,'Vehicle eff data 2023'!$D$20:$D$117,RIGHT(Analytica!$D111,3))</f>
        <v>0.28609547845335548</v>
      </c>
      <c r="AD111" s="796">
        <f>1/SUMIFS('Vehicle eff data 2023'!T$20:T$117,'Vehicle eff data 2023'!$A$20:$A$117,Analytica!$C111,'Vehicle eff data 2023'!$D$20:$D$117,RIGHT(Analytica!$D111,3))</f>
        <v>0.31634359675977686</v>
      </c>
      <c r="AE111" s="796">
        <f>1/SUMIFS('Vehicle eff data 2023'!U$20:U$117,'Vehicle eff data 2023'!$A$20:$A$117,Analytica!$C111,'Vehicle eff data 2023'!$D$20:$D$117,RIGHT(Analytica!$D111,3))</f>
        <v>0.3497897686181996</v>
      </c>
      <c r="AF111" s="796"/>
      <c r="AG111" s="211"/>
      <c r="AH111" s="797">
        <v>62.089100000000002</v>
      </c>
      <c r="AI111" s="797">
        <v>183.51728669017189</v>
      </c>
      <c r="AJ111" s="797"/>
      <c r="AK111" s="890"/>
      <c r="AL111" s="890"/>
      <c r="AM111" s="890"/>
      <c r="AN111" s="890"/>
      <c r="AO111" s="890"/>
      <c r="AP111" s="890"/>
      <c r="AQ111" s="890"/>
      <c r="AR111" s="893"/>
      <c r="AS111" s="891"/>
      <c r="AT111" s="892"/>
      <c r="AU111" s="893"/>
      <c r="AV111" s="893"/>
      <c r="AW111" s="893"/>
      <c r="AX111" s="893"/>
      <c r="AY111" s="894"/>
      <c r="BA111" s="164">
        <f t="shared" si="43"/>
        <v>0</v>
      </c>
      <c r="BB111" s="61" t="s">
        <v>129</v>
      </c>
      <c r="BC111" s="166">
        <f>AJ111*1000</f>
        <v>0</v>
      </c>
    </row>
    <row r="112" spans="1:55" x14ac:dyDescent="0.25">
      <c r="A112" s="61" t="str">
        <f t="shared" si="59"/>
        <v>LCVGAS</v>
      </c>
      <c r="B112" s="61" t="str">
        <f t="shared" si="45"/>
        <v>TFLCVGAS-N</v>
      </c>
      <c r="C112" s="61" t="s">
        <v>509</v>
      </c>
      <c r="D112" s="61" t="s">
        <v>527</v>
      </c>
      <c r="E112" s="61" t="s">
        <v>528</v>
      </c>
      <c r="F112" s="793">
        <f>F110</f>
        <v>3.4999999999999996E-2</v>
      </c>
      <c r="G112" s="794">
        <f>G110</f>
        <v>16984.001252855</v>
      </c>
      <c r="H112" s="794">
        <f t="shared" si="86"/>
        <v>16984.001252855</v>
      </c>
      <c r="I112" s="794">
        <f t="shared" si="86"/>
        <v>14257.339092462144</v>
      </c>
      <c r="J112" s="794">
        <f t="shared" si="86"/>
        <v>10046.977049539084</v>
      </c>
      <c r="K112" s="794">
        <f t="shared" si="86"/>
        <v>3515.8165340871446</v>
      </c>
      <c r="L112" s="794">
        <f t="shared" si="86"/>
        <v>610.95730357659954</v>
      </c>
      <c r="M112" s="794">
        <f t="shared" si="87"/>
        <v>1</v>
      </c>
      <c r="N112" s="794">
        <f t="shared" si="61"/>
        <v>0.83945702076920736</v>
      </c>
      <c r="O112" s="794">
        <f t="shared" si="62"/>
        <v>0.59155536436681511</v>
      </c>
      <c r="P112" s="794">
        <f t="shared" si="63"/>
        <v>0.2070075526811527</v>
      </c>
      <c r="Q112" s="794">
        <f t="shared" si="64"/>
        <v>3.5972518753429675E-2</v>
      </c>
      <c r="R112" s="794">
        <f t="shared" si="65"/>
        <v>5.8878940545997701E-5</v>
      </c>
      <c r="S112" s="211">
        <f>S110*(1+$AJ$55)</f>
        <v>16.513999999999999</v>
      </c>
      <c r="T112" s="211">
        <f>T110*(1+$AJ$55)</f>
        <v>16.303049754293525</v>
      </c>
      <c r="U112" s="794">
        <f t="shared" si="88"/>
        <v>15.357071824068401</v>
      </c>
      <c r="V112" s="794">
        <f t="shared" si="88"/>
        <v>14.251411076224967</v>
      </c>
      <c r="W112" s="794">
        <f t="shared" si="88"/>
        <v>13.225354415887704</v>
      </c>
      <c r="X112" s="794">
        <f t="shared" si="88"/>
        <v>12.273170599761553</v>
      </c>
      <c r="Y112" s="211"/>
      <c r="Z112" s="796">
        <f t="shared" ref="Z112:Z120" si="89">(AA112/AB112)*AA112</f>
        <v>0.17525998848037599</v>
      </c>
      <c r="AA112" s="796">
        <f>1/SUMIFS('Vehicle eff data 2023'!Q$20:Q$117,'Vehicle eff data 2023'!$A$20:$A$117,Analytica!$C112,'Vehicle eff data 2023'!$D$20:$D$117,RIGHT(Analytica!$D112,3))</f>
        <v>0.17578682176098046</v>
      </c>
      <c r="AB112" s="796">
        <f>1/SUMIFS('Vehicle eff data 2023'!R$20:R$117,'Vehicle eff data 2023'!$A$20:$A$117,Analytica!$C112,'Vehicle eff data 2023'!$D$20:$D$117,RIGHT(Analytica!$D112,3))</f>
        <v>0.17631523870770266</v>
      </c>
      <c r="AC112" s="796">
        <f>1/SUMIFS('Vehicle eff data 2023'!S$20:S$117,'Vehicle eff data 2023'!$A$20:$A$117,Analytica!$C112,'Vehicle eff data 2023'!$D$20:$D$117,RIGHT(Analytica!$D112,3))</f>
        <v>0.1863124920525136</v>
      </c>
      <c r="AD112" s="796">
        <f>1/SUMIFS('Vehicle eff data 2023'!T$20:T$117,'Vehicle eff data 2023'!$A$20:$A$117,Analytica!$C112,'Vehicle eff data 2023'!$D$20:$D$117,RIGHT(Analytica!$D112,3))</f>
        <v>0.2060108191006548</v>
      </c>
      <c r="AE112" s="796">
        <f>1/SUMIFS('Vehicle eff data 2023'!U$20:U$117,'Vehicle eff data 2023'!$A$20:$A$117,Analytica!$C112,'Vehicle eff data 2023'!$D$20:$D$117,RIGHT(Analytica!$D112,3))</f>
        <v>0.22779179817186146</v>
      </c>
      <c r="AF112" s="796"/>
      <c r="AG112" s="211"/>
      <c r="AH112" s="797">
        <f>AH110*(1+$AR$57)</f>
        <v>68.298010000000005</v>
      </c>
      <c r="AI112" s="797">
        <f>AI110*(1+$AR$57)</f>
        <v>201.86901535918909</v>
      </c>
      <c r="AJ112" s="797"/>
      <c r="AK112" s="890"/>
      <c r="AL112" s="890"/>
      <c r="AM112" s="890"/>
      <c r="AN112" s="890"/>
      <c r="AO112" s="890"/>
      <c r="AP112" s="890"/>
      <c r="AQ112" s="890"/>
      <c r="AR112" s="893"/>
      <c r="AS112" s="891"/>
      <c r="AT112" s="892"/>
      <c r="AU112" s="893"/>
      <c r="AV112" s="893"/>
      <c r="AW112" s="893"/>
      <c r="AX112" s="893"/>
      <c r="AY112" s="894"/>
      <c r="BA112" s="164">
        <f t="shared" si="43"/>
        <v>0</v>
      </c>
      <c r="BB112" s="61" t="s">
        <v>524</v>
      </c>
      <c r="BC112" s="166">
        <f>AJ112*1000</f>
        <v>0</v>
      </c>
    </row>
    <row r="113" spans="1:57" x14ac:dyDescent="0.25">
      <c r="A113" s="840" t="str">
        <f t="shared" si="59"/>
        <v>LCVELC</v>
      </c>
      <c r="B113" s="840" t="str">
        <f t="shared" si="45"/>
        <v>TFLCVELC-N</v>
      </c>
      <c r="C113" s="840" t="s">
        <v>501</v>
      </c>
      <c r="D113" s="840" t="s">
        <v>527</v>
      </c>
      <c r="E113" s="841" t="s">
        <v>1004</v>
      </c>
      <c r="F113" s="842">
        <f>F110</f>
        <v>3.4999999999999996E-2</v>
      </c>
      <c r="G113" s="851">
        <f>G108</f>
        <v>24753.4936084117</v>
      </c>
      <c r="H113" s="851">
        <f t="shared" si="86"/>
        <v>24753.4936084117</v>
      </c>
      <c r="I113" s="851">
        <f t="shared" si="86"/>
        <v>20779.493998146903</v>
      </c>
      <c r="J113" s="851">
        <f t="shared" si="86"/>
        <v>14643.061930875612</v>
      </c>
      <c r="K113" s="851">
        <f t="shared" si="86"/>
        <v>5124.1601321858616</v>
      </c>
      <c r="L113" s="851">
        <f t="shared" si="86"/>
        <v>890.44551304149149</v>
      </c>
      <c r="M113" s="851">
        <f t="shared" si="87"/>
        <v>1</v>
      </c>
      <c r="N113" s="851">
        <f t="shared" si="61"/>
        <v>0.83945702076920736</v>
      </c>
      <c r="O113" s="851">
        <f t="shared" si="62"/>
        <v>0.59155536436681511</v>
      </c>
      <c r="P113" s="851">
        <f t="shared" si="63"/>
        <v>0.2070075526811527</v>
      </c>
      <c r="Q113" s="851">
        <f t="shared" si="64"/>
        <v>3.5972518753429675E-2</v>
      </c>
      <c r="R113" s="851">
        <f t="shared" si="65"/>
        <v>4.0398337940474847E-5</v>
      </c>
      <c r="S113" s="852">
        <v>23.5</v>
      </c>
      <c r="T113" s="840">
        <f>T112*(1+$AJ$55)</f>
        <v>18.748507217437552</v>
      </c>
      <c r="U113" s="851">
        <f t="shared" si="88"/>
        <v>17.66063259767866</v>
      </c>
      <c r="V113" s="851">
        <f t="shared" si="88"/>
        <v>16.38912273765871</v>
      </c>
      <c r="W113" s="851">
        <f t="shared" si="88"/>
        <v>15.209157578270858</v>
      </c>
      <c r="X113" s="851">
        <f t="shared" si="88"/>
        <v>14.114146189725783</v>
      </c>
      <c r="Y113" s="840"/>
      <c r="Z113" s="839">
        <f t="shared" si="89"/>
        <v>0.82174669541157208</v>
      </c>
      <c r="AA113" s="839">
        <f>1/SUMIFS('Vehicle eff data 2023'!Q$20:Q$117,'Vehicle eff data 2023'!$A$20:$A$117,Analytica!$C113,'Vehicle eff data 2023'!$D$20:$D$117,RIGHT(Analytica!$D113,3))</f>
        <v>0.82421687420778977</v>
      </c>
      <c r="AB113" s="839">
        <f>1/SUMIFS('Vehicle eff data 2023'!R$20:R$117,'Vehicle eff data 2023'!$A$20:$A$117,Analytica!$C113,'Vehicle eff data 2023'!$D$20:$D$117,RIGHT(Analytica!$D113,3))</f>
        <v>0.8266944783862078</v>
      </c>
      <c r="AC113" s="839">
        <f>1/SUMIFS('Vehicle eff data 2023'!S$20:S$117,'Vehicle eff data 2023'!$A$20:$A$117,Analytica!$C113,'Vehicle eff data 2023'!$D$20:$D$117,RIGHT(Analytica!$D113,3))</f>
        <v>0.87356889604720478</v>
      </c>
      <c r="AD113" s="839">
        <f>1/SUMIFS('Vehicle eff data 2023'!T$20:T$117,'Vehicle eff data 2023'!$A$20:$A$117,Analytica!$C113,'Vehicle eff data 2023'!$D$20:$D$117,RIGHT(Analytica!$D113,3))</f>
        <v>0.96592902511773071</v>
      </c>
      <c r="AE113" s="853">
        <f>1/SUMIFS('Vehicle eff data 2023'!U$20:U$117,'Vehicle eff data 2023'!$A$20:$A$117,Analytica!$C113,'Vehicle eff data 2023'!$D$20:$D$117,RIGHT(Analytica!$D113,3))</f>
        <v>1.068054146372071</v>
      </c>
      <c r="AF113" s="827"/>
      <c r="AG113" s="798"/>
      <c r="AH113" s="798">
        <f>AH112*(1+$AR$57)</f>
        <v>75.127811000000008</v>
      </c>
      <c r="AI113" s="798">
        <f>AI112*(1+$AR$57)</f>
        <v>222.05591689510803</v>
      </c>
      <c r="AJ113" s="798"/>
      <c r="AK113" s="890"/>
      <c r="AL113" s="890"/>
      <c r="AM113" s="890"/>
      <c r="AN113" s="890"/>
      <c r="AO113" s="890"/>
      <c r="AP113" s="890"/>
      <c r="AQ113" s="890"/>
      <c r="AR113" s="893"/>
      <c r="AS113" s="891"/>
      <c r="AT113" s="892"/>
      <c r="AU113" s="893"/>
      <c r="AV113" s="893"/>
      <c r="AW113" s="893"/>
      <c r="AX113" s="893"/>
      <c r="AY113" s="894"/>
      <c r="BA113" s="164">
        <f t="shared" si="43"/>
        <v>0</v>
      </c>
      <c r="BB113" s="61" t="str">
        <f>C113</f>
        <v>ELC</v>
      </c>
      <c r="BC113" s="166">
        <f>AJ113*1000</f>
        <v>0</v>
      </c>
    </row>
    <row r="114" spans="1:57" x14ac:dyDescent="0.25">
      <c r="A114" s="61" t="str">
        <f t="shared" si="59"/>
        <v>MBTODS</v>
      </c>
      <c r="B114" s="61" t="str">
        <f>D114&amp;C114&amp;"H-N"</f>
        <v>TPPUMBTODSH-N</v>
      </c>
      <c r="C114" s="61" t="s">
        <v>511</v>
      </c>
      <c r="D114" s="61" t="s">
        <v>523</v>
      </c>
      <c r="E114" s="61" t="s">
        <v>526</v>
      </c>
      <c r="F114" s="793">
        <f>F115</f>
        <v>3.4999999999999996E-2</v>
      </c>
      <c r="G114" s="794">
        <f>G115</f>
        <v>30917.830131483901</v>
      </c>
      <c r="H114" s="794">
        <f t="shared" si="86"/>
        <v>30917.830131483901</v>
      </c>
      <c r="I114" s="794">
        <f t="shared" si="86"/>
        <v>25954.189570823906</v>
      </c>
      <c r="J114" s="794">
        <f t="shared" si="86"/>
        <v>18289.608268861255</v>
      </c>
      <c r="K114" s="794">
        <f t="shared" si="86"/>
        <v>6400.2243497300842</v>
      </c>
      <c r="L114" s="794">
        <f t="shared" si="86"/>
        <v>1112.1922242201579</v>
      </c>
      <c r="M114" s="794">
        <f t="shared" si="87"/>
        <v>1</v>
      </c>
      <c r="N114" s="794">
        <f t="shared" si="61"/>
        <v>0.83945702076920736</v>
      </c>
      <c r="O114" s="794">
        <f t="shared" si="62"/>
        <v>0.59155536436681511</v>
      </c>
      <c r="P114" s="794">
        <f t="shared" si="63"/>
        <v>0.2070075526811527</v>
      </c>
      <c r="Q114" s="794">
        <f t="shared" si="64"/>
        <v>3.5972518753429682E-2</v>
      </c>
      <c r="R114" s="794">
        <f t="shared" si="65"/>
        <v>3.2343796306122114E-5</v>
      </c>
      <c r="S114" s="211">
        <f>S115/1.3</f>
        <v>8.8076923076923066</v>
      </c>
      <c r="T114" s="794">
        <f>S114/((1+T$57)^(T$58-S$58))</f>
        <v>8.0550062340997179</v>
      </c>
      <c r="U114" s="794">
        <f>T114/((1+U$57)^(U$58-T$58))</f>
        <v>7.1505186362966207</v>
      </c>
      <c r="V114" s="794">
        <f>U114/((1+V$57)^(V$58-U$58))</f>
        <v>6.1613675987156</v>
      </c>
      <c r="W114" s="794">
        <f>V114/((1+W$57)^(W$58-V$58))</f>
        <v>5.3090485624080355</v>
      </c>
      <c r="X114" s="794">
        <f>W114/((1+X$57)^(X$58-W$58))</f>
        <v>4.5746331778487761</v>
      </c>
      <c r="Y114" s="211"/>
      <c r="Z114" s="796">
        <f t="shared" si="89"/>
        <v>0.23340065991082923</v>
      </c>
      <c r="AA114" s="796">
        <f>1/SUMIFS('Vehicle eff data 2023'!Q$20:Q$117,'Vehicle eff data 2023'!$A$20:$A$117,Analytica!$C114,'Vehicle eff data 2023'!$D$20:$D$117,RIGHT(Analytica!$D114,3))</f>
        <v>0.23693697386285403</v>
      </c>
      <c r="AB114" s="796">
        <f>1/SUMIFS('Vehicle eff data 2023'!R$20:R$117,'Vehicle eff data 2023'!$A$20:$A$117,Analytica!$C114,'Vehicle eff data 2023'!$D$20:$D$117,RIGHT(Analytica!$D114,3))</f>
        <v>0.24052686742503102</v>
      </c>
      <c r="AC114" s="796">
        <f>1/SUMIFS('Vehicle eff data 2023'!S$20:S$117,'Vehicle eff data 2023'!$A$20:$A$117,Analytica!$C114,'Vehicle eff data 2023'!$D$20:$D$117,RIGHT(Analytica!$D114,3))</f>
        <v>0.25933339216798273</v>
      </c>
      <c r="AD114" s="796">
        <f>1/SUMIFS('Vehicle eff data 2023'!T$20:T$117,'Vehicle eff data 2023'!$A$20:$A$117,Analytica!$C114,'Vehicle eff data 2023'!$D$20:$D$117,RIGHT(Analytica!$D114,3))</f>
        <v>0.28675202586855569</v>
      </c>
      <c r="AE114" s="827">
        <f>1/SUMIFS('Vehicle eff data 2023'!U$20:U$117,'Vehicle eff data 2023'!$A$20:$A$117,Analytica!$C114,'Vehicle eff data 2023'!$D$20:$D$117,RIGHT(Analytica!$D114,3))</f>
        <v>0.31706955919682966</v>
      </c>
      <c r="AF114" s="827"/>
      <c r="AG114" s="798">
        <v>1</v>
      </c>
      <c r="AH114" s="798">
        <f>AH66/AH67*AH115</f>
        <v>487.93844290017597</v>
      </c>
      <c r="AI114" s="798">
        <f>AI66/AI67*AI115</f>
        <v>911.62921065175237</v>
      </c>
      <c r="AJ114" s="798"/>
      <c r="AK114" s="890"/>
      <c r="AL114" s="890"/>
      <c r="AM114" s="890"/>
      <c r="AN114" s="890"/>
      <c r="AO114" s="890"/>
      <c r="AP114" s="890"/>
      <c r="AQ114" s="890"/>
      <c r="AR114" s="893"/>
      <c r="AS114" s="891"/>
      <c r="AT114" s="892"/>
      <c r="AU114" s="893"/>
      <c r="AV114" s="893"/>
      <c r="AW114" s="893"/>
      <c r="AX114" s="893"/>
      <c r="AY114" s="894"/>
      <c r="BA114" s="164">
        <f t="shared" si="43"/>
        <v>0</v>
      </c>
      <c r="BC114" s="168">
        <f>BC112-BC110</f>
        <v>0</v>
      </c>
      <c r="BD114" s="166">
        <f>BC114/5.5</f>
        <v>0</v>
      </c>
      <c r="BE114" s="61" t="s">
        <v>63</v>
      </c>
    </row>
    <row r="115" spans="1:57" x14ac:dyDescent="0.25">
      <c r="A115" s="61" t="str">
        <f t="shared" si="59"/>
        <v>MBTODS</v>
      </c>
      <c r="B115" s="61" t="str">
        <f>D115&amp;C115&amp;"-N"</f>
        <v>TPPUMBTODS-N</v>
      </c>
      <c r="C115" s="61" t="s">
        <v>511</v>
      </c>
      <c r="D115" s="61" t="s">
        <v>523</v>
      </c>
      <c r="E115" s="61" t="s">
        <v>305</v>
      </c>
      <c r="F115" s="793">
        <f>INDEX($F$17:$F$49,MATCH($E115,$E$17:$E$49,0))</f>
        <v>3.4999999999999996E-2</v>
      </c>
      <c r="G115" s="794">
        <f>G35</f>
        <v>30917.830131483901</v>
      </c>
      <c r="H115" s="794">
        <f t="shared" si="86"/>
        <v>30917.830131483901</v>
      </c>
      <c r="I115" s="794">
        <f t="shared" si="86"/>
        <v>25954.189570823906</v>
      </c>
      <c r="J115" s="794">
        <f t="shared" si="86"/>
        <v>18289.608268861255</v>
      </c>
      <c r="K115" s="794">
        <f t="shared" si="86"/>
        <v>6400.2243497300842</v>
      </c>
      <c r="L115" s="794">
        <f t="shared" si="86"/>
        <v>1112.1922242201579</v>
      </c>
      <c r="M115" s="794">
        <f t="shared" si="87"/>
        <v>1</v>
      </c>
      <c r="N115" s="794">
        <f t="shared" si="61"/>
        <v>0.83945702076920736</v>
      </c>
      <c r="O115" s="794">
        <f t="shared" si="62"/>
        <v>0.59155536436681511</v>
      </c>
      <c r="P115" s="794">
        <f t="shared" si="63"/>
        <v>0.2070075526811527</v>
      </c>
      <c r="Q115" s="794">
        <f t="shared" si="64"/>
        <v>3.5972518753429682E-2</v>
      </c>
      <c r="R115" s="794">
        <f t="shared" si="65"/>
        <v>3.2343796306122114E-5</v>
      </c>
      <c r="S115" s="211">
        <v>11.45</v>
      </c>
      <c r="T115" s="797">
        <f>W35</f>
        <v>11.0775109229247</v>
      </c>
      <c r="U115" s="794">
        <f t="shared" ref="U115:X117" si="90">T115/((1+U$57)^(U$58-T$58))</f>
        <v>9.8336296703072001</v>
      </c>
      <c r="V115" s="794">
        <f t="shared" si="90"/>
        <v>8.4733164557947447</v>
      </c>
      <c r="W115" s="794">
        <f t="shared" si="90"/>
        <v>7.3011791339706908</v>
      </c>
      <c r="X115" s="794">
        <f t="shared" si="90"/>
        <v>6.2911868126763029</v>
      </c>
      <c r="Y115" s="211"/>
      <c r="Z115" s="796">
        <f t="shared" si="89"/>
        <v>0.23340065991082923</v>
      </c>
      <c r="AA115" s="796">
        <f>1/SUMIFS('Vehicle eff data 2023'!Q$20:Q$117,'Vehicle eff data 2023'!$A$20:$A$117,Analytica!$C115,'Vehicle eff data 2023'!$D$20:$D$117,RIGHT(Analytica!$D115,3))</f>
        <v>0.23693697386285403</v>
      </c>
      <c r="AB115" s="796">
        <f>1/SUMIFS('Vehicle eff data 2023'!R$20:R$117,'Vehicle eff data 2023'!$A$20:$A$117,Analytica!$C115,'Vehicle eff data 2023'!$D$20:$D$117,RIGHT(Analytica!$D115,3))</f>
        <v>0.24052686742503102</v>
      </c>
      <c r="AC115" s="796">
        <f>1/SUMIFS('Vehicle eff data 2023'!S$20:S$117,'Vehicle eff data 2023'!$A$20:$A$117,Analytica!$C115,'Vehicle eff data 2023'!$D$20:$D$117,RIGHT(Analytica!$D115,3))</f>
        <v>0.25933339216798273</v>
      </c>
      <c r="AD115" s="796">
        <f>1/SUMIFS('Vehicle eff data 2023'!T$20:T$117,'Vehicle eff data 2023'!$A$20:$A$117,Analytica!$C115,'Vehicle eff data 2023'!$D$20:$D$117,RIGHT(Analytica!$D115,3))</f>
        <v>0.28675202586855569</v>
      </c>
      <c r="AE115" s="827">
        <f>1/SUMIFS('Vehicle eff data 2023'!U$20:U$117,'Vehicle eff data 2023'!$A$20:$A$117,Analytica!$C115,'Vehicle eff data 2023'!$D$20:$D$117,RIGHT(Analytica!$D115,3))</f>
        <v>0.31706955919682966</v>
      </c>
      <c r="AF115" s="827"/>
      <c r="AG115" s="798"/>
      <c r="AH115" s="798">
        <v>213.108</v>
      </c>
      <c r="AI115" s="798">
        <v>487.2057272727273</v>
      </c>
      <c r="AJ115" s="798"/>
      <c r="AK115" s="890"/>
      <c r="AL115" s="890"/>
      <c r="AM115" s="890"/>
      <c r="AN115" s="890"/>
      <c r="AO115" s="890"/>
      <c r="AP115" s="890"/>
      <c r="AQ115" s="890"/>
      <c r="AR115" s="893"/>
      <c r="AS115" s="891"/>
      <c r="AT115" s="892"/>
      <c r="AU115" s="893"/>
      <c r="AV115" s="893"/>
      <c r="AW115" s="893"/>
      <c r="AX115" s="893"/>
      <c r="AY115" s="894"/>
      <c r="BA115" s="164">
        <f t="shared" si="43"/>
        <v>0.58515987307786188</v>
      </c>
    </row>
    <row r="116" spans="1:57" x14ac:dyDescent="0.25">
      <c r="A116" s="61" t="str">
        <f t="shared" si="59"/>
        <v>MBTOGS</v>
      </c>
      <c r="B116" s="61" t="str">
        <f>D116&amp;C116&amp;"-N"</f>
        <v>TPPUMBTOGS-N</v>
      </c>
      <c r="C116" s="61" t="s">
        <v>573</v>
      </c>
      <c r="D116" s="61" t="s">
        <v>523</v>
      </c>
      <c r="E116" s="61" t="s">
        <v>304</v>
      </c>
      <c r="F116" s="793">
        <f>INDEX($F$17:$F$49,MATCH($E116,$E$17:$E$49,0))</f>
        <v>3.4999999999999996E-2</v>
      </c>
      <c r="G116" s="794">
        <f>G36</f>
        <v>20965.008962084201</v>
      </c>
      <c r="H116" s="794">
        <f t="shared" si="86"/>
        <v>20965.008962084201</v>
      </c>
      <c r="I116" s="794">
        <f t="shared" si="86"/>
        <v>17599.223963710934</v>
      </c>
      <c r="J116" s="794">
        <f t="shared" si="86"/>
        <v>12401.963515519263</v>
      </c>
      <c r="K116" s="794">
        <f t="shared" si="86"/>
        <v>4339.9151971794827</v>
      </c>
      <c r="L116" s="794">
        <f t="shared" si="86"/>
        <v>754.16417805439505</v>
      </c>
      <c r="M116" s="794">
        <f t="shared" si="87"/>
        <v>1</v>
      </c>
      <c r="N116" s="794">
        <f t="shared" si="61"/>
        <v>0.83945702076920725</v>
      </c>
      <c r="O116" s="794">
        <f t="shared" si="62"/>
        <v>0.59155536436681511</v>
      </c>
      <c r="P116" s="794">
        <f t="shared" si="63"/>
        <v>0.20700755268115265</v>
      </c>
      <c r="Q116" s="794">
        <f t="shared" si="64"/>
        <v>3.5972518753429675E-2</v>
      </c>
      <c r="R116" s="794">
        <f t="shared" si="65"/>
        <v>4.7698524804283543E-5</v>
      </c>
      <c r="S116" s="211">
        <v>14.36</v>
      </c>
      <c r="T116" s="797">
        <f>W36</f>
        <v>14.5644836562465</v>
      </c>
      <c r="U116" s="794">
        <f t="shared" si="90"/>
        <v>12.929054154067694</v>
      </c>
      <c r="V116" s="794">
        <f t="shared" si="90"/>
        <v>11.140542301721721</v>
      </c>
      <c r="W116" s="794">
        <f t="shared" si="90"/>
        <v>9.5994402450084504</v>
      </c>
      <c r="X116" s="794">
        <f t="shared" si="90"/>
        <v>8.2715231019989606</v>
      </c>
      <c r="Y116" s="211"/>
      <c r="Z116" s="796">
        <f t="shared" si="89"/>
        <v>0.19776436705859718</v>
      </c>
      <c r="AA116" s="796">
        <f>1/SUMIFS('Vehicle eff data 2023'!Q$20:Q$117,'Vehicle eff data 2023'!$A$20:$A$117,Analytica!$C116,'Vehicle eff data 2023'!$D$20:$D$117,RIGHT(Analytica!$D116,3))</f>
        <v>0.20076074629210003</v>
      </c>
      <c r="AB116" s="796">
        <f>1/SUMIFS('Vehicle eff data 2023'!R$20:R$117,'Vehicle eff data 2023'!$A$20:$A$117,Analytica!$C116,'Vehicle eff data 2023'!$D$20:$D$117,RIGHT(Analytica!$D116,3))</f>
        <v>0.2038025244447535</v>
      </c>
      <c r="AC116" s="796">
        <f>1/SUMIFS('Vehicle eff data 2023'!S$20:S$117,'Vehicle eff data 2023'!$A$20:$A$117,Analytica!$C116,'Vehicle eff data 2023'!$D$20:$D$117,RIGHT(Analytica!$D116,3))</f>
        <v>0.21973761419035504</v>
      </c>
      <c r="AD116" s="796">
        <f>1/SUMIFS('Vehicle eff data 2023'!T$20:T$117,'Vehicle eff data 2023'!$A$20:$A$117,Analytica!$C116,'Vehicle eff data 2023'!$D$20:$D$117,RIGHT(Analytica!$D116,3))</f>
        <v>0.24296989100344107</v>
      </c>
      <c r="AE116" s="827">
        <f>1/SUMIFS('Vehicle eff data 2023'!U$20:U$117,'Vehicle eff data 2023'!$A$20:$A$117,Analytica!$C116,'Vehicle eff data 2023'!$D$20:$D$117,RIGHT(Analytica!$D116,3))</f>
        <v>0.26865845500208052</v>
      </c>
      <c r="AF116" s="827"/>
      <c r="AG116" s="798"/>
      <c r="AH116" s="798">
        <v>170.4864</v>
      </c>
      <c r="AI116" s="798">
        <v>433.22666666666669</v>
      </c>
      <c r="AJ116" s="798"/>
      <c r="AK116" s="890"/>
      <c r="AL116" s="890"/>
      <c r="AM116" s="890"/>
      <c r="AN116" s="890"/>
      <c r="AO116" s="890"/>
      <c r="AP116" s="890"/>
      <c r="AQ116" s="890"/>
      <c r="AR116" s="893"/>
      <c r="AS116" s="891"/>
      <c r="AT116" s="892"/>
      <c r="AU116" s="893"/>
      <c r="AV116" s="893"/>
      <c r="AW116" s="893"/>
      <c r="AX116" s="893"/>
      <c r="AY116" s="894"/>
      <c r="BA116" s="164">
        <f t="shared" si="43"/>
        <v>0.41484012692213817</v>
      </c>
      <c r="BB116" s="61" t="s">
        <v>129</v>
      </c>
      <c r="BC116" s="166">
        <f>AJ116*1000</f>
        <v>0</v>
      </c>
    </row>
    <row r="117" spans="1:57" x14ac:dyDescent="0.25">
      <c r="A117" s="61" t="str">
        <f t="shared" si="59"/>
        <v>MBTGAS</v>
      </c>
      <c r="B117" s="61" t="str">
        <f>D117&amp;C117&amp;"-N"</f>
        <v>TPPUMBTGAS-N</v>
      </c>
      <c r="C117" s="61" t="s">
        <v>509</v>
      </c>
      <c r="D117" s="61" t="s">
        <v>523</v>
      </c>
      <c r="E117" s="61" t="s">
        <v>525</v>
      </c>
      <c r="F117" s="793">
        <f>F116</f>
        <v>3.4999999999999996E-2</v>
      </c>
      <c r="G117" s="794">
        <f>G116</f>
        <v>20965.008962084201</v>
      </c>
      <c r="H117" s="794">
        <f t="shared" si="86"/>
        <v>20965.008962084201</v>
      </c>
      <c r="I117" s="794">
        <f t="shared" si="86"/>
        <v>17599.223963710934</v>
      </c>
      <c r="J117" s="794">
        <f t="shared" si="86"/>
        <v>12401.963515519263</v>
      </c>
      <c r="K117" s="794">
        <f t="shared" si="86"/>
        <v>4339.9151971794827</v>
      </c>
      <c r="L117" s="794">
        <f t="shared" si="86"/>
        <v>754.16417805439505</v>
      </c>
      <c r="M117" s="794">
        <f t="shared" si="87"/>
        <v>1</v>
      </c>
      <c r="N117" s="794">
        <f t="shared" si="61"/>
        <v>0.83945702076920725</v>
      </c>
      <c r="O117" s="794">
        <f t="shared" si="62"/>
        <v>0.59155536436681511</v>
      </c>
      <c r="P117" s="794">
        <f t="shared" si="63"/>
        <v>0.20700755268115265</v>
      </c>
      <c r="Q117" s="794">
        <f t="shared" si="64"/>
        <v>3.5972518753429675E-2</v>
      </c>
      <c r="R117" s="794">
        <f t="shared" si="65"/>
        <v>4.7698524804283543E-5</v>
      </c>
      <c r="S117" s="211">
        <f>S70/S67*S116</f>
        <v>14.661861861861862</v>
      </c>
      <c r="T117" s="211">
        <f>T70/T67*T116</f>
        <v>13.817957687727693</v>
      </c>
      <c r="U117" s="794">
        <f t="shared" si="90"/>
        <v>12.266354747607245</v>
      </c>
      <c r="V117" s="794">
        <f t="shared" si="90"/>
        <v>10.569515938693012</v>
      </c>
      <c r="W117" s="794">
        <f t="shared" si="90"/>
        <v>9.1074055395371154</v>
      </c>
      <c r="X117" s="794">
        <f t="shared" si="90"/>
        <v>7.8475529194242357</v>
      </c>
      <c r="Y117" s="211"/>
      <c r="Z117" s="796">
        <f t="shared" si="89"/>
        <v>0.16855105586597574</v>
      </c>
      <c r="AA117" s="796">
        <f>1/SUMIFS('Vehicle eff data 2023'!Q$20:Q$117,'Vehicle eff data 2023'!$A$20:$A$117,Analytica!$C117,'Vehicle eff data 2023'!$D$20:$D$117,RIGHT(Analytica!$D117,3))</f>
        <v>0.17110481664246663</v>
      </c>
      <c r="AB117" s="796">
        <f>1/SUMIFS('Vehicle eff data 2023'!R$20:R$117,'Vehicle eff data 2023'!$A$20:$A$117,Analytica!$C117,'Vehicle eff data 2023'!$D$20:$D$117,RIGHT(Analytica!$D117,3))</f>
        <v>0.17369727011103256</v>
      </c>
      <c r="AC117" s="796">
        <f>1/SUMIFS('Vehicle eff data 2023'!S$20:S$117,'Vehicle eff data 2023'!$A$20:$A$117,Analytica!$C117,'Vehicle eff data 2023'!$D$20:$D$117,RIGHT(Analytica!$D117,3))</f>
        <v>0.18727846394229747</v>
      </c>
      <c r="AD117" s="796">
        <f>1/SUMIFS('Vehicle eff data 2023'!T$20:T$117,'Vehicle eff data 2023'!$A$20:$A$117,Analytica!$C117,'Vehicle eff data 2023'!$D$20:$D$117,RIGHT(Analytica!$D117,3))</f>
        <v>0.20707892064366076</v>
      </c>
      <c r="AE117" s="827">
        <f>1/SUMIFS('Vehicle eff data 2023'!U$20:U$117,'Vehicle eff data 2023'!$A$20:$A$117,Analytica!$C117,'Vehicle eff data 2023'!$D$20:$D$117,RIGHT(Analytica!$D117,3))</f>
        <v>0.22897282726622464</v>
      </c>
      <c r="AF117" s="827"/>
      <c r="AG117" s="798"/>
      <c r="AH117" s="798">
        <f>AH116*(1+$AR$57)</f>
        <v>187.53504000000001</v>
      </c>
      <c r="AI117" s="798">
        <f>AI116*(1+$AR$57)</f>
        <v>476.54933333333338</v>
      </c>
      <c r="AJ117" s="798"/>
      <c r="AK117" s="890"/>
      <c r="AL117" s="890"/>
      <c r="AM117" s="890"/>
      <c r="AN117" s="890"/>
      <c r="AO117" s="890"/>
      <c r="AP117" s="890"/>
      <c r="AQ117" s="890"/>
      <c r="AR117" s="893"/>
      <c r="AS117" s="891"/>
      <c r="AT117" s="892"/>
      <c r="AU117" s="893"/>
      <c r="AV117" s="893"/>
      <c r="AW117" s="893"/>
      <c r="AX117" s="893"/>
      <c r="AY117" s="894"/>
      <c r="BA117" s="164">
        <f t="shared" si="43"/>
        <v>0</v>
      </c>
      <c r="BB117" s="61" t="s">
        <v>524</v>
      </c>
      <c r="BC117" s="166">
        <f>AJ117*1000</f>
        <v>0</v>
      </c>
    </row>
    <row r="118" spans="1:57" x14ac:dyDescent="0.25">
      <c r="A118" s="61" t="str">
        <f t="shared" si="59"/>
        <v>MBTHGN</v>
      </c>
      <c r="B118" s="61" t="str">
        <f>D118&amp;C118&amp;"F-N"</f>
        <v>TPPUMBTHGNF-N</v>
      </c>
      <c r="C118" s="61" t="s">
        <v>504</v>
      </c>
      <c r="D118" s="61" t="s">
        <v>523</v>
      </c>
      <c r="E118" s="61" t="s">
        <v>1005</v>
      </c>
      <c r="F118" s="793">
        <f>F116</f>
        <v>3.4999999999999996E-2</v>
      </c>
      <c r="G118" s="794">
        <f>G117</f>
        <v>20965.008962084201</v>
      </c>
      <c r="H118" s="794">
        <f t="shared" ref="H118:L127" si="91">(EXP(-((H$58)*$F118))*G118)</f>
        <v>20965.008962084201</v>
      </c>
      <c r="I118" s="794">
        <f t="shared" si="91"/>
        <v>17599.223963710934</v>
      </c>
      <c r="J118" s="794">
        <f t="shared" si="91"/>
        <v>12401.963515519263</v>
      </c>
      <c r="K118" s="794">
        <f t="shared" si="91"/>
        <v>4339.9151971794827</v>
      </c>
      <c r="L118" s="794">
        <f t="shared" si="91"/>
        <v>754.16417805439505</v>
      </c>
      <c r="M118" s="794">
        <f t="shared" si="87"/>
        <v>1</v>
      </c>
      <c r="N118" s="794">
        <f t="shared" si="61"/>
        <v>0.83945702076920725</v>
      </c>
      <c r="O118" s="794">
        <f t="shared" si="62"/>
        <v>0.59155536436681511</v>
      </c>
      <c r="P118" s="794">
        <f t="shared" si="63"/>
        <v>0.20700755268115265</v>
      </c>
      <c r="Q118" s="794">
        <f t="shared" si="64"/>
        <v>3.5972518753429675E-2</v>
      </c>
      <c r="R118" s="794">
        <f t="shared" si="65"/>
        <v>4.7698524804283543E-5</v>
      </c>
      <c r="S118" s="794">
        <f t="shared" ref="S118:X118" si="92">S116*S71/S67</f>
        <v>8.1485879482876076</v>
      </c>
      <c r="T118" s="794">
        <f t="shared" si="92"/>
        <v>7.679573341026396</v>
      </c>
      <c r="U118" s="794">
        <f t="shared" si="92"/>
        <v>7.336597135278125</v>
      </c>
      <c r="V118" s="794">
        <f t="shared" si="92"/>
        <v>6.32170534381601</v>
      </c>
      <c r="W118" s="794">
        <f t="shared" si="92"/>
        <v>5.4472063433692828</v>
      </c>
      <c r="X118" s="794">
        <f t="shared" si="92"/>
        <v>4.6936792105105329</v>
      </c>
      <c r="Y118" s="211"/>
      <c r="Z118" s="796">
        <f t="shared" si="89"/>
        <v>0.40137480683209231</v>
      </c>
      <c r="AA118" s="796">
        <f>1/SUMIFS('Vehicle eff data 2023'!Q$20:Q$117,'Vehicle eff data 2023'!$A$20:$A$117,Analytica!$C118,'Vehicle eff data 2023'!$D$20:$D$117,RIGHT(Analytica!$D118,3))</f>
        <v>0.40745614066351282</v>
      </c>
      <c r="AB118" s="796">
        <f>1/SUMIFS('Vehicle eff data 2023'!R$20:R$117,'Vehicle eff data 2023'!$A$20:$A$117,Analytica!$C118,'Vehicle eff data 2023'!$D$20:$D$117,RIGHT(Analytica!$D118,3))</f>
        <v>0.41362961436156093</v>
      </c>
      <c r="AC118" s="796">
        <f>1/SUMIFS('Vehicle eff data 2023'!S$20:S$117,'Vehicle eff data 2023'!$A$20:$A$117,Analytica!$C118,'Vehicle eff data 2023'!$D$20:$D$117,RIGHT(Analytica!$D118,3))</f>
        <v>0.44597084783866037</v>
      </c>
      <c r="AD118" s="796">
        <f>1/SUMIFS('Vehicle eff data 2023'!T$20:T$117,'Vehicle eff data 2023'!$A$20:$A$117,Analytica!$C118,'Vehicle eff data 2023'!$D$20:$D$117,RIGHT(Analytica!$D118,3))</f>
        <v>0.49312216613129889</v>
      </c>
      <c r="AE118" s="827">
        <f>1/SUMIFS('Vehicle eff data 2023'!U$20:U$117,'Vehicle eff data 2023'!$A$20:$A$117,Analytica!$C118,'Vehicle eff data 2023'!$D$20:$D$117,RIGHT(Analytica!$D118,3))</f>
        <v>0.54525866860695826</v>
      </c>
      <c r="AF118" s="827"/>
      <c r="AG118" s="798"/>
      <c r="AH118" s="798"/>
      <c r="AI118" s="798"/>
      <c r="AJ118" s="798"/>
      <c r="AK118" s="890"/>
      <c r="AL118" s="890"/>
      <c r="AM118" s="890"/>
      <c r="AN118" s="890"/>
      <c r="AO118" s="890"/>
      <c r="AP118" s="890"/>
      <c r="AQ118" s="890"/>
      <c r="AR118" s="893"/>
      <c r="AS118" s="891"/>
      <c r="AT118" s="892"/>
      <c r="AU118" s="893"/>
      <c r="AV118" s="893"/>
      <c r="AW118" s="893"/>
      <c r="AX118" s="893"/>
      <c r="AY118" s="894"/>
      <c r="BA118" s="164">
        <v>0</v>
      </c>
      <c r="BC118" s="168">
        <f>BC117-BC116</f>
        <v>0</v>
      </c>
      <c r="BD118" s="166">
        <f>BC118/5.5</f>
        <v>0</v>
      </c>
      <c r="BE118" s="61" t="s">
        <v>522</v>
      </c>
    </row>
    <row r="119" spans="1:57" x14ac:dyDescent="0.25">
      <c r="A119" s="61" t="str">
        <f t="shared" si="59"/>
        <v>MBTBGS</v>
      </c>
      <c r="B119" s="61" t="str">
        <f t="shared" ref="B119:B125" si="93">D119&amp;C119&amp;"-N"</f>
        <v>TPPUMBTBGS-N</v>
      </c>
      <c r="C119" s="61" t="s">
        <v>506</v>
      </c>
      <c r="D119" s="61" t="s">
        <v>523</v>
      </c>
      <c r="E119" s="61" t="s">
        <v>1006</v>
      </c>
      <c r="F119" s="793">
        <f>F116</f>
        <v>3.4999999999999996E-2</v>
      </c>
      <c r="G119" s="794">
        <f>G118</f>
        <v>20965.008962084201</v>
      </c>
      <c r="H119" s="794">
        <f t="shared" si="91"/>
        <v>20965.008962084201</v>
      </c>
      <c r="I119" s="794">
        <f t="shared" si="91"/>
        <v>17599.223963710934</v>
      </c>
      <c r="J119" s="794">
        <f t="shared" si="91"/>
        <v>12401.963515519263</v>
      </c>
      <c r="K119" s="794">
        <f t="shared" si="91"/>
        <v>4339.9151971794827</v>
      </c>
      <c r="L119" s="794">
        <f t="shared" si="91"/>
        <v>754.16417805439505</v>
      </c>
      <c r="M119" s="794">
        <f t="shared" si="87"/>
        <v>1</v>
      </c>
      <c r="N119" s="794">
        <f t="shared" si="61"/>
        <v>0.83945702076920725</v>
      </c>
      <c r="O119" s="794">
        <f t="shared" si="62"/>
        <v>0.59155536436681511</v>
      </c>
      <c r="P119" s="794">
        <f t="shared" si="63"/>
        <v>0.20700755268115265</v>
      </c>
      <c r="Q119" s="794">
        <f t="shared" si="64"/>
        <v>3.5972518753429675E-2</v>
      </c>
      <c r="R119" s="794">
        <f t="shared" si="65"/>
        <v>4.7698524804283543E-5</v>
      </c>
      <c r="S119" s="794">
        <v>19.333899391304378</v>
      </c>
      <c r="T119" s="794">
        <f>S119</f>
        <v>19.333899391304378</v>
      </c>
      <c r="U119" s="794">
        <f t="shared" ref="U119:X124" si="94">T119/((1+U$57)^(U$58-T$58))</f>
        <v>17.162917556110038</v>
      </c>
      <c r="V119" s="794">
        <f t="shared" si="94"/>
        <v>14.788723658849419</v>
      </c>
      <c r="W119" s="794">
        <f t="shared" si="94"/>
        <v>12.742958575825156</v>
      </c>
      <c r="X119" s="794">
        <f t="shared" si="94"/>
        <v>10.980189839981735</v>
      </c>
      <c r="Y119" s="211"/>
      <c r="Z119" s="796">
        <f t="shared" si="89"/>
        <v>0.19776436705859718</v>
      </c>
      <c r="AA119" s="796">
        <f>1/SUMIFS('Vehicle eff data 2023'!Q$20:Q$117,'Vehicle eff data 2023'!$A$20:$A$117,Analytica!$C119,'Vehicle eff data 2023'!$D$20:$D$117,RIGHT(Analytica!$D119,3))</f>
        <v>0.20076074629210003</v>
      </c>
      <c r="AB119" s="796">
        <f>1/SUMIFS('Vehicle eff data 2023'!R$20:R$117,'Vehicle eff data 2023'!$A$20:$A$117,Analytica!$C119,'Vehicle eff data 2023'!$D$20:$D$117,RIGHT(Analytica!$D119,3))</f>
        <v>0.2038025244447535</v>
      </c>
      <c r="AC119" s="796">
        <f>1/SUMIFS('Vehicle eff data 2023'!S$20:S$117,'Vehicle eff data 2023'!$A$20:$A$117,Analytica!$C119,'Vehicle eff data 2023'!$D$20:$D$117,RIGHT(Analytica!$D119,3))</f>
        <v>0.21973761419035504</v>
      </c>
      <c r="AD119" s="796">
        <f>1/SUMIFS('Vehicle eff data 2023'!T$20:T$117,'Vehicle eff data 2023'!$A$20:$A$117,Analytica!$C119,'Vehicle eff data 2023'!$D$20:$D$117,RIGHT(Analytica!$D119,3))</f>
        <v>0.24296989100344107</v>
      </c>
      <c r="AE119" s="827">
        <f>1/SUMIFS('Vehicle eff data 2023'!U$20:U$117,'Vehicle eff data 2023'!$A$20:$A$117,Analytica!$C119,'Vehicle eff data 2023'!$D$20:$D$117,RIGHT(Analytica!$D119,3))</f>
        <v>0.26865845500208052</v>
      </c>
      <c r="AF119" s="827"/>
      <c r="AG119" s="798"/>
      <c r="AH119" s="798"/>
      <c r="AI119" s="798"/>
      <c r="AJ119" s="798"/>
      <c r="AK119" s="890"/>
      <c r="AL119" s="890"/>
      <c r="AM119" s="890"/>
      <c r="AN119" s="890"/>
      <c r="AO119" s="890"/>
      <c r="AP119" s="890"/>
      <c r="AQ119" s="890"/>
      <c r="AR119" s="893"/>
      <c r="AS119" s="891"/>
      <c r="AT119" s="892"/>
      <c r="AU119" s="893"/>
      <c r="AV119" s="893"/>
      <c r="AW119" s="893"/>
      <c r="AX119" s="893"/>
      <c r="AY119" s="894"/>
      <c r="BA119" s="164">
        <v>1</v>
      </c>
      <c r="BC119" s="166">
        <f>BC118-BC117</f>
        <v>0</v>
      </c>
      <c r="BD119" s="166">
        <f>BC119/5.5</f>
        <v>0</v>
      </c>
      <c r="BE119" s="61" t="s">
        <v>522</v>
      </c>
    </row>
    <row r="120" spans="1:57" x14ac:dyDescent="0.25">
      <c r="A120" s="61" t="str">
        <f t="shared" si="59"/>
        <v>MBTELC</v>
      </c>
      <c r="B120" s="61" t="str">
        <f t="shared" si="93"/>
        <v>TPPUMBTELC-N</v>
      </c>
      <c r="C120" s="61" t="s">
        <v>501</v>
      </c>
      <c r="D120" s="61" t="s">
        <v>523</v>
      </c>
      <c r="E120" t="s">
        <v>500</v>
      </c>
      <c r="F120" s="793">
        <f>F117</f>
        <v>3.4999999999999996E-2</v>
      </c>
      <c r="G120" s="794">
        <f>G119</f>
        <v>20965.008962084201</v>
      </c>
      <c r="H120" s="794">
        <f t="shared" si="91"/>
        <v>20965.008962084201</v>
      </c>
      <c r="I120" s="794">
        <f t="shared" si="91"/>
        <v>17599.223963710934</v>
      </c>
      <c r="J120" s="794">
        <f t="shared" si="91"/>
        <v>12401.963515519263</v>
      </c>
      <c r="K120" s="794">
        <f t="shared" si="91"/>
        <v>4339.9151971794827</v>
      </c>
      <c r="L120" s="794">
        <f t="shared" si="91"/>
        <v>754.16417805439505</v>
      </c>
      <c r="M120" s="794">
        <f t="shared" si="87"/>
        <v>1</v>
      </c>
      <c r="N120" s="794">
        <f t="shared" si="61"/>
        <v>0.83945702076920725</v>
      </c>
      <c r="O120" s="794">
        <f t="shared" si="62"/>
        <v>0.59155536436681511</v>
      </c>
      <c r="P120" s="794">
        <f t="shared" si="63"/>
        <v>0.20700755268115265</v>
      </c>
      <c r="Q120" s="794">
        <f t="shared" si="64"/>
        <v>3.5972518753429675E-2</v>
      </c>
      <c r="R120" s="794">
        <f t="shared" si="65"/>
        <v>4.7698524804283543E-5</v>
      </c>
      <c r="S120" s="805">
        <v>19.333899391304378</v>
      </c>
      <c r="T120" s="211">
        <f>S120</f>
        <v>19.333899391304378</v>
      </c>
      <c r="U120" s="794">
        <f t="shared" si="94"/>
        <v>17.162917556110038</v>
      </c>
      <c r="V120" s="794">
        <f t="shared" si="94"/>
        <v>14.788723658849419</v>
      </c>
      <c r="W120" s="794">
        <f t="shared" si="94"/>
        <v>12.742958575825156</v>
      </c>
      <c r="X120" s="794">
        <f t="shared" si="94"/>
        <v>10.980189839981735</v>
      </c>
      <c r="Y120" s="211"/>
      <c r="Z120" s="796">
        <f t="shared" si="89"/>
        <v>0.79029032448844172</v>
      </c>
      <c r="AA120" s="796">
        <f>1/SUMIFS('Vehicle eff data 2023'!Q$20:Q$117,'Vehicle eff data 2023'!$A$20:$A$117,Analytica!$C120,'Vehicle eff data 2023'!$D$20:$D$117,RIGHT(Analytica!$D120,3))</f>
        <v>0.80226421822852978</v>
      </c>
      <c r="AB120" s="796">
        <f>1/SUMIFS('Vehicle eff data 2023'!R$20:R$117,'Vehicle eff data 2023'!$A$20:$A$117,Analytica!$C120,'Vehicle eff data 2023'!$D$20:$D$117,RIGHT(Analytica!$D120,3))</f>
        <v>0.81441953153919366</v>
      </c>
      <c r="AC120" s="796">
        <f>1/SUMIFS('Vehicle eff data 2023'!S$20:S$117,'Vehicle eff data 2023'!$A$20:$A$117,Analytica!$C120,'Vehicle eff data 2023'!$D$20:$D$117,RIGHT(Analytica!$D120,3))</f>
        <v>0.87809807703810294</v>
      </c>
      <c r="AD120" s="796">
        <f>1/SUMIFS('Vehicle eff data 2023'!T$20:T$117,'Vehicle eff data 2023'!$A$20:$A$117,Analytica!$C120,'Vehicle eff data 2023'!$D$20:$D$117,RIGHT(Analytica!$D120,3))</f>
        <v>0.9709370644365708</v>
      </c>
      <c r="AE120" s="827">
        <f>1/SUMIFS('Vehicle eff data 2023'!U$20:U$117,'Vehicle eff data 2023'!$A$20:$A$117,Analytica!$C120,'Vehicle eff data 2023'!$D$20:$D$117,RIGHT(Analytica!$D120,3))</f>
        <v>1.07359167244344</v>
      </c>
      <c r="AF120" s="827"/>
      <c r="AG120" s="798"/>
      <c r="AH120" s="827"/>
      <c r="AI120" s="798"/>
      <c r="AJ120" s="798"/>
      <c r="AK120" s="890"/>
      <c r="AL120" s="890"/>
      <c r="AM120" s="890"/>
      <c r="AN120" s="890"/>
      <c r="AO120" s="890"/>
      <c r="AP120" s="890"/>
      <c r="AQ120" s="890"/>
      <c r="AR120" s="893"/>
      <c r="AS120" s="891"/>
      <c r="AT120" s="892"/>
      <c r="AU120" s="893"/>
      <c r="AV120" s="893"/>
      <c r="AW120" s="893"/>
      <c r="AX120" s="893"/>
      <c r="AY120" s="894"/>
      <c r="BA120" s="164">
        <v>1</v>
      </c>
      <c r="BC120" s="166">
        <f>BC119-BC118</f>
        <v>0</v>
      </c>
      <c r="BD120" s="61">
        <f>BC120/5.5</f>
        <v>0</v>
      </c>
      <c r="BE120" s="61" t="s">
        <v>522</v>
      </c>
    </row>
    <row r="121" spans="1:57" x14ac:dyDescent="0.25">
      <c r="A121" s="61" t="str">
        <f t="shared" si="59"/>
        <v>SUVODSH</v>
      </c>
      <c r="B121" s="61" t="str">
        <f t="shared" si="93"/>
        <v>TPPRSUVODSH-N</v>
      </c>
      <c r="C121" s="61" t="s">
        <v>521</v>
      </c>
      <c r="D121" s="61" t="s">
        <v>516</v>
      </c>
      <c r="E121" s="61" t="s">
        <v>520</v>
      </c>
      <c r="F121" s="793">
        <f>F122</f>
        <v>2.4E-2</v>
      </c>
      <c r="G121" s="794">
        <f>G123</f>
        <v>22250.436222693301</v>
      </c>
      <c r="H121" s="794">
        <f t="shared" si="91"/>
        <v>22250.436222693301</v>
      </c>
      <c r="I121" s="794">
        <f t="shared" si="91"/>
        <v>19734.366611778401</v>
      </c>
      <c r="J121" s="794">
        <f t="shared" si="91"/>
        <v>15523.602597326451</v>
      </c>
      <c r="K121" s="794">
        <f t="shared" si="91"/>
        <v>7556.1485848747261</v>
      </c>
      <c r="L121" s="794">
        <f t="shared" si="91"/>
        <v>2275.8682181128447</v>
      </c>
      <c r="M121" s="794">
        <f t="shared" si="87"/>
        <v>1</v>
      </c>
      <c r="N121" s="794">
        <f t="shared" si="61"/>
        <v>0.88692043671715748</v>
      </c>
      <c r="O121" s="794">
        <f t="shared" si="62"/>
        <v>0.69767632607103103</v>
      </c>
      <c r="P121" s="794">
        <f t="shared" si="63"/>
        <v>0.33959552564493917</v>
      </c>
      <c r="Q121" s="794">
        <f t="shared" si="64"/>
        <v>0.10228420671553749</v>
      </c>
      <c r="R121" s="794">
        <f t="shared" si="65"/>
        <v>4.4942939095283732E-5</v>
      </c>
      <c r="S121" s="211">
        <f>S122/1.3</f>
        <v>9.2051282051282044</v>
      </c>
      <c r="T121" s="211">
        <f>T122/1.3</f>
        <v>8.6630075528088462</v>
      </c>
      <c r="U121" s="794">
        <f t="shared" si="94"/>
        <v>7.6902481702003831</v>
      </c>
      <c r="V121" s="794">
        <f t="shared" si="94"/>
        <v>6.6264348520731602</v>
      </c>
      <c r="W121" s="794">
        <f t="shared" si="94"/>
        <v>5.7097817751732842</v>
      </c>
      <c r="X121" s="794">
        <f t="shared" si="94"/>
        <v>4.9199318559513454</v>
      </c>
      <c r="Y121" s="211"/>
      <c r="Z121" s="796">
        <f>Z64/Z65 *Z122</f>
        <v>0.29845274217055912</v>
      </c>
      <c r="AA121" s="796">
        <f>1/SUMIFS('Vehicle eff data 2023'!Q$20:Q$117,'Vehicle eff data 2023'!$A$20:$A$117,Analytica!$C121,'Vehicle eff data 2023'!$D$20:$D$117,RIGHT(Analytica!$D121,3))</f>
        <v>0.50166252636530251</v>
      </c>
      <c r="AB121" s="796">
        <f>1/SUMIFS('Vehicle eff data 2023'!R$20:R$117,'Vehicle eff data 2023'!$A$20:$A$117,Analytica!$C121,'Vehicle eff data 2023'!$D$20:$D$117,RIGHT(Analytica!$D121,3))</f>
        <v>0.50926334545412344</v>
      </c>
      <c r="AC121" s="796">
        <f>1/SUMIFS('Vehicle eff data 2023'!S$20:S$117,'Vehicle eff data 2023'!$A$20:$A$117,Analytica!$C121,'Vehicle eff data 2023'!$D$20:$D$117,RIGHT(Analytica!$D121,3))</f>
        <v>0.54908207260711606</v>
      </c>
      <c r="AD121" s="796">
        <f>1/SUMIFS('Vehicle eff data 2023'!T$20:T$117,'Vehicle eff data 2023'!$A$20:$A$117,Analytica!$C121,'Vehicle eff data 2023'!$D$20:$D$117,RIGHT(Analytica!$D121,3))</f>
        <v>0.60713506799852335</v>
      </c>
      <c r="AE121" s="796">
        <f>1/SUMIFS('Vehicle eff data 2023'!U$20:U$117,'Vehicle eff data 2023'!$A$20:$A$117,Analytica!$C121,'Vehicle eff data 2023'!$D$20:$D$117,RIGHT(Analytica!$D121,3))</f>
        <v>0.67132585306117754</v>
      </c>
      <c r="AF121" s="796"/>
      <c r="AG121" s="798">
        <v>1</v>
      </c>
      <c r="AH121" s="798">
        <f>AH64/AH65*AH122</f>
        <v>783.91454624056792</v>
      </c>
      <c r="AI121" s="798">
        <f>AI64/AI65*AI122</f>
        <v>0</v>
      </c>
      <c r="AJ121" s="798"/>
      <c r="AK121" s="890"/>
      <c r="AL121" s="890"/>
      <c r="AM121" s="890"/>
      <c r="AN121" s="890"/>
      <c r="AO121" s="890"/>
      <c r="AP121" s="890"/>
      <c r="AQ121" s="890"/>
      <c r="AR121" s="893"/>
      <c r="AS121" s="891"/>
      <c r="AT121" s="892"/>
      <c r="AU121" s="893"/>
      <c r="AV121" s="893"/>
      <c r="AW121" s="893"/>
      <c r="AX121" s="893"/>
      <c r="AY121" s="894"/>
      <c r="BA121" s="164">
        <f t="shared" ref="BA121:BA130" si="95">SUMIF($E$17:$E$41,E121,$AR$17:$AR$41)/SUMIF($D$17:$D$41,D121,$AR$17:$AR$41)</f>
        <v>0</v>
      </c>
      <c r="BC121" s="168" t="e">
        <f>#REF!-#REF!</f>
        <v>#REF!</v>
      </c>
      <c r="BD121" s="169" t="e">
        <f>BC121/5.5</f>
        <v>#REF!</v>
      </c>
    </row>
    <row r="122" spans="1:57" x14ac:dyDescent="0.25">
      <c r="A122" s="61" t="str">
        <f t="shared" si="59"/>
        <v>SUVODS</v>
      </c>
      <c r="B122" s="61" t="str">
        <f t="shared" si="93"/>
        <v>TPPRSUVODS-N</v>
      </c>
      <c r="C122" s="61" t="s">
        <v>511</v>
      </c>
      <c r="D122" s="61" t="s">
        <v>516</v>
      </c>
      <c r="E122" s="61" t="s">
        <v>301</v>
      </c>
      <c r="F122" s="793">
        <f>INDEX($F$17:$F$49,MATCH($E122,$E$17:$E$49,0))</f>
        <v>2.4E-2</v>
      </c>
      <c r="G122" s="794">
        <f>G37</f>
        <v>20405.076992301299</v>
      </c>
      <c r="H122" s="794">
        <f t="shared" si="91"/>
        <v>20405.076992301299</v>
      </c>
      <c r="I122" s="794">
        <f t="shared" si="91"/>
        <v>18097.67979725909</v>
      </c>
      <c r="J122" s="794">
        <f t="shared" si="91"/>
        <v>14236.139149185296</v>
      </c>
      <c r="K122" s="794">
        <f t="shared" si="91"/>
        <v>6929.4728470260143</v>
      </c>
      <c r="L122" s="794">
        <f t="shared" si="91"/>
        <v>2087.1171131270039</v>
      </c>
      <c r="M122" s="794">
        <f t="shared" si="87"/>
        <v>1</v>
      </c>
      <c r="N122" s="794">
        <f t="shared" si="61"/>
        <v>0.88692043671715748</v>
      </c>
      <c r="O122" s="794">
        <f t="shared" si="62"/>
        <v>0.69767632607103103</v>
      </c>
      <c r="P122" s="794">
        <f t="shared" si="63"/>
        <v>0.33959552564493917</v>
      </c>
      <c r="Q122" s="794">
        <f t="shared" si="64"/>
        <v>0.10228420671553748</v>
      </c>
      <c r="R122" s="794">
        <f t="shared" si="65"/>
        <v>4.9007411262270333E-5</v>
      </c>
      <c r="S122" s="211">
        <f>S124/1.2</f>
        <v>11.966666666666667</v>
      </c>
      <c r="T122" s="797">
        <f>W37</f>
        <v>11.2619098186515</v>
      </c>
      <c r="U122" s="794">
        <f t="shared" si="94"/>
        <v>9.9973226212604978</v>
      </c>
      <c r="V122" s="794">
        <f t="shared" si="94"/>
        <v>8.6143653076951079</v>
      </c>
      <c r="W122" s="794">
        <f t="shared" si="94"/>
        <v>7.4227163077252687</v>
      </c>
      <c r="X122" s="794">
        <f t="shared" si="94"/>
        <v>6.3959114127367478</v>
      </c>
      <c r="Y122" s="211"/>
      <c r="Z122" s="796">
        <f>(AA122/AB122)*AA122</f>
        <v>0.22957903243889161</v>
      </c>
      <c r="AA122" s="796">
        <f>1/SUMIFS('Vehicle eff data 2023'!Q$20:Q$117,'Vehicle eff data 2023'!$A$20:$A$117,Analytica!$C122,'Vehicle eff data 2023'!$D$20:$D$117,RIGHT(Analytica!$D122,3))</f>
        <v>0.23305744392160199</v>
      </c>
      <c r="AB122" s="796">
        <f>1/SUMIFS('Vehicle eff data 2023'!R$20:R$117,'Vehicle eff data 2023'!$A$20:$A$117,Analytica!$C122,'Vehicle eff data 2023'!$D$20:$D$117,RIGHT(Analytica!$D122,3))</f>
        <v>0.23658855771912971</v>
      </c>
      <c r="AC122" s="796">
        <f>1/SUMIFS('Vehicle eff data 2023'!S$20:S$117,'Vehicle eff data 2023'!$A$20:$A$117,Analytica!$C122,'Vehicle eff data 2023'!$D$20:$D$117,RIGHT(Analytica!$D122,3))</f>
        <v>0.25508715046378805</v>
      </c>
      <c r="AD122" s="796">
        <f>1/SUMIFS('Vehicle eff data 2023'!T$20:T$117,'Vehicle eff data 2023'!$A$20:$A$117,Analytica!$C122,'Vehicle eff data 2023'!$D$20:$D$117,RIGHT(Analytica!$D122,3))</f>
        <v>0.28205684025891897</v>
      </c>
      <c r="AE122" s="827">
        <f>1/SUMIFS('Vehicle eff data 2023'!U$20:U$117,'Vehicle eff data 2023'!$A$20:$A$117,Analytica!$C122,'Vehicle eff data 2023'!$D$20:$D$117,RIGHT(Analytica!$D122,3))</f>
        <v>0.31187796402994067</v>
      </c>
      <c r="AF122" s="827"/>
      <c r="AG122" s="798"/>
      <c r="AH122" s="798">
        <v>342.37610000000001</v>
      </c>
      <c r="AI122" s="798">
        <v>578.12285436396212</v>
      </c>
      <c r="AJ122" s="798"/>
      <c r="AK122" s="890"/>
      <c r="AL122" s="890"/>
      <c r="AM122" s="890"/>
      <c r="AN122" s="890"/>
      <c r="AO122" s="890"/>
      <c r="AP122" s="890"/>
      <c r="AQ122" s="890"/>
      <c r="AR122" s="893"/>
      <c r="AS122" s="891"/>
      <c r="AT122" s="892"/>
      <c r="AU122" s="893"/>
      <c r="AV122" s="893"/>
      <c r="AW122" s="893"/>
      <c r="AX122" s="893"/>
      <c r="AY122" s="894"/>
      <c r="BA122" s="164">
        <f t="shared" si="95"/>
        <v>0.46134144546391248</v>
      </c>
    </row>
    <row r="123" spans="1:57" x14ac:dyDescent="0.25">
      <c r="A123" s="61" t="str">
        <f t="shared" si="59"/>
        <v>SUVOGSH</v>
      </c>
      <c r="B123" s="61" t="str">
        <f t="shared" si="93"/>
        <v>TPPRSUVOGSH-N</v>
      </c>
      <c r="C123" s="61" t="s">
        <v>519</v>
      </c>
      <c r="D123" s="61" t="s">
        <v>516</v>
      </c>
      <c r="E123" s="61" t="s">
        <v>298</v>
      </c>
      <c r="F123" s="793">
        <f>INDEX($F$17:$F$49,MATCH($E123,$E$17:$E$49,0))</f>
        <v>2.4E-2</v>
      </c>
      <c r="G123" s="794">
        <f>G38</f>
        <v>22250.436222693301</v>
      </c>
      <c r="H123" s="794">
        <f t="shared" si="91"/>
        <v>22250.436222693301</v>
      </c>
      <c r="I123" s="794">
        <f t="shared" si="91"/>
        <v>19734.366611778401</v>
      </c>
      <c r="J123" s="794">
        <f t="shared" si="91"/>
        <v>15523.602597326451</v>
      </c>
      <c r="K123" s="794">
        <f t="shared" si="91"/>
        <v>7556.1485848747261</v>
      </c>
      <c r="L123" s="794">
        <f t="shared" si="91"/>
        <v>2275.8682181128447</v>
      </c>
      <c r="M123" s="794">
        <f t="shared" si="87"/>
        <v>1</v>
      </c>
      <c r="N123" s="794">
        <f t="shared" si="61"/>
        <v>0.88692043671715748</v>
      </c>
      <c r="O123" s="794">
        <f t="shared" si="62"/>
        <v>0.69767632607103103</v>
      </c>
      <c r="P123" s="794">
        <f t="shared" si="63"/>
        <v>0.33959552564493917</v>
      </c>
      <c r="Q123" s="794">
        <f t="shared" si="64"/>
        <v>0.10228420671553749</v>
      </c>
      <c r="R123" s="794">
        <f t="shared" si="65"/>
        <v>4.4942939095283732E-5</v>
      </c>
      <c r="S123" s="211">
        <f>S124/1.3</f>
        <v>11.046153846153846</v>
      </c>
      <c r="T123" s="211">
        <f>W38</f>
        <v>6.8382247609900997</v>
      </c>
      <c r="U123" s="794">
        <f t="shared" si="94"/>
        <v>6.0703681873822601</v>
      </c>
      <c r="V123" s="794">
        <f t="shared" si="94"/>
        <v>5.230637351556088</v>
      </c>
      <c r="W123" s="794">
        <f t="shared" si="94"/>
        <v>4.507068806857994</v>
      </c>
      <c r="X123" s="794">
        <f t="shared" si="94"/>
        <v>3.8835935019867374</v>
      </c>
      <c r="Y123" s="211"/>
      <c r="Z123" s="796">
        <f>Z66/Z67 *Z124</f>
        <v>0.53073323251120075</v>
      </c>
      <c r="AA123" s="796">
        <f>1/SUMIFS('Vehicle eff data 2023'!Q$20:Q$117,'Vehicle eff data 2023'!$A$20:$A$117,Analytica!$C123,'Vehicle eff data 2023'!$D$20:$D$117,RIGHT(Analytica!$D123,3))</f>
        <v>0.55960679052148743</v>
      </c>
      <c r="AB123" s="796">
        <f>1/SUMIFS('Vehicle eff data 2023'!R$20:R$117,'Vehicle eff data 2023'!$A$20:$A$117,Analytica!$C123,'Vehicle eff data 2023'!$D$20:$D$117,RIGHT(Analytica!$D123,3))</f>
        <v>0.56808553818966034</v>
      </c>
      <c r="AC123" s="796">
        <f>1/SUMIFS('Vehicle eff data 2023'!S$20:S$117,'Vehicle eff data 2023'!$A$20:$A$117,Analytica!$C123,'Vehicle eff data 2023'!$D$20:$D$117,RIGHT(Analytica!$D123,3))</f>
        <v>0.61250350631293804</v>
      </c>
      <c r="AD123" s="796">
        <f>1/SUMIFS('Vehicle eff data 2023'!T$20:T$117,'Vehicle eff data 2023'!$A$20:$A$117,Analytica!$C123,'Vehicle eff data 2023'!$D$20:$D$117,RIGHT(Analytica!$D123,3))</f>
        <v>0.67726188216078398</v>
      </c>
      <c r="AE123" s="796">
        <f>1/SUMIFS('Vehicle eff data 2023'!U$20:U$117,'Vehicle eff data 2023'!$A$20:$A$117,Analytica!$C123,'Vehicle eff data 2023'!$D$20:$D$117,RIGHT(Analytica!$D123,3))</f>
        <v>0.74886698982196298</v>
      </c>
      <c r="AF123" s="796"/>
      <c r="AG123" s="798">
        <v>1</v>
      </c>
      <c r="AH123" s="798">
        <f>AH121/AH122*AH124</f>
        <v>756.34808946285307</v>
      </c>
      <c r="AI123" s="798">
        <v>869.57249999999999</v>
      </c>
      <c r="AJ123" s="798"/>
      <c r="AK123" s="890"/>
      <c r="AL123" s="890"/>
      <c r="AM123" s="890"/>
      <c r="AN123" s="890"/>
      <c r="AO123" s="890"/>
      <c r="AP123" s="890"/>
      <c r="AQ123" s="890"/>
      <c r="AR123" s="893"/>
      <c r="AS123" s="891"/>
      <c r="AT123" s="892"/>
      <c r="AU123" s="893"/>
      <c r="AV123" s="893"/>
      <c r="AW123" s="893"/>
      <c r="AX123" s="893"/>
      <c r="AY123" s="894"/>
      <c r="BA123" s="164">
        <f t="shared" si="95"/>
        <v>7.1635346646386339E-4</v>
      </c>
    </row>
    <row r="124" spans="1:57" x14ac:dyDescent="0.25">
      <c r="A124" s="61" t="str">
        <f t="shared" si="59"/>
        <v>SUVOGS</v>
      </c>
      <c r="B124" s="61" t="str">
        <f t="shared" si="93"/>
        <v>TPPRSUVOGS-N</v>
      </c>
      <c r="C124" s="61" t="s">
        <v>573</v>
      </c>
      <c r="D124" s="61" t="s">
        <v>516</v>
      </c>
      <c r="E124" s="61" t="s">
        <v>295</v>
      </c>
      <c r="F124" s="793">
        <f>INDEX($F$17:$F$49,MATCH($E124,$E$17:$E$49,0))</f>
        <v>2.4E-2</v>
      </c>
      <c r="G124" s="794">
        <f>G39</f>
        <v>19920.095193486901</v>
      </c>
      <c r="H124" s="794">
        <f t="shared" si="91"/>
        <v>19920.095193486901</v>
      </c>
      <c r="I124" s="794">
        <f t="shared" si="91"/>
        <v>17667.539528454752</v>
      </c>
      <c r="J124" s="794">
        <f t="shared" si="91"/>
        <v>13897.778829577146</v>
      </c>
      <c r="K124" s="794">
        <f t="shared" si="91"/>
        <v>6764.7751981294105</v>
      </c>
      <c r="L124" s="794">
        <f t="shared" si="91"/>
        <v>2037.5111345637988</v>
      </c>
      <c r="M124" s="794">
        <f t="shared" si="87"/>
        <v>1</v>
      </c>
      <c r="N124" s="794">
        <f t="shared" si="61"/>
        <v>0.88692043671715748</v>
      </c>
      <c r="O124" s="794">
        <f t="shared" si="62"/>
        <v>0.69767632607103114</v>
      </c>
      <c r="P124" s="794">
        <f t="shared" si="63"/>
        <v>0.33959552564493917</v>
      </c>
      <c r="Q124" s="794">
        <f t="shared" si="64"/>
        <v>0.10228420671553748</v>
      </c>
      <c r="R124" s="794">
        <f t="shared" si="65"/>
        <v>5.020056331492639E-5</v>
      </c>
      <c r="S124" s="211">
        <v>14.36</v>
      </c>
      <c r="T124" s="794">
        <f>W39</f>
        <v>13.551554667779801</v>
      </c>
      <c r="U124" s="794">
        <f t="shared" si="94"/>
        <v>12.029865823385324</v>
      </c>
      <c r="V124" s="794">
        <f t="shared" si="94"/>
        <v>10.365741182025751</v>
      </c>
      <c r="W124" s="794">
        <f t="shared" si="94"/>
        <v>8.9318195090647752</v>
      </c>
      <c r="X124" s="794">
        <f t="shared" si="94"/>
        <v>7.6962561906180467</v>
      </c>
      <c r="Y124" s="211"/>
      <c r="Z124" s="796">
        <f t="shared" ref="Z124:Z135" si="96">(AA124/AB124)*AA124</f>
        <v>0.42121105878886406</v>
      </c>
      <c r="AA124" s="796">
        <f>1/SUMIFS('Vehicle eff data 2023'!Q$20:Q$117,'Vehicle eff data 2023'!$A$20:$A$117,Analytica!$C124,'Vehicle eff data 2023'!$D$20:$D$117,RIGHT(Analytica!$D124,3))</f>
        <v>0.42759293682001998</v>
      </c>
      <c r="AB124" s="796">
        <f>1/SUMIFS('Vehicle eff data 2023'!R$20:R$117,'Vehicle eff data 2023'!$A$20:$A$117,Analytica!$C124,'Vehicle eff data 2023'!$D$20:$D$117,RIGHT(Analytica!$D124,3))</f>
        <v>0.43407150834094715</v>
      </c>
      <c r="AC124" s="796">
        <f>1/SUMIFS('Vehicle eff data 2023'!S$20:S$117,'Vehicle eff data 2023'!$A$20:$A$117,Analytica!$C124,'Vehicle eff data 2023'!$D$20:$D$117,RIGHT(Analytica!$D124,3))</f>
        <v>0.46801107047476492</v>
      </c>
      <c r="AD124" s="796">
        <f>1/SUMIFS('Vehicle eff data 2023'!T$20:T$117,'Vehicle eff data 2023'!$A$20:$A$117,Analytica!$C124,'Vehicle eff data 2023'!$D$20:$D$117,RIGHT(Analytica!$D124,3))</f>
        <v>0.51749264321742416</v>
      </c>
      <c r="AE124" s="827">
        <f>1/SUMIFS('Vehicle eff data 2023'!U$20:U$117,'Vehicle eff data 2023'!$A$20:$A$117,Analytica!$C124,'Vehicle eff data 2023'!$D$20:$D$117,RIGHT(Analytica!$D124,3))</f>
        <v>0.57220577178333198</v>
      </c>
      <c r="AF124" s="827"/>
      <c r="AG124" s="798"/>
      <c r="AH124" s="798">
        <v>330.33640000000003</v>
      </c>
      <c r="AI124" s="798">
        <v>528.97889091362958</v>
      </c>
      <c r="AJ124" s="798"/>
      <c r="AK124" s="890"/>
      <c r="AL124" s="890"/>
      <c r="AM124" s="890"/>
      <c r="AN124" s="890"/>
      <c r="AO124" s="890"/>
      <c r="AP124" s="890"/>
      <c r="AQ124" s="890"/>
      <c r="AR124" s="893"/>
      <c r="AS124" s="891"/>
      <c r="AT124" s="892"/>
      <c r="AU124" s="893"/>
      <c r="AV124" s="893"/>
      <c r="AW124" s="893"/>
      <c r="AX124" s="893"/>
      <c r="AY124" s="894"/>
      <c r="BA124" s="164">
        <f t="shared" si="95"/>
        <v>0.53794220106962365</v>
      </c>
      <c r="BB124" s="61" t="s">
        <v>129</v>
      </c>
      <c r="BC124" s="166">
        <f>AJ124*1000</f>
        <v>0</v>
      </c>
    </row>
    <row r="125" spans="1:57" x14ac:dyDescent="0.25">
      <c r="A125" s="61" t="str">
        <f t="shared" si="59"/>
        <v>SUVGAS</v>
      </c>
      <c r="B125" s="61" t="str">
        <f t="shared" si="93"/>
        <v>TPPRSUVGAS-N</v>
      </c>
      <c r="C125" s="61" t="s">
        <v>509</v>
      </c>
      <c r="D125" s="61" t="s">
        <v>516</v>
      </c>
      <c r="E125" s="61" t="s">
        <v>518</v>
      </c>
      <c r="F125" s="793">
        <f>F124</f>
        <v>2.4E-2</v>
      </c>
      <c r="G125" s="794">
        <f>G123</f>
        <v>22250.436222693301</v>
      </c>
      <c r="H125" s="794">
        <f t="shared" si="91"/>
        <v>22250.436222693301</v>
      </c>
      <c r="I125" s="794">
        <f t="shared" si="91"/>
        <v>19734.366611778401</v>
      </c>
      <c r="J125" s="794">
        <f t="shared" si="91"/>
        <v>15523.602597326451</v>
      </c>
      <c r="K125" s="794">
        <f t="shared" si="91"/>
        <v>7556.1485848747261</v>
      </c>
      <c r="L125" s="794">
        <f t="shared" si="91"/>
        <v>2275.8682181128447</v>
      </c>
      <c r="M125" s="794">
        <f t="shared" si="87"/>
        <v>1</v>
      </c>
      <c r="N125" s="794">
        <f t="shared" si="61"/>
        <v>0.88692043671715748</v>
      </c>
      <c r="O125" s="794">
        <f t="shared" si="62"/>
        <v>0.69767632607103103</v>
      </c>
      <c r="P125" s="794">
        <f t="shared" si="63"/>
        <v>0.33959552564493917</v>
      </c>
      <c r="Q125" s="794">
        <f t="shared" si="64"/>
        <v>0.10228420671553749</v>
      </c>
      <c r="R125" s="794">
        <f t="shared" si="65"/>
        <v>4.4942939095283732E-5</v>
      </c>
      <c r="S125" s="794">
        <f t="shared" ref="S125:X126" si="97">(1+(S123/S66-1)/2)*S70</f>
        <v>11.580930930930931</v>
      </c>
      <c r="T125" s="794">
        <f t="shared" si="97"/>
        <v>8.3076372083499201</v>
      </c>
      <c r="U125" s="794">
        <f t="shared" si="97"/>
        <v>7.4790422203301672</v>
      </c>
      <c r="V125" s="794">
        <f t="shared" si="97"/>
        <v>6.4444456059252362</v>
      </c>
      <c r="W125" s="794">
        <f t="shared" si="97"/>
        <v>5.5529676052417951</v>
      </c>
      <c r="X125" s="794">
        <f t="shared" si="97"/>
        <v>4.7848102242516664</v>
      </c>
      <c r="Y125" s="211"/>
      <c r="Z125" s="796">
        <f t="shared" si="96"/>
        <v>0.35899070068700906</v>
      </c>
      <c r="AA125" s="796">
        <f>1/SUMIFS('Vehicle eff data 2023'!Q$20:Q$117,'Vehicle eff data 2023'!$A$20:$A$117,Analytica!$C125,'Vehicle eff data 2023'!$D$20:$D$117,RIGHT(Analytica!$D125,3))</f>
        <v>0.36442986193004773</v>
      </c>
      <c r="AB125" s="796">
        <f>1/SUMIFS('Vehicle eff data 2023'!R$20:R$117,'Vehicle eff data 2023'!$A$20:$A$117,Analytica!$C125,'Vehicle eff data 2023'!$D$20:$D$117,RIGHT(Analytica!$D125,3))</f>
        <v>0.36995143331622149</v>
      </c>
      <c r="AC125" s="796">
        <f>1/SUMIFS('Vehicle eff data 2023'!S$20:S$117,'Vehicle eff data 2023'!$A$20:$A$117,Analytica!$C125,'Vehicle eff data 2023'!$D$20:$D$117,RIGHT(Analytica!$D125,3))</f>
        <v>0.39887751903311353</v>
      </c>
      <c r="AD125" s="796">
        <f>1/SUMIFS('Vehicle eff data 2023'!T$20:T$117,'Vehicle eff data 2023'!$A$20:$A$117,Analytica!$C125,'Vehicle eff data 2023'!$D$20:$D$117,RIGHT(Analytica!$D125,3))</f>
        <v>0.4410497842178378</v>
      </c>
      <c r="AE125" s="827">
        <f>1/SUMIFS('Vehicle eff data 2023'!U$20:U$117,'Vehicle eff data 2023'!$A$20:$A$117,Analytica!$C125,'Vehicle eff data 2023'!$D$20:$D$117,RIGHT(Analytica!$D125,3))</f>
        <v>0.48768081146847597</v>
      </c>
      <c r="AF125" s="827"/>
      <c r="AG125" s="798"/>
      <c r="AH125" s="798"/>
      <c r="AI125" s="798"/>
      <c r="AJ125" s="798"/>
      <c r="AK125" s="890"/>
      <c r="AL125" s="890"/>
      <c r="AM125" s="890"/>
      <c r="AN125" s="890"/>
      <c r="AO125" s="890"/>
      <c r="AP125" s="890"/>
      <c r="AQ125" s="890"/>
      <c r="AR125" s="893"/>
      <c r="AS125" s="891"/>
      <c r="AT125" s="892"/>
      <c r="AU125" s="893"/>
      <c r="AV125" s="893"/>
      <c r="AW125" s="893"/>
      <c r="AX125" s="893"/>
      <c r="AY125" s="894"/>
      <c r="BA125" s="164">
        <f t="shared" si="95"/>
        <v>0</v>
      </c>
      <c r="BC125" s="168" t="e">
        <f>#REF!-BC123</f>
        <v>#REF!</v>
      </c>
      <c r="BE125" s="61" t="s">
        <v>515</v>
      </c>
    </row>
    <row r="126" spans="1:57" x14ac:dyDescent="0.25">
      <c r="A126" s="61" t="str">
        <f t="shared" si="59"/>
        <v>SUVHGN</v>
      </c>
      <c r="B126" s="61" t="str">
        <f>D126&amp;C126&amp;"F-N"</f>
        <v>TPPRSUVHGNF-N</v>
      </c>
      <c r="C126" s="61" t="s">
        <v>504</v>
      </c>
      <c r="D126" s="61" t="s">
        <v>516</v>
      </c>
      <c r="E126" s="61" t="s">
        <v>517</v>
      </c>
      <c r="F126" s="793">
        <f>F125</f>
        <v>2.4E-2</v>
      </c>
      <c r="G126" s="794">
        <f>G123</f>
        <v>22250.436222693301</v>
      </c>
      <c r="H126" s="794">
        <f t="shared" si="91"/>
        <v>22250.436222693301</v>
      </c>
      <c r="I126" s="794">
        <f t="shared" si="91"/>
        <v>19734.366611778401</v>
      </c>
      <c r="J126" s="794">
        <f t="shared" si="91"/>
        <v>15523.602597326451</v>
      </c>
      <c r="K126" s="794">
        <f t="shared" si="91"/>
        <v>7556.1485848747261</v>
      </c>
      <c r="L126" s="794">
        <f t="shared" si="91"/>
        <v>2275.8682181128447</v>
      </c>
      <c r="M126" s="794">
        <f t="shared" si="87"/>
        <v>1</v>
      </c>
      <c r="N126" s="794">
        <f t="shared" si="61"/>
        <v>0.88692043671715748</v>
      </c>
      <c r="O126" s="794">
        <f t="shared" si="62"/>
        <v>0.69767632607103103</v>
      </c>
      <c r="P126" s="794">
        <f t="shared" si="63"/>
        <v>0.33959552564493917</v>
      </c>
      <c r="Q126" s="794">
        <f t="shared" si="64"/>
        <v>0.10228420671553749</v>
      </c>
      <c r="R126" s="794">
        <f t="shared" si="65"/>
        <v>4.4942939095283732E-5</v>
      </c>
      <c r="S126" s="794">
        <f t="shared" si="97"/>
        <v>6.4363063233601805</v>
      </c>
      <c r="T126" s="794">
        <f t="shared" si="97"/>
        <v>5.7328975934466984</v>
      </c>
      <c r="U126" s="794">
        <f t="shared" si="97"/>
        <v>5.3307741914008675</v>
      </c>
      <c r="V126" s="794">
        <f t="shared" si="97"/>
        <v>4.5933534404404526</v>
      </c>
      <c r="W126" s="794">
        <f t="shared" si="97"/>
        <v>3.957942143345897</v>
      </c>
      <c r="X126" s="794">
        <f t="shared" si="97"/>
        <v>3.4104290499734287</v>
      </c>
      <c r="Y126" s="211"/>
      <c r="Z126" s="796">
        <f t="shared" si="96"/>
        <v>0.85487345304641404</v>
      </c>
      <c r="AA126" s="796">
        <f>1/SUMIFS('Vehicle eff data 2023'!Q$20:Q$117,'Vehicle eff data 2023'!$A$20:$A$117,Analytica!$C126,'Vehicle eff data 2023'!$D$20:$D$117,RIGHT(Analytica!$D126,3))</f>
        <v>0.86782586252279958</v>
      </c>
      <c r="AB126" s="796">
        <f>1/SUMIFS('Vehicle eff data 2023'!R$20:R$117,'Vehicle eff data 2023'!$A$20:$A$117,Analytica!$C126,'Vehicle eff data 2023'!$D$20:$D$117,RIGHT(Analytica!$D126,3))</f>
        <v>0.88097451731554877</v>
      </c>
      <c r="AC126" s="796">
        <f>1/SUMIFS('Vehicle eff data 2023'!S$20:S$117,'Vehicle eff data 2023'!$A$20:$A$117,Analytica!$C126,'Vehicle eff data 2023'!$D$20:$D$117,RIGHT(Analytica!$D126,3))</f>
        <v>0.94985692215944351</v>
      </c>
      <c r="AD126" s="796">
        <f>1/SUMIFS('Vehicle eff data 2023'!T$20:T$117,'Vehicle eff data 2023'!$A$20:$A$117,Analytica!$C126,'Vehicle eff data 2023'!$D$20:$D$117,RIGHT(Analytica!$D126,3))</f>
        <v>1.050282782473543</v>
      </c>
      <c r="AE126" s="827">
        <f>1/SUMIFS('Vehicle eff data 2023'!U$20:U$117,'Vehicle eff data 2023'!$A$20:$A$117,Analytica!$C126,'Vehicle eff data 2023'!$D$20:$D$117,RIGHT(Analytica!$D126,3))</f>
        <v>1.1613264034045769</v>
      </c>
      <c r="AF126" s="827"/>
      <c r="AG126" s="798"/>
      <c r="AH126" s="798"/>
      <c r="AI126" s="798"/>
      <c r="AJ126" s="798"/>
      <c r="AK126" s="890"/>
      <c r="AL126" s="890"/>
      <c r="AM126" s="890"/>
      <c r="AN126" s="890"/>
      <c r="AO126" s="890"/>
      <c r="AP126" s="890"/>
      <c r="AQ126" s="890"/>
      <c r="AR126" s="893"/>
      <c r="AS126" s="891"/>
      <c r="AT126" s="892"/>
      <c r="AU126" s="893"/>
      <c r="AV126" s="893"/>
      <c r="AW126" s="893"/>
      <c r="AX126" s="893"/>
      <c r="AY126" s="894"/>
      <c r="BA126" s="164">
        <f t="shared" si="95"/>
        <v>0</v>
      </c>
      <c r="BC126" s="168" t="e">
        <f>#REF!-BC124</f>
        <v>#REF!</v>
      </c>
      <c r="BE126" s="61" t="s">
        <v>515</v>
      </c>
    </row>
    <row r="127" spans="1:57" x14ac:dyDescent="0.25">
      <c r="A127" s="61" t="str">
        <f t="shared" si="59"/>
        <v>SUVBGS</v>
      </c>
      <c r="B127" s="61" t="str">
        <f>D127&amp;C127&amp;"-N"</f>
        <v>TPPRSUVBGS-N</v>
      </c>
      <c r="C127" s="61" t="s">
        <v>506</v>
      </c>
      <c r="D127" s="61" t="s">
        <v>516</v>
      </c>
      <c r="E127" s="61" t="s">
        <v>1007</v>
      </c>
      <c r="F127" s="793">
        <f>F124</f>
        <v>2.4E-2</v>
      </c>
      <c r="G127" s="794">
        <f>G124</f>
        <v>19920.095193486901</v>
      </c>
      <c r="H127" s="794">
        <f t="shared" si="91"/>
        <v>19920.095193486901</v>
      </c>
      <c r="I127" s="794">
        <f t="shared" si="91"/>
        <v>17667.539528454752</v>
      </c>
      <c r="J127" s="794">
        <f t="shared" si="91"/>
        <v>13897.778829577146</v>
      </c>
      <c r="K127" s="794">
        <f t="shared" si="91"/>
        <v>6764.7751981294105</v>
      </c>
      <c r="L127" s="794">
        <f t="shared" si="91"/>
        <v>2037.5111345637988</v>
      </c>
      <c r="M127" s="794">
        <f t="shared" si="87"/>
        <v>1</v>
      </c>
      <c r="N127" s="794">
        <f t="shared" si="61"/>
        <v>0.88692043671715748</v>
      </c>
      <c r="O127" s="794">
        <f t="shared" si="62"/>
        <v>0.69767632607103114</v>
      </c>
      <c r="P127" s="794">
        <f t="shared" si="63"/>
        <v>0.33959552564493917</v>
      </c>
      <c r="Q127" s="794">
        <f t="shared" si="64"/>
        <v>0.10228420671553748</v>
      </c>
      <c r="R127" s="794">
        <f t="shared" si="65"/>
        <v>5.020056331492639E-5</v>
      </c>
      <c r="S127" s="794">
        <v>19.276653567548493</v>
      </c>
      <c r="T127" s="794">
        <f>S127</f>
        <v>19.276653567548493</v>
      </c>
      <c r="U127" s="794">
        <f t="shared" ref="U127:X130" si="98">T127/((1+U$57)^(U$58-T$58))</f>
        <v>17.112099801570785</v>
      </c>
      <c r="V127" s="794">
        <f t="shared" si="98"/>
        <v>14.744935664973244</v>
      </c>
      <c r="W127" s="794">
        <f t="shared" si="98"/>
        <v>12.705227896359204</v>
      </c>
      <c r="X127" s="794">
        <f t="shared" si="98"/>
        <v>10.947678549855311</v>
      </c>
      <c r="Y127" s="211"/>
      <c r="Z127" s="796">
        <f t="shared" si="96"/>
        <v>0.42121105878886406</v>
      </c>
      <c r="AA127" s="796">
        <f>1/SUMIFS('Vehicle eff data 2023'!Q$20:Q$117,'Vehicle eff data 2023'!$A$20:$A$117,Analytica!$C127,'Vehicle eff data 2023'!$D$20:$D$117,RIGHT(Analytica!$D127,3))</f>
        <v>0.42759293682001998</v>
      </c>
      <c r="AB127" s="796">
        <f>1/SUMIFS('Vehicle eff data 2023'!R$20:R$117,'Vehicle eff data 2023'!$A$20:$A$117,Analytica!$C127,'Vehicle eff data 2023'!$D$20:$D$117,RIGHT(Analytica!$D127,3))</f>
        <v>0.43407150834094715</v>
      </c>
      <c r="AC127" s="796">
        <f>1/SUMIFS('Vehicle eff data 2023'!S$20:S$117,'Vehicle eff data 2023'!$A$20:$A$117,Analytica!$C127,'Vehicle eff data 2023'!$D$20:$D$117,RIGHT(Analytica!$D127,3))</f>
        <v>0.46801107047476492</v>
      </c>
      <c r="AD127" s="796">
        <f>1/SUMIFS('Vehicle eff data 2023'!T$20:T$117,'Vehicle eff data 2023'!$A$20:$A$117,Analytica!$C127,'Vehicle eff data 2023'!$D$20:$D$117,RIGHT(Analytica!$D127,3))</f>
        <v>0.51749264321742416</v>
      </c>
      <c r="AE127" s="827">
        <f>1/SUMIFS('Vehicle eff data 2023'!U$20:U$117,'Vehicle eff data 2023'!$A$20:$A$117,Analytica!$C127,'Vehicle eff data 2023'!$D$20:$D$117,RIGHT(Analytica!$D127,3))</f>
        <v>0.57220577178333198</v>
      </c>
      <c r="AF127" s="827"/>
      <c r="AG127" s="798"/>
      <c r="AH127" s="798"/>
      <c r="AI127" s="798"/>
      <c r="AJ127" s="798"/>
      <c r="AK127" s="890"/>
      <c r="AL127" s="890"/>
      <c r="AM127" s="890"/>
      <c r="AN127" s="890"/>
      <c r="AO127" s="890"/>
      <c r="AP127" s="890"/>
      <c r="AQ127" s="890"/>
      <c r="AR127" s="893"/>
      <c r="AS127" s="891"/>
      <c r="AT127" s="892"/>
      <c r="AU127" s="893"/>
      <c r="AV127" s="893"/>
      <c r="AW127" s="893"/>
      <c r="AX127" s="893"/>
      <c r="AY127" s="894"/>
      <c r="BA127" s="164">
        <f t="shared" si="95"/>
        <v>0</v>
      </c>
      <c r="BC127" s="166" t="e">
        <f>#REF!-BC125</f>
        <v>#REF!</v>
      </c>
      <c r="BD127" s="166"/>
      <c r="BE127" s="61" t="s">
        <v>515</v>
      </c>
    </row>
    <row r="128" spans="1:57" x14ac:dyDescent="0.25">
      <c r="A128" s="61" t="str">
        <f t="shared" si="59"/>
        <v>SUVELC</v>
      </c>
      <c r="B128" s="61" t="str">
        <f>D128&amp;C128&amp;"-N"</f>
        <v>TPPRSUVELC-N</v>
      </c>
      <c r="C128" s="61" t="s">
        <v>501</v>
      </c>
      <c r="D128" s="61" t="s">
        <v>516</v>
      </c>
      <c r="E128" t="s">
        <v>499</v>
      </c>
      <c r="F128" s="793">
        <f>F125</f>
        <v>2.4E-2</v>
      </c>
      <c r="G128" s="794">
        <f>G125</f>
        <v>22250.436222693301</v>
      </c>
      <c r="H128" s="794">
        <f t="shared" ref="H128:L135" si="99">(EXP(-((H$58)*$F128))*G128)</f>
        <v>22250.436222693301</v>
      </c>
      <c r="I128" s="794">
        <f t="shared" si="99"/>
        <v>19734.366611778401</v>
      </c>
      <c r="J128" s="794">
        <f t="shared" si="99"/>
        <v>15523.602597326451</v>
      </c>
      <c r="K128" s="794">
        <f t="shared" si="99"/>
        <v>7556.1485848747261</v>
      </c>
      <c r="L128" s="794">
        <f t="shared" si="99"/>
        <v>2275.8682181128447</v>
      </c>
      <c r="M128" s="794">
        <f t="shared" si="87"/>
        <v>1</v>
      </c>
      <c r="N128" s="794">
        <f t="shared" si="61"/>
        <v>0.88692043671715748</v>
      </c>
      <c r="O128" s="794">
        <f t="shared" si="62"/>
        <v>0.69767632607103103</v>
      </c>
      <c r="P128" s="794">
        <f t="shared" si="63"/>
        <v>0.33959552564493917</v>
      </c>
      <c r="Q128" s="794">
        <f t="shared" si="64"/>
        <v>0.10228420671553749</v>
      </c>
      <c r="R128" s="794">
        <f t="shared" si="65"/>
        <v>4.4942939095283732E-5</v>
      </c>
      <c r="S128" s="805">
        <v>20.2766535675485</v>
      </c>
      <c r="T128" s="211">
        <f>S128</f>
        <v>20.2766535675485</v>
      </c>
      <c r="U128" s="794">
        <f t="shared" si="98"/>
        <v>17.999810925371779</v>
      </c>
      <c r="V128" s="794">
        <f t="shared" si="98"/>
        <v>15.509847251587836</v>
      </c>
      <c r="W128" s="794">
        <f t="shared" si="98"/>
        <v>13.364327145709623</v>
      </c>
      <c r="X128" s="794">
        <f t="shared" si="98"/>
        <v>11.515602775473257</v>
      </c>
      <c r="Y128" s="211"/>
      <c r="Z128" s="796">
        <f t="shared" si="96"/>
        <v>1.4549555903750002</v>
      </c>
      <c r="AA128" s="796">
        <f>1/SUMIFS('Vehicle eff data 2023'!Q$20:Q$117,'Vehicle eff data 2023'!$A$20:$A$117,Analytica!$C128,'Vehicle eff data 2023'!$D$20:$D$117,RIGHT(Analytica!$D128,3))</f>
        <v>1.4770000000000001</v>
      </c>
      <c r="AB128" s="796">
        <f>1/SUMIFS('Vehicle eff data 2023'!R$20:R$117,'Vehicle eff data 2023'!$A$20:$A$117,Analytica!$C128,'Vehicle eff data 2023'!$D$20:$D$117,RIGHT(Analytica!$D128,3))</f>
        <v>1.4993784101944536</v>
      </c>
      <c r="AC128" s="796">
        <f>1/SUMIFS('Vehicle eff data 2023'!S$20:S$117,'Vehicle eff data 2023'!$A$20:$A$117,Analytica!$C128,'Vehicle eff data 2023'!$D$20:$D$117,RIGHT(Analytica!$D128,3))</f>
        <v>1.6166131186170316</v>
      </c>
      <c r="AD128" s="796">
        <f>1/SUMIFS('Vehicle eff data 2023'!T$20:T$117,'Vehicle eff data 2023'!$A$20:$A$117,Analytica!$C128,'Vehicle eff data 2023'!$D$20:$D$117,RIGHT(Analytica!$D128,3))</f>
        <v>1.7875333482270686</v>
      </c>
      <c r="AE128" s="827">
        <f>1/SUMIFS('Vehicle eff data 2023'!U$20:U$117,'Vehicle eff data 2023'!$A$20:$A$117,Analytica!$C128,'Vehicle eff data 2023'!$D$20:$D$117,RIGHT(Analytica!$D128,3))</f>
        <v>1.9765245216847829</v>
      </c>
      <c r="AF128" s="827"/>
      <c r="AG128" s="798"/>
      <c r="AH128" s="827"/>
      <c r="AI128" s="798"/>
      <c r="AJ128" s="798"/>
      <c r="AK128" s="890"/>
      <c r="AL128" s="890"/>
      <c r="AM128" s="890"/>
      <c r="AN128" s="890"/>
      <c r="AO128" s="890"/>
      <c r="AP128" s="890"/>
      <c r="AQ128" s="890"/>
      <c r="AR128" s="893"/>
      <c r="AS128" s="891"/>
      <c r="AT128" s="892"/>
      <c r="AU128" s="893"/>
      <c r="AV128" s="893"/>
      <c r="AW128" s="893"/>
      <c r="AX128" s="893"/>
      <c r="AY128" s="894"/>
      <c r="BA128" s="164">
        <f t="shared" si="95"/>
        <v>0</v>
      </c>
      <c r="BC128" s="166" t="e">
        <f>#REF!-BC126</f>
        <v>#REF!</v>
      </c>
      <c r="BE128" s="61" t="s">
        <v>515</v>
      </c>
    </row>
    <row r="129" spans="1:56" x14ac:dyDescent="0.25">
      <c r="A129" s="61" t="str">
        <f t="shared" ref="A129:A135" si="100">RIGHT(D129,3)&amp;C129</f>
        <v>MOTOGS</v>
      </c>
      <c r="B129" s="61" t="s">
        <v>514</v>
      </c>
      <c r="C129" s="61" t="s">
        <v>573</v>
      </c>
      <c r="D129" s="61" t="s">
        <v>512</v>
      </c>
      <c r="E129" s="61" t="s">
        <v>513</v>
      </c>
      <c r="F129" s="793">
        <f>INDEX($F$17:$F$49,MATCH($E129,$E$17:$E$49,0))</f>
        <v>1.4999999999999999E-2</v>
      </c>
      <c r="G129" s="794">
        <f>G41</f>
        <v>11451.6721676383</v>
      </c>
      <c r="H129" s="794">
        <f t="shared" si="99"/>
        <v>11451.6721676383</v>
      </c>
      <c r="I129" s="794">
        <f t="shared" si="99"/>
        <v>10624.214261096413</v>
      </c>
      <c r="J129" s="794">
        <f t="shared" si="99"/>
        <v>9144.3459577745343</v>
      </c>
      <c r="K129" s="794">
        <f t="shared" si="99"/>
        <v>5830.6924108458106</v>
      </c>
      <c r="L129" s="794">
        <f t="shared" si="99"/>
        <v>2754.2240742044319</v>
      </c>
      <c r="M129" s="794">
        <f t="shared" si="87"/>
        <v>1</v>
      </c>
      <c r="N129" s="794">
        <f t="shared" si="61"/>
        <v>0.92774348632855286</v>
      </c>
      <c r="O129" s="794">
        <f t="shared" si="62"/>
        <v>0.79851621875937706</v>
      </c>
      <c r="P129" s="794">
        <f t="shared" si="63"/>
        <v>0.50915642060754918</v>
      </c>
      <c r="Q129" s="794">
        <f t="shared" si="64"/>
        <v>0.24050846320834215</v>
      </c>
      <c r="R129" s="794">
        <f t="shared" si="65"/>
        <v>8.7323491745243691E-5</v>
      </c>
      <c r="S129" s="211">
        <f>W41</f>
        <v>4.9995594866529798</v>
      </c>
      <c r="T129" s="794">
        <f>S129/((1+T$57)^(T$58-S$58))</f>
        <v>4.572308094547143</v>
      </c>
      <c r="U129" s="794">
        <f t="shared" si="98"/>
        <v>4.0588887569747962</v>
      </c>
      <c r="V129" s="794">
        <f t="shared" si="98"/>
        <v>3.4974114390907718</v>
      </c>
      <c r="W129" s="794">
        <f t="shared" si="98"/>
        <v>3.0136048329148473</v>
      </c>
      <c r="X129" s="794">
        <f t="shared" si="98"/>
        <v>2.596724533882333</v>
      </c>
      <c r="Y129" s="211"/>
      <c r="Z129" s="796">
        <f t="shared" si="96"/>
        <v>0.57611793589061622</v>
      </c>
      <c r="AA129" s="796">
        <f>1/SUMIFS('Vehicle eff data 2023'!Q$20:Q$117,'Vehicle eff data 2023'!$A$20:$A$117,Analytica!$C129,'Vehicle eff data 2023'!$D$20:$D$117,RIGHT(Analytica!$D129,3))</f>
        <v>0.58484684820594601</v>
      </c>
      <c r="AB129" s="796">
        <f>1/SUMIFS('Vehicle eff data 2023'!R$20:R$117,'Vehicle eff data 2023'!$A$20:$A$117,Analytica!$C129,'Vehicle eff data 2023'!$D$20:$D$117,RIGHT(Analytica!$D129,3))</f>
        <v>0.59370801453640365</v>
      </c>
      <c r="AC129" s="796">
        <f>1/SUMIFS('Vehicle eff data 2023'!S$20:S$117,'Vehicle eff data 2023'!$A$20:$A$117,Analytica!$C129,'Vehicle eff data 2023'!$D$20:$D$117,RIGHT(Analytica!$D129,3))</f>
        <v>0.64012937521432356</v>
      </c>
      <c r="AD129" s="796">
        <f>1/SUMIFS('Vehicle eff data 2023'!T$20:T$117,'Vehicle eff data 2023'!$A$20:$A$117,Analytica!$C129,'Vehicle eff data 2023'!$D$20:$D$117,RIGHT(Analytica!$D129,3))</f>
        <v>0.7078085611195819</v>
      </c>
      <c r="AE129" s="827">
        <f>1/SUMIFS('Vehicle eff data 2023'!U$20:U$117,'Vehicle eff data 2023'!$A$20:$A$117,Analytica!$C129,'Vehicle eff data 2023'!$D$20:$D$117,RIGHT(Analytica!$D129,3))</f>
        <v>0.7826432883609411</v>
      </c>
      <c r="AF129" s="827"/>
      <c r="AG129" s="798"/>
      <c r="AH129" s="798">
        <v>332.33640000000003</v>
      </c>
      <c r="AI129" s="798">
        <v>332.33640000000003</v>
      </c>
      <c r="AJ129" s="798"/>
      <c r="AK129" s="890"/>
      <c r="AL129" s="890"/>
      <c r="AM129" s="890"/>
      <c r="AN129" s="890"/>
      <c r="AO129" s="890"/>
      <c r="AP129" s="890"/>
      <c r="AQ129" s="890"/>
      <c r="AR129" s="893"/>
      <c r="AS129" s="891"/>
      <c r="AT129" s="892"/>
      <c r="AU129" s="893"/>
      <c r="AV129" s="893"/>
      <c r="AW129" s="893"/>
      <c r="AX129" s="893"/>
      <c r="AY129" s="894"/>
      <c r="BA129" s="164">
        <f t="shared" si="95"/>
        <v>1</v>
      </c>
    </row>
    <row r="130" spans="1:56" x14ac:dyDescent="0.25">
      <c r="A130" s="61" t="str">
        <f t="shared" si="100"/>
        <v>MOTELC</v>
      </c>
      <c r="B130" s="61" t="str">
        <f>D130&amp;C130&amp;"-N"</f>
        <v>TPPRMOTELC-N</v>
      </c>
      <c r="C130" s="61" t="s">
        <v>501</v>
      </c>
      <c r="D130" s="61" t="s">
        <v>512</v>
      </c>
      <c r="E130" t="s">
        <v>498</v>
      </c>
      <c r="F130" s="793">
        <f>INDEX($F$17:$F$49,MATCH($E129,$E$17:$E$49,0))</f>
        <v>1.4999999999999999E-2</v>
      </c>
      <c r="G130" s="803">
        <f>G41</f>
        <v>11451.6721676383</v>
      </c>
      <c r="H130" s="794">
        <f t="shared" si="99"/>
        <v>11451.6721676383</v>
      </c>
      <c r="I130" s="794">
        <f t="shared" si="99"/>
        <v>10624.214261096413</v>
      </c>
      <c r="J130" s="794">
        <f t="shared" si="99"/>
        <v>9144.3459577745343</v>
      </c>
      <c r="K130" s="794">
        <f t="shared" si="99"/>
        <v>5830.6924108458106</v>
      </c>
      <c r="L130" s="794">
        <f t="shared" si="99"/>
        <v>2754.2240742044319</v>
      </c>
      <c r="M130" s="794">
        <f t="shared" si="87"/>
        <v>1</v>
      </c>
      <c r="N130" s="794">
        <f t="shared" si="61"/>
        <v>0.92774348632855286</v>
      </c>
      <c r="O130" s="794">
        <f t="shared" si="62"/>
        <v>0.79851621875937706</v>
      </c>
      <c r="P130" s="794">
        <f t="shared" si="63"/>
        <v>0.50915642060754918</v>
      </c>
      <c r="Q130" s="794">
        <f t="shared" si="64"/>
        <v>0.24050846320834215</v>
      </c>
      <c r="R130" s="794">
        <f t="shared" si="65"/>
        <v>8.7323491745243691E-5</v>
      </c>
      <c r="S130" s="805">
        <f>W41</f>
        <v>4.9995594866529798</v>
      </c>
      <c r="T130" s="211">
        <f>S130/((1+T$57)^(T$58-S$58))</f>
        <v>4.572308094547143</v>
      </c>
      <c r="U130" s="794">
        <f t="shared" si="98"/>
        <v>4.0588887569747962</v>
      </c>
      <c r="V130" s="794">
        <f t="shared" si="98"/>
        <v>3.4974114390907718</v>
      </c>
      <c r="W130" s="794">
        <f t="shared" si="98"/>
        <v>3.0136048329148473</v>
      </c>
      <c r="X130" s="794">
        <f t="shared" si="98"/>
        <v>2.596724533882333</v>
      </c>
      <c r="Y130" s="211"/>
      <c r="Z130" s="796">
        <f t="shared" si="96"/>
        <v>2.8573689373918016</v>
      </c>
      <c r="AA130" s="796">
        <f>1/SUMIFS('Vehicle eff data 2023'!Q$20:Q$117,'Vehicle eff data 2023'!$A$20:$A$117,Analytica!$C130,'Vehicle eff data 2023'!$D$20:$D$117,RIGHT(Analytica!$D130,3))</f>
        <v>2.9006616754810661</v>
      </c>
      <c r="AB130" s="796">
        <f>1/SUMIFS('Vehicle eff data 2023'!R$20:R$117,'Vehicle eff data 2023'!$A$20:$A$117,Analytica!$C130,'Vehicle eff data 2023'!$D$20:$D$117,RIGHT(Analytica!$D130,3))</f>
        <v>2.9446103530770351</v>
      </c>
      <c r="AC130" s="796">
        <f>1/SUMIFS('Vehicle eff data 2023'!S$20:S$117,'Vehicle eff data 2023'!$A$20:$A$117,Analytica!$C130,'Vehicle eff data 2023'!$D$20:$D$117,RIGHT(Analytica!$D130,3))</f>
        <v>3.1748461186542651</v>
      </c>
      <c r="AD130" s="796">
        <f>1/SUMIFS('Vehicle eff data 2023'!T$20:T$117,'Vehicle eff data 2023'!$A$20:$A$117,Analytica!$C130,'Vehicle eff data 2023'!$D$20:$D$117,RIGHT(Analytica!$D130,3))</f>
        <v>3.510514202333519</v>
      </c>
      <c r="AE130" s="827">
        <f>1/SUMIFS('Vehicle eff data 2023'!U$20:U$117,'Vehicle eff data 2023'!$A$20:$A$117,Analytica!$C130,'Vehicle eff data 2023'!$D$20:$D$117,RIGHT(Analytica!$D130,3))</f>
        <v>3.8816715847661438</v>
      </c>
      <c r="AF130" s="827"/>
      <c r="AG130" s="798"/>
      <c r="AH130" s="827">
        <v>332.33640000000003</v>
      </c>
      <c r="AI130" s="798">
        <v>332.33640000000003</v>
      </c>
      <c r="AJ130" s="798"/>
      <c r="AK130" s="890"/>
      <c r="AL130" s="890"/>
      <c r="AM130" s="890"/>
      <c r="AN130" s="890"/>
      <c r="AO130" s="890"/>
      <c r="AP130" s="890"/>
      <c r="AQ130" s="890"/>
      <c r="AR130" s="893"/>
      <c r="AS130" s="891"/>
      <c r="AT130" s="892"/>
      <c r="AU130" s="893"/>
      <c r="AV130" s="893"/>
      <c r="AW130" s="893"/>
      <c r="AX130" s="893"/>
      <c r="AY130" s="894"/>
      <c r="BA130" s="164">
        <f t="shared" si="95"/>
        <v>0</v>
      </c>
      <c r="BC130" s="166"/>
    </row>
    <row r="131" spans="1:56" x14ac:dyDescent="0.25">
      <c r="A131" s="61" t="str">
        <f t="shared" si="100"/>
        <v>BRTODS</v>
      </c>
      <c r="B131" s="61" t="s">
        <v>650</v>
      </c>
      <c r="C131" s="61" t="s">
        <v>511</v>
      </c>
      <c r="D131" s="61" t="str">
        <f>LEFT(B131,7)</f>
        <v>TPPUBRT</v>
      </c>
      <c r="E131" s="61" t="s">
        <v>510</v>
      </c>
      <c r="F131" s="793">
        <f>F59</f>
        <v>0.06</v>
      </c>
      <c r="G131" s="794">
        <f>G59</f>
        <v>53296.583187381897</v>
      </c>
      <c r="H131" s="794">
        <f t="shared" si="99"/>
        <v>53296.583187381897</v>
      </c>
      <c r="I131" s="794">
        <f t="shared" si="99"/>
        <v>39483.079925291415</v>
      </c>
      <c r="J131" s="794">
        <f t="shared" si="99"/>
        <v>21668.773691830389</v>
      </c>
      <c r="K131" s="794">
        <f t="shared" si="99"/>
        <v>3581.8242003847272</v>
      </c>
      <c r="L131" s="794">
        <f t="shared" si="99"/>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01">S59/1.15</f>
        <v>27.147826086956524</v>
      </c>
      <c r="T131" s="211">
        <f t="shared" si="101"/>
        <v>35.468256497682354</v>
      </c>
      <c r="U131" s="211">
        <f t="shared" si="101"/>
        <v>33.410225124654424</v>
      </c>
      <c r="V131" s="211">
        <f t="shared" si="101"/>
        <v>31.004794263867016</v>
      </c>
      <c r="W131" s="211">
        <f t="shared" si="101"/>
        <v>28.77254684031897</v>
      </c>
      <c r="X131" s="211">
        <f t="shared" si="101"/>
        <v>26.70101419260622</v>
      </c>
      <c r="Y131" s="211"/>
      <c r="Z131" s="796">
        <f t="shared" si="96"/>
        <v>6.3387932340570441E-2</v>
      </c>
      <c r="AA131" s="796">
        <f>1/SUMIFS('Vehicle eff data 2023'!Q$20:Q$117,'Vehicle eff data 2023'!$A$20:$A$117,Analytica!$C131,'Vehicle eff data 2023'!$D$20:$D$117,RIGHT(Analytica!$D131,3))</f>
        <v>6.4348339348895098E-2</v>
      </c>
      <c r="AB131" s="796">
        <f>1/SUMIFS('Vehicle eff data 2023'!R$20:R$117,'Vehicle eff data 2023'!$A$20:$A$117,Analytica!$C131,'Vehicle eff data 2023'!$D$20:$D$117,RIGHT(Analytica!$D131,3))</f>
        <v>6.5323297732971908E-2</v>
      </c>
      <c r="AC131" s="796">
        <f>1/SUMIFS('Vehicle eff data 2023'!S$20:S$117,'Vehicle eff data 2023'!$A$20:$A$117,Analytica!$C131,'Vehicle eff data 2023'!$D$20:$D$117,RIGHT(Analytica!$D131,3))</f>
        <v>7.043085277768743E-2</v>
      </c>
      <c r="AD131" s="796">
        <f>1/SUMIFS('Vehicle eff data 2023'!T$20:T$117,'Vehicle eff data 2023'!$A$20:$A$117,Analytica!$C131,'Vehicle eff data 2023'!$D$20:$D$117,RIGHT(Analytica!$D131,3))</f>
        <v>7.7877320574937056E-2</v>
      </c>
      <c r="AE131" s="827">
        <f>1/SUMIFS('Vehicle eff data 2023'!U$20:U$117,'Vehicle eff data 2023'!$A$20:$A$117,Analytica!$C131,'Vehicle eff data 2023'!$D$20:$D$117,RIGHT(Analytica!$D131,3))</f>
        <v>8.6111083718879447E-2</v>
      </c>
      <c r="AF131" s="827"/>
      <c r="AG131" s="798"/>
      <c r="AH131" s="798">
        <f>AH59</f>
        <v>306.87549999999999</v>
      </c>
      <c r="AI131" s="798">
        <f>AI59</f>
        <v>636.66302862985685</v>
      </c>
      <c r="AJ131" s="798"/>
      <c r="AK131" s="890"/>
      <c r="AL131" s="890"/>
      <c r="AM131" s="890"/>
      <c r="AN131" s="890"/>
      <c r="AO131" s="890"/>
      <c r="AP131" s="890"/>
      <c r="AQ131" s="890"/>
      <c r="AR131" s="893"/>
      <c r="AS131" s="891"/>
      <c r="AT131" s="892"/>
      <c r="AU131" s="893"/>
      <c r="AV131" s="893"/>
      <c r="AW131" s="893"/>
      <c r="AX131" s="893"/>
      <c r="AY131" s="894"/>
      <c r="BA131" s="164">
        <v>1</v>
      </c>
    </row>
    <row r="132" spans="1:56" x14ac:dyDescent="0.25">
      <c r="A132" s="61" t="str">
        <f t="shared" si="100"/>
        <v>BRTGAS</v>
      </c>
      <c r="B132" s="61" t="str">
        <f>D132&amp;C132&amp;"-N"</f>
        <v>TPPUBRTGAS-N</v>
      </c>
      <c r="C132" s="61" t="s">
        <v>509</v>
      </c>
      <c r="D132" s="61" t="s">
        <v>503</v>
      </c>
      <c r="E132" s="61" t="s">
        <v>508</v>
      </c>
      <c r="F132" s="793">
        <f>F131</f>
        <v>0.06</v>
      </c>
      <c r="G132" s="794">
        <f>G59</f>
        <v>53296.583187381897</v>
      </c>
      <c r="H132" s="794">
        <f t="shared" si="99"/>
        <v>53296.583187381897</v>
      </c>
      <c r="I132" s="794">
        <f t="shared" si="99"/>
        <v>39483.079925291415</v>
      </c>
      <c r="J132" s="794">
        <f t="shared" si="99"/>
        <v>21668.773691830389</v>
      </c>
      <c r="K132" s="794">
        <f t="shared" si="99"/>
        <v>3581.8242003847272</v>
      </c>
      <c r="L132" s="794">
        <f t="shared" si="99"/>
        <v>178.32852634622401</v>
      </c>
      <c r="M132" s="794">
        <f t="shared" ref="M132:R134" si="102">M131</f>
        <v>1</v>
      </c>
      <c r="N132" s="794">
        <f t="shared" si="102"/>
        <v>0.74081822068171788</v>
      </c>
      <c r="O132" s="794">
        <f t="shared" si="102"/>
        <v>0.40656965974059905</v>
      </c>
      <c r="P132" s="794">
        <f t="shared" si="102"/>
        <v>6.720551273974977E-2</v>
      </c>
      <c r="Q132" s="794">
        <f t="shared" si="102"/>
        <v>3.3459654574712729E-3</v>
      </c>
      <c r="R132" s="794">
        <f t="shared" si="102"/>
        <v>1.8762928882029207E-5</v>
      </c>
      <c r="S132" s="211">
        <f t="shared" ref="S132:X132" si="103">S$70/S$67*S131</f>
        <v>27.718501109805462</v>
      </c>
      <c r="T132" s="211">
        <f t="shared" si="103"/>
        <v>33.650274126419248</v>
      </c>
      <c r="U132" s="211">
        <f t="shared" si="103"/>
        <v>34.112542169316832</v>
      </c>
      <c r="V132" s="211">
        <f t="shared" si="103"/>
        <v>31.656546695840198</v>
      </c>
      <c r="W132" s="211">
        <f t="shared" si="103"/>
        <v>29.377375152277629</v>
      </c>
      <c r="X132" s="211">
        <f t="shared" si="103"/>
        <v>27.262296773231572</v>
      </c>
      <c r="Y132" s="211"/>
      <c r="Z132" s="796">
        <f t="shared" si="96"/>
        <v>5.5119941165713407E-2</v>
      </c>
      <c r="AA132" s="796">
        <f>1/SUMIFS('Vehicle eff data 2023'!Q$20:Q$117,'Vehicle eff data 2023'!$A$20:$A$117,Analytica!$C132,'Vehicle eff data 2023'!$D$20:$D$117,RIGHT(Analytica!$D132,3))</f>
        <v>5.5955077694691387E-2</v>
      </c>
      <c r="AB132" s="796">
        <f>1/SUMIFS('Vehicle eff data 2023'!R$20:R$117,'Vehicle eff data 2023'!$A$20:$A$117,Analytica!$C132,'Vehicle eff data 2023'!$D$20:$D$117,RIGHT(Analytica!$D132,3))</f>
        <v>5.6802867593888626E-2</v>
      </c>
      <c r="AC132" s="796">
        <f>1/SUMIFS('Vehicle eff data 2023'!S$20:S$117,'Vehicle eff data 2023'!$A$20:$A$117,Analytica!$C132,'Vehicle eff data 2023'!$D$20:$D$117,RIGHT(Analytica!$D132,3))</f>
        <v>6.1244219806684722E-2</v>
      </c>
      <c r="AD132" s="796">
        <f>1/SUMIFS('Vehicle eff data 2023'!T$20:T$117,'Vehicle eff data 2023'!$A$20:$A$117,Analytica!$C132,'Vehicle eff data 2023'!$D$20:$D$117,RIGHT(Analytica!$D132,3))</f>
        <v>6.7719409195597449E-2</v>
      </c>
      <c r="AE132" s="827">
        <f>1/SUMIFS('Vehicle eff data 2023'!U$20:U$117,'Vehicle eff data 2023'!$A$20:$A$117,Analytica!$C132,'Vehicle eff data 2023'!$D$20:$D$117,RIGHT(Analytica!$D132,3))</f>
        <v>7.4879203233808214E-2</v>
      </c>
      <c r="AF132" s="827"/>
      <c r="AG132" s="798"/>
      <c r="AH132" s="798">
        <f>AH131*(1+$AR$57)</f>
        <v>337.56305000000003</v>
      </c>
      <c r="AI132" s="798">
        <f>AI131*(1+$AR$57)</f>
        <v>700.32933149284258</v>
      </c>
      <c r="AJ132" s="798"/>
      <c r="AK132" s="890"/>
      <c r="AL132" s="890"/>
      <c r="AM132" s="890"/>
      <c r="AN132" s="890"/>
      <c r="AO132" s="890"/>
      <c r="AP132" s="890"/>
      <c r="AQ132" s="890"/>
      <c r="AR132" s="893"/>
      <c r="AS132" s="891"/>
      <c r="AT132" s="892"/>
      <c r="AU132" s="893"/>
      <c r="AV132" s="893"/>
      <c r="AW132" s="893"/>
      <c r="AX132" s="893"/>
      <c r="AY132" s="894"/>
      <c r="BA132" s="164">
        <v>0</v>
      </c>
    </row>
    <row r="133" spans="1:56" x14ac:dyDescent="0.25">
      <c r="A133" s="61" t="str">
        <f t="shared" si="100"/>
        <v>BRTELC</v>
      </c>
      <c r="B133" s="61" t="str">
        <f>D133&amp;C133&amp;"-N"</f>
        <v>TPPUBRTELC-N</v>
      </c>
      <c r="C133" s="61" t="s">
        <v>501</v>
      </c>
      <c r="D133" s="61" t="s">
        <v>503</v>
      </c>
      <c r="E133" s="61" t="s">
        <v>507</v>
      </c>
      <c r="F133" s="793">
        <f>F132</f>
        <v>0.06</v>
      </c>
      <c r="G133" s="794">
        <f>G132</f>
        <v>53296.583187381897</v>
      </c>
      <c r="H133" s="794">
        <f t="shared" si="99"/>
        <v>53296.583187381897</v>
      </c>
      <c r="I133" s="794">
        <f t="shared" si="99"/>
        <v>39483.079925291415</v>
      </c>
      <c r="J133" s="794">
        <f t="shared" si="99"/>
        <v>21668.773691830389</v>
      </c>
      <c r="K133" s="794">
        <f t="shared" si="99"/>
        <v>3581.8242003847272</v>
      </c>
      <c r="L133" s="794">
        <f t="shared" si="99"/>
        <v>178.32852634622401</v>
      </c>
      <c r="M133" s="794">
        <f t="shared" si="102"/>
        <v>1</v>
      </c>
      <c r="N133" s="794">
        <f t="shared" si="102"/>
        <v>0.74081822068171788</v>
      </c>
      <c r="O133" s="794">
        <f t="shared" si="102"/>
        <v>0.40656965974059905</v>
      </c>
      <c r="P133" s="794">
        <f t="shared" si="102"/>
        <v>6.720551273974977E-2</v>
      </c>
      <c r="Q133" s="794">
        <f t="shared" si="102"/>
        <v>3.3459654574712729E-3</v>
      </c>
      <c r="R133" s="794">
        <f t="shared" si="102"/>
        <v>1.8762928882029207E-5</v>
      </c>
      <c r="S133" s="211">
        <f>S69/S65*S131</f>
        <v>56.834922156449522</v>
      </c>
      <c r="T133" s="794">
        <f>S133/((1+T$57)^(T$58-S$58))</f>
        <v>51.977934320541934</v>
      </c>
      <c r="U133" s="794">
        <f>T133/((1+U$57)^(U$58-T$58))</f>
        <v>46.141390488542193</v>
      </c>
      <c r="V133" s="794">
        <f>U133/((1+V$57)^(V$58-U$58))</f>
        <v>39.758524210074491</v>
      </c>
      <c r="W133" s="794">
        <f>V133/((1+W$57)^(W$58-V$58))</f>
        <v>34.258617493454345</v>
      </c>
      <c r="X133" s="794">
        <f>W133/((1+X$57)^(X$58-W$58))</f>
        <v>29.519528098214014</v>
      </c>
      <c r="Y133" s="211"/>
      <c r="Z133" s="796">
        <f t="shared" si="96"/>
        <v>0.20645474022958332</v>
      </c>
      <c r="AA133" s="796">
        <f>1/SUMIFS('Vehicle eff data 2023'!Q$20:Q$117,'Vehicle eff data 2023'!$A$20:$A$117,Analytica!$C133,'Vehicle eff data 2023'!$D$20:$D$117,RIGHT(Analytica!$D133,3))</f>
        <v>0.20958278956163948</v>
      </c>
      <c r="AB133" s="796">
        <f>1/SUMIFS('Vehicle eff data 2023'!R$20:R$117,'Vehicle eff data 2023'!$A$20:$A$117,Analytica!$C133,'Vehicle eff data 2023'!$D$20:$D$117,RIGHT(Analytica!$D133,3))</f>
        <v>0.21275823278067008</v>
      </c>
      <c r="AC133" s="796">
        <f>1/SUMIFS('Vehicle eff data 2023'!S$20:S$117,'Vehicle eff data 2023'!$A$20:$A$117,Analytica!$C133,'Vehicle eff data 2023'!$D$20:$D$117,RIGHT(Analytica!$D133,3))</f>
        <v>0.22939355926993843</v>
      </c>
      <c r="AD133" s="796">
        <f>1/SUMIFS('Vehicle eff data 2023'!T$20:T$117,'Vehicle eff data 2023'!$A$20:$A$117,Analytica!$C133,'Vehicle eff data 2023'!$D$20:$D$117,RIGHT(Analytica!$D133,3))</f>
        <v>0.25364673361942214</v>
      </c>
      <c r="AE133" s="827">
        <f>1/SUMIFS('Vehicle eff data 2023'!U$20:U$117,'Vehicle eff data 2023'!$A$20:$A$117,Analytica!$C133,'Vehicle eff data 2023'!$D$20:$D$117,RIGHT(Analytica!$D133,3))</f>
        <v>0.28046413195103725</v>
      </c>
      <c r="AF133" s="827"/>
      <c r="AG133" s="798">
        <v>1</v>
      </c>
      <c r="AH133" s="798">
        <f>AH131*AH69/AH67</f>
        <v>805.56077224193984</v>
      </c>
      <c r="AI133" s="798">
        <f>AI131*AI69/AI67</f>
        <v>961.96098128316271</v>
      </c>
      <c r="AJ133" s="798"/>
      <c r="AK133" s="890"/>
      <c r="AL133" s="890"/>
      <c r="AM133" s="890"/>
      <c r="AN133" s="890"/>
      <c r="AO133" s="890"/>
      <c r="AP133" s="890"/>
      <c r="AQ133" s="890"/>
      <c r="AR133" s="893"/>
      <c r="AS133" s="891"/>
      <c r="AT133" s="892"/>
      <c r="AU133" s="893"/>
      <c r="AV133" s="893"/>
      <c r="AW133" s="893"/>
      <c r="AX133" s="893"/>
      <c r="AY133" s="894"/>
      <c r="BA133" s="164">
        <v>0</v>
      </c>
    </row>
    <row r="134" spans="1:56" x14ac:dyDescent="0.25">
      <c r="A134" s="61" t="str">
        <f t="shared" si="100"/>
        <v>BRTBGS</v>
      </c>
      <c r="B134" s="61" t="str">
        <f>D134&amp;C134&amp;"-N"</f>
        <v>TPPUBRTBGS-N</v>
      </c>
      <c r="C134" s="61" t="s">
        <v>506</v>
      </c>
      <c r="D134" s="61" t="s">
        <v>503</v>
      </c>
      <c r="E134" s="61" t="s">
        <v>505</v>
      </c>
      <c r="F134" s="793">
        <f>F133</f>
        <v>0.06</v>
      </c>
      <c r="G134" s="794">
        <f>G133</f>
        <v>53296.583187381897</v>
      </c>
      <c r="H134" s="794">
        <f t="shared" si="99"/>
        <v>53296.583187381897</v>
      </c>
      <c r="I134" s="794">
        <f t="shared" si="99"/>
        <v>39483.079925291415</v>
      </c>
      <c r="J134" s="794">
        <f t="shared" si="99"/>
        <v>21668.773691830389</v>
      </c>
      <c r="K134" s="794">
        <f t="shared" si="99"/>
        <v>3581.8242003847272</v>
      </c>
      <c r="L134" s="794">
        <f t="shared" si="99"/>
        <v>178.32852634622401</v>
      </c>
      <c r="M134" s="794">
        <f t="shared" si="102"/>
        <v>1</v>
      </c>
      <c r="N134" s="794">
        <f t="shared" si="102"/>
        <v>0.74081822068171788</v>
      </c>
      <c r="O134" s="794">
        <f t="shared" si="102"/>
        <v>0.40656965974059905</v>
      </c>
      <c r="P134" s="794">
        <f t="shared" si="102"/>
        <v>6.720551273974977E-2</v>
      </c>
      <c r="Q134" s="794">
        <f t="shared" si="102"/>
        <v>3.3459654574712729E-3</v>
      </c>
      <c r="R134" s="794">
        <f t="shared" si="102"/>
        <v>1.8762928882029207E-5</v>
      </c>
      <c r="S134" s="794">
        <v>43.208930919335586</v>
      </c>
      <c r="T134" s="794">
        <f>S134</f>
        <v>43.208930919335586</v>
      </c>
      <c r="U134" s="794">
        <f>T134/((1+U$57)^(U$58-T$58))</f>
        <v>38.35704862464263</v>
      </c>
      <c r="V134" s="794">
        <f>U134/((1+V$57)^(V$58-U$58))</f>
        <v>33.051011905429043</v>
      </c>
      <c r="W134" s="794">
        <f>V134/((1+W$57)^(W$58-V$58))</f>
        <v>28.47897393416801</v>
      </c>
      <c r="X134" s="794">
        <f>W134/((1+X$57)^(X$58-W$58))</f>
        <v>24.539398632142802</v>
      </c>
      <c r="Y134" s="211"/>
      <c r="Z134" s="796">
        <f t="shared" si="96"/>
        <v>6.3387932340570441E-2</v>
      </c>
      <c r="AA134" s="796">
        <f>1/SUMIFS('Vehicle eff data 2023'!Q$20:Q$117,'Vehicle eff data 2023'!$A$20:$A$117,Analytica!$C134,'Vehicle eff data 2023'!$D$20:$D$117,RIGHT(Analytica!$D134,3))</f>
        <v>6.4348339348895098E-2</v>
      </c>
      <c r="AB134" s="796">
        <f>1/SUMIFS('Vehicle eff data 2023'!R$20:R$117,'Vehicle eff data 2023'!$A$20:$A$117,Analytica!$C134,'Vehicle eff data 2023'!$D$20:$D$117,RIGHT(Analytica!$D134,3))</f>
        <v>6.5323297732971908E-2</v>
      </c>
      <c r="AC134" s="796">
        <f>1/SUMIFS('Vehicle eff data 2023'!S$20:S$117,'Vehicle eff data 2023'!$A$20:$A$117,Analytica!$C134,'Vehicle eff data 2023'!$D$20:$D$117,RIGHT(Analytica!$D134,3))</f>
        <v>7.043085277768743E-2</v>
      </c>
      <c r="AD134" s="796">
        <f>1/SUMIFS('Vehicle eff data 2023'!T$20:T$117,'Vehicle eff data 2023'!$A$20:$A$117,Analytica!$C134,'Vehicle eff data 2023'!$D$20:$D$117,RIGHT(Analytica!$D134,3))</f>
        <v>7.7877320574937056E-2</v>
      </c>
      <c r="AE134" s="827">
        <f>1/SUMIFS('Vehicle eff data 2023'!U$20:U$117,'Vehicle eff data 2023'!$A$20:$A$117,Analytica!$C134,'Vehicle eff data 2023'!$D$20:$D$117,RIGHT(Analytica!$D134,3))</f>
        <v>8.6111083718879447E-2</v>
      </c>
      <c r="AF134" s="827"/>
      <c r="AG134" s="798">
        <v>1</v>
      </c>
      <c r="AH134" s="798">
        <f>AH132*AH70/AH68</f>
        <v>371.31935500000009</v>
      </c>
      <c r="AI134" s="798">
        <f>AI132*AI70/AI68</f>
        <v>770.36226464212689</v>
      </c>
      <c r="AJ134" s="798"/>
      <c r="AK134" s="890"/>
      <c r="AL134" s="890"/>
      <c r="AM134" s="890"/>
      <c r="AN134" s="890"/>
      <c r="AO134" s="890"/>
      <c r="AP134" s="890"/>
      <c r="AQ134" s="890"/>
      <c r="AR134" s="893"/>
      <c r="AS134" s="891"/>
      <c r="AT134" s="892"/>
      <c r="AU134" s="893"/>
      <c r="AV134" s="893"/>
      <c r="AW134" s="893"/>
      <c r="AX134" s="893"/>
      <c r="AY134" s="894"/>
      <c r="BA134" s="164">
        <v>1</v>
      </c>
      <c r="BC134" s="166"/>
      <c r="BD134" s="166"/>
    </row>
    <row r="135" spans="1:56" x14ac:dyDescent="0.25">
      <c r="A135" s="61" t="str">
        <f t="shared" si="100"/>
        <v>BRTHGN</v>
      </c>
      <c r="B135" s="61" t="str">
        <f>D135&amp;C135&amp;"F-N"</f>
        <v>TPPUBRTHGNF-N</v>
      </c>
      <c r="C135" s="61" t="s">
        <v>504</v>
      </c>
      <c r="D135" s="61" t="s">
        <v>503</v>
      </c>
      <c r="E135" s="61" t="s">
        <v>502</v>
      </c>
      <c r="F135" s="793">
        <f>F134</f>
        <v>0.06</v>
      </c>
      <c r="G135" s="794">
        <f>G133</f>
        <v>53296.583187381897</v>
      </c>
      <c r="H135" s="794">
        <f t="shared" si="99"/>
        <v>53296.583187381897</v>
      </c>
      <c r="I135" s="794">
        <f t="shared" si="99"/>
        <v>39483.079925291415</v>
      </c>
      <c r="J135" s="794">
        <f t="shared" si="99"/>
        <v>21668.773691830389</v>
      </c>
      <c r="K135" s="794">
        <f t="shared" si="99"/>
        <v>3581.8242003847272</v>
      </c>
      <c r="L135" s="794">
        <f t="shared" si="99"/>
        <v>178.32852634622401</v>
      </c>
      <c r="M135" s="794">
        <f t="shared" ref="M135:R135" si="104">M133</f>
        <v>1</v>
      </c>
      <c r="N135" s="794">
        <f t="shared" si="104"/>
        <v>0.74081822068171788</v>
      </c>
      <c r="O135" s="794">
        <f t="shared" si="104"/>
        <v>0.40656965974059905</v>
      </c>
      <c r="P135" s="794">
        <f t="shared" si="104"/>
        <v>6.720551273974977E-2</v>
      </c>
      <c r="Q135" s="794">
        <f t="shared" si="104"/>
        <v>3.3459654574712729E-3</v>
      </c>
      <c r="R135" s="794">
        <f t="shared" si="104"/>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796">
        <f t="shared" si="96"/>
        <v>0.13372636583052552</v>
      </c>
      <c r="AA135" s="796">
        <f>1/SUMIFS('Vehicle eff data 2023'!Q$20:Q$117,'Vehicle eff data 2023'!$A$20:$A$117,Analytica!$C135,'Vehicle eff data 2023'!$D$20:$D$117,RIGHT(Analytica!$D135,3))</f>
        <v>0.13575248869333464</v>
      </c>
      <c r="AB135" s="796">
        <f>1/SUMIFS('Vehicle eff data 2023'!R$20:R$117,'Vehicle eff data 2023'!$A$20:$A$117,Analytica!$C135,'Vehicle eff data 2023'!$D$20:$D$117,RIGHT(Analytica!$D135,3))</f>
        <v>0.13780930986929765</v>
      </c>
      <c r="AC135" s="796">
        <f>1/SUMIFS('Vehicle eff data 2023'!S$20:S$117,'Vehicle eff data 2023'!$A$20:$A$117,Analytica!$C135,'Vehicle eff data 2023'!$D$20:$D$117,RIGHT(Analytica!$D135,3))</f>
        <v>0.14858446452711918</v>
      </c>
      <c r="AD135" s="796">
        <f>1/SUMIFS('Vehicle eff data 2023'!T$20:T$117,'Vehicle eff data 2023'!$A$20:$A$117,Analytica!$C135,'Vehicle eff data 2023'!$D$20:$D$117,RIGHT(Analytica!$D135,3))</f>
        <v>0.16429390700348931</v>
      </c>
      <c r="AE135" s="827">
        <f>1/SUMIFS('Vehicle eff data 2023'!U$20:U$117,'Vehicle eff data 2023'!$A$20:$A$117,Analytica!$C135,'Vehicle eff data 2023'!$D$20:$D$117,RIGHT(Analytica!$D135,3))</f>
        <v>0.18166426728646726</v>
      </c>
      <c r="AF135" s="827"/>
      <c r="AG135" s="798">
        <v>1</v>
      </c>
      <c r="AH135" s="798"/>
      <c r="AI135" s="798"/>
      <c r="AJ135" s="798"/>
      <c r="AK135" s="890"/>
      <c r="AL135" s="890"/>
      <c r="AM135" s="890"/>
      <c r="AN135" s="890"/>
      <c r="AO135" s="890"/>
      <c r="AP135" s="890"/>
      <c r="AQ135" s="890"/>
      <c r="AR135" s="893"/>
      <c r="AS135" s="891"/>
      <c r="AT135" s="892"/>
      <c r="AU135" s="893"/>
      <c r="AV135" s="893"/>
      <c r="AW135" s="893"/>
      <c r="AX135" s="893"/>
      <c r="AY135" s="894"/>
      <c r="BA135" s="164">
        <v>0</v>
      </c>
    </row>
    <row r="136" spans="1:56" s="163" customFormat="1" x14ac:dyDescent="0.25">
      <c r="B136" s="163" t="s">
        <v>848</v>
      </c>
      <c r="C136" s="163" t="s">
        <v>501</v>
      </c>
      <c r="D136" s="163" t="str">
        <f>LEFT(B136,7)</f>
        <v>TPPUMER</v>
      </c>
      <c r="F136" s="828">
        <v>1</v>
      </c>
      <c r="G136" s="829"/>
      <c r="H136" s="829"/>
      <c r="I136" s="829"/>
      <c r="J136" s="829"/>
      <c r="K136" s="829"/>
      <c r="L136" s="829"/>
      <c r="M136" s="830">
        <f>M135</f>
        <v>1</v>
      </c>
      <c r="N136" s="829">
        <v>1</v>
      </c>
      <c r="O136" s="829">
        <v>1</v>
      </c>
      <c r="P136" s="829">
        <f>N136</f>
        <v>1</v>
      </c>
      <c r="Q136" s="829">
        <f t="shared" ref="Q136:S137" si="105">P136</f>
        <v>1</v>
      </c>
      <c r="R136" s="829">
        <f t="shared" si="105"/>
        <v>1</v>
      </c>
      <c r="S136" s="829">
        <f t="shared" si="105"/>
        <v>1</v>
      </c>
      <c r="T136" s="829"/>
      <c r="U136" s="829"/>
      <c r="V136" s="829"/>
      <c r="W136" s="829"/>
      <c r="X136" s="829"/>
      <c r="Y136" s="829"/>
      <c r="Z136" s="831">
        <f>X42</f>
        <v>7.0026980278615358</v>
      </c>
      <c r="AA136" s="831">
        <f>Z136</f>
        <v>7.0026980278615358</v>
      </c>
      <c r="AB136" s="831">
        <f>AA136</f>
        <v>7.0026980278615358</v>
      </c>
      <c r="AC136" s="831">
        <f>AB136</f>
        <v>7.0026980278615358</v>
      </c>
      <c r="AD136" s="831">
        <f>AC136</f>
        <v>7.0026980278615358</v>
      </c>
      <c r="AE136" s="831">
        <f>AD136</f>
        <v>7.0026980278615358</v>
      </c>
      <c r="AF136" s="831"/>
      <c r="AG136" s="829"/>
      <c r="AH136" s="829"/>
      <c r="AI136" s="829"/>
      <c r="AJ136" s="829"/>
      <c r="AK136" s="829">
        <v>1E-3</v>
      </c>
      <c r="AL136" s="829">
        <v>1E-3</v>
      </c>
      <c r="AM136" s="829">
        <v>1E-3</v>
      </c>
      <c r="AN136" s="829">
        <v>1E-3</v>
      </c>
      <c r="AO136" s="829">
        <v>1E-3</v>
      </c>
      <c r="AP136" s="829">
        <v>1E-3</v>
      </c>
      <c r="AQ136" s="829">
        <v>1E-3</v>
      </c>
      <c r="AR136" s="797"/>
      <c r="AS136" s="211"/>
      <c r="AT136" s="832">
        <f t="shared" ref="AT136:AT137" si="106">IF($C136&lt;&gt;$AY$55,$AX$56,$AX$55)</f>
        <v>2.0250000000000001E-2</v>
      </c>
      <c r="AU136" s="829">
        <f t="shared" ref="AU136:AU137" si="107">$AT136*AK136</f>
        <v>2.0250000000000001E-5</v>
      </c>
      <c r="AV136" s="829">
        <f t="shared" ref="AV136:AV137" si="108">$AT136*AL136</f>
        <v>2.0250000000000001E-5</v>
      </c>
      <c r="AW136" s="829">
        <f t="shared" ref="AW136:AW137" si="109">$AT136*AN136</f>
        <v>2.0250000000000001E-5</v>
      </c>
      <c r="AX136" s="829">
        <f t="shared" ref="AX136:AX137" si="110">$AT136*AP136</f>
        <v>2.0250000000000001E-5</v>
      </c>
      <c r="AY136" s="833">
        <f t="shared" ref="AY136:AY137" si="111">$AT136*AQ136</f>
        <v>2.0250000000000001E-5</v>
      </c>
      <c r="AZ136" s="61"/>
    </row>
    <row r="137" spans="1:56" s="163" customFormat="1" x14ac:dyDescent="0.25">
      <c r="B137" s="163" t="s">
        <v>849</v>
      </c>
      <c r="C137" s="163" t="s">
        <v>501</v>
      </c>
      <c r="D137" s="163" t="str">
        <f>LEFT(B137,7)</f>
        <v>TPPUGAT</v>
      </c>
      <c r="F137" s="828">
        <v>1</v>
      </c>
      <c r="G137" s="829"/>
      <c r="H137" s="829"/>
      <c r="I137" s="829"/>
      <c r="J137" s="829"/>
      <c r="K137" s="829"/>
      <c r="L137" s="829"/>
      <c r="M137" s="830">
        <f>M136</f>
        <v>1</v>
      </c>
      <c r="N137" s="829">
        <v>1</v>
      </c>
      <c r="O137" s="829">
        <v>1</v>
      </c>
      <c r="P137" s="829">
        <f>N137</f>
        <v>1</v>
      </c>
      <c r="Q137" s="829">
        <f t="shared" si="105"/>
        <v>1</v>
      </c>
      <c r="R137" s="829">
        <f t="shared" si="105"/>
        <v>1</v>
      </c>
      <c r="S137" s="829">
        <f t="shared" si="105"/>
        <v>1</v>
      </c>
      <c r="T137" s="829"/>
      <c r="U137" s="829"/>
      <c r="V137" s="829"/>
      <c r="W137" s="829"/>
      <c r="X137" s="829"/>
      <c r="Y137" s="829"/>
      <c r="Z137" s="831">
        <f t="shared" ref="Z137:AE137" si="112">Z136</f>
        <v>7.0026980278615358</v>
      </c>
      <c r="AA137" s="831">
        <f t="shared" si="112"/>
        <v>7.0026980278615358</v>
      </c>
      <c r="AB137" s="831">
        <f t="shared" si="112"/>
        <v>7.0026980278615358</v>
      </c>
      <c r="AC137" s="831">
        <f t="shared" si="112"/>
        <v>7.0026980278615358</v>
      </c>
      <c r="AD137" s="831">
        <f t="shared" si="112"/>
        <v>7.0026980278615358</v>
      </c>
      <c r="AE137" s="831">
        <f t="shared" si="112"/>
        <v>7.0026980278615358</v>
      </c>
      <c r="AF137" s="831"/>
      <c r="AG137" s="829"/>
      <c r="AH137" s="829"/>
      <c r="AI137" s="829"/>
      <c r="AJ137" s="829"/>
      <c r="AK137" s="829">
        <v>1E-3</v>
      </c>
      <c r="AL137" s="829">
        <v>1E-3</v>
      </c>
      <c r="AM137" s="829">
        <v>1E-3</v>
      </c>
      <c r="AN137" s="829">
        <v>1E-3</v>
      </c>
      <c r="AO137" s="829">
        <v>1E-3</v>
      </c>
      <c r="AP137" s="829">
        <v>1E-3</v>
      </c>
      <c r="AQ137" s="829">
        <v>1E-3</v>
      </c>
      <c r="AR137" s="797"/>
      <c r="AS137" s="211"/>
      <c r="AT137" s="832">
        <f t="shared" si="106"/>
        <v>2.0250000000000001E-2</v>
      </c>
      <c r="AU137" s="829">
        <f t="shared" si="107"/>
        <v>2.0250000000000001E-5</v>
      </c>
      <c r="AV137" s="829">
        <f t="shared" si="108"/>
        <v>2.0250000000000001E-5</v>
      </c>
      <c r="AW137" s="829">
        <f t="shared" si="109"/>
        <v>2.0250000000000001E-5</v>
      </c>
      <c r="AX137" s="829">
        <f t="shared" si="110"/>
        <v>2.0250000000000001E-5</v>
      </c>
      <c r="AY137" s="833">
        <f t="shared" si="111"/>
        <v>2.0250000000000001E-5</v>
      </c>
      <c r="AZ137" s="61"/>
    </row>
    <row r="138" spans="1:56" ht="15.75" thickBot="1" x14ac:dyDescent="0.3">
      <c r="F138" s="834"/>
      <c r="G138" s="835"/>
      <c r="H138" s="835"/>
      <c r="I138" s="835"/>
      <c r="J138" s="835"/>
      <c r="K138" s="835"/>
      <c r="L138" s="835"/>
      <c r="M138" s="835"/>
      <c r="N138" s="835"/>
      <c r="O138" s="835"/>
      <c r="P138" s="835"/>
      <c r="Q138" s="835"/>
      <c r="R138" s="835"/>
      <c r="S138" s="835"/>
      <c r="T138" s="835"/>
      <c r="U138" s="835"/>
      <c r="V138" s="835"/>
      <c r="W138" s="835"/>
      <c r="X138" s="835"/>
      <c r="Y138" s="835"/>
      <c r="Z138" s="835"/>
      <c r="AA138" s="835"/>
      <c r="AB138" s="835"/>
      <c r="AC138" s="835"/>
      <c r="AD138" s="835"/>
      <c r="AE138" s="835"/>
      <c r="AF138" s="835"/>
      <c r="AG138" s="836"/>
      <c r="AH138" s="836"/>
      <c r="AI138" s="836"/>
      <c r="AJ138" s="836"/>
      <c r="AK138" s="836"/>
      <c r="AL138" s="836"/>
      <c r="AM138" s="836"/>
      <c r="AN138" s="836"/>
      <c r="AO138" s="836"/>
      <c r="AP138" s="836"/>
      <c r="AQ138" s="836"/>
      <c r="AR138" s="836"/>
      <c r="AS138" s="836"/>
      <c r="AT138" s="836"/>
      <c r="AU138" s="836"/>
      <c r="AV138" s="836"/>
      <c r="AW138" s="836"/>
      <c r="AX138" s="836"/>
      <c r="AY138" s="837"/>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C1DA"/>
  </sheetPr>
  <dimension ref="A1:AN286"/>
  <sheetViews>
    <sheetView workbookViewId="0"/>
  </sheetViews>
  <sheetFormatPr defaultColWidth="8.85546875" defaultRowHeight="15" x14ac:dyDescent="0.25"/>
  <cols>
    <col min="1" max="1" width="13.5703125" style="61" bestFit="1" customWidth="1"/>
    <col min="2" max="2" width="8.28515625" style="61" customWidth="1"/>
    <col min="3" max="4" width="9" style="61" customWidth="1"/>
    <col min="5" max="5" width="16" style="61" customWidth="1"/>
    <col min="6" max="6" width="13.42578125" style="61" customWidth="1"/>
    <col min="7" max="8" width="12.42578125" style="61" bestFit="1" customWidth="1"/>
    <col min="9" max="10" width="14.5703125" style="61" bestFit="1" customWidth="1"/>
    <col min="11" max="11" width="14.5703125" style="61" customWidth="1"/>
    <col min="12" max="12" width="14.5703125" style="61" bestFit="1" customWidth="1"/>
    <col min="13" max="13" width="14.5703125" style="61" customWidth="1"/>
    <col min="14" max="22" width="12.42578125" style="61" customWidth="1"/>
    <col min="23" max="24" width="12.5703125" style="224" customWidth="1"/>
    <col min="25" max="25" width="9.5703125" style="61" customWidth="1"/>
    <col min="26" max="26" width="10.42578125" style="61" bestFit="1" customWidth="1"/>
    <col min="27" max="27" width="8.85546875" style="61"/>
    <col min="28" max="28" width="10.7109375" style="61" customWidth="1"/>
    <col min="29" max="29" width="8.85546875" style="61"/>
    <col min="30" max="30" width="11.85546875" style="61" customWidth="1"/>
    <col min="31" max="31" width="8.5703125" style="61" customWidth="1"/>
    <col min="32" max="16384" width="8.85546875" style="61"/>
  </cols>
  <sheetData>
    <row r="1" spans="6:31" x14ac:dyDescent="0.25">
      <c r="H1" s="218"/>
      <c r="I1" s="218" t="s">
        <v>651</v>
      </c>
      <c r="J1" s="219" t="b">
        <f>ERC.Efficiency</f>
        <v>1</v>
      </c>
      <c r="N1" s="65" t="s">
        <v>613</v>
      </c>
      <c r="O1" s="220" t="s">
        <v>652</v>
      </c>
      <c r="P1" s="221">
        <f>INDEX(P5:P7,MATCH(O1,O5:O7,0))</f>
        <v>2</v>
      </c>
      <c r="Q1" s="222">
        <f>INDEX(Q5:Q7,MATCH($P$1,$P$5:$P$7,0))</f>
        <v>-5.0000000000000001E-3</v>
      </c>
      <c r="R1" s="222">
        <f>INDEX(R5:R7,MATCH($P$1,$P$5:$P$7,0))</f>
        <v>-5.0000000000000001E-3</v>
      </c>
      <c r="S1" s="222">
        <f>INDEX(S5:S7,MATCH($P$1,$P$5:$P$7,0))</f>
        <v>-7.4999999999999997E-3</v>
      </c>
      <c r="T1" s="222">
        <f>INDEX(T5:T7,MATCH($P$1,$P$5:$P$7,0))</f>
        <v>-0.01</v>
      </c>
      <c r="U1" s="223">
        <f>INDEX(U5:U7,MATCH($P$1,$P$5:$P$7,0))</f>
        <v>-0.01</v>
      </c>
    </row>
    <row r="2" spans="6:31" x14ac:dyDescent="0.25">
      <c r="N2" s="65" t="s">
        <v>653</v>
      </c>
      <c r="O2" s="225" t="s">
        <v>652</v>
      </c>
      <c r="P2" s="226">
        <f>INDEX(P10:P12,MATCH(O2,O10:O12,0))</f>
        <v>2</v>
      </c>
      <c r="Q2" s="227">
        <f>INDEX(Q10:Q12,MATCH($P$2,$P$10:$P$12,0))</f>
        <v>-1E-3</v>
      </c>
      <c r="R2" s="227">
        <f>INDEX(R10:R12,MATCH($P$2,$P$10:$P$12,0))</f>
        <v>-1E-3</v>
      </c>
      <c r="S2" s="227">
        <f>INDEX(S10:S12,MATCH($P$2,$P$10:$P$12,0))</f>
        <v>-5.4999999999999997E-3</v>
      </c>
      <c r="T2" s="227">
        <f>INDEX(T10:T12,MATCH($P$2,$P$10:$P$12,0))</f>
        <v>-0.01</v>
      </c>
      <c r="U2" s="228">
        <f>INDEX(U10:U12,MATCH($P$2,$P$10:$P$12,0))</f>
        <v>-0.01</v>
      </c>
    </row>
    <row r="3" spans="6:31" x14ac:dyDescent="0.25">
      <c r="W3" s="230"/>
      <c r="X3" s="230"/>
    </row>
    <row r="4" spans="6:31" x14ac:dyDescent="0.25">
      <c r="W4" s="61"/>
      <c r="X4" s="61"/>
    </row>
    <row r="5" spans="6:31" x14ac:dyDescent="0.25">
      <c r="L5" s="102"/>
      <c r="N5" s="61" t="s">
        <v>55</v>
      </c>
      <c r="O5" s="61" t="s">
        <v>654</v>
      </c>
      <c r="P5" s="231">
        <v>1</v>
      </c>
      <c r="Q5" s="232">
        <v>0</v>
      </c>
      <c r="R5" s="232">
        <v>0</v>
      </c>
      <c r="S5" s="232">
        <v>0</v>
      </c>
      <c r="T5" s="232">
        <v>0</v>
      </c>
      <c r="U5" s="232">
        <v>0</v>
      </c>
      <c r="W5" s="230"/>
      <c r="X5" s="230"/>
    </row>
    <row r="6" spans="6:31" x14ac:dyDescent="0.25">
      <c r="O6" s="61" t="s">
        <v>652</v>
      </c>
      <c r="P6" s="233">
        <v>2</v>
      </c>
      <c r="Q6" s="232">
        <v>-5.0000000000000001E-3</v>
      </c>
      <c r="R6" s="232">
        <v>-5.0000000000000001E-3</v>
      </c>
      <c r="S6" s="232">
        <f>AVERAGE(R6,T6)</f>
        <v>-7.4999999999999997E-3</v>
      </c>
      <c r="T6" s="232">
        <v>-0.01</v>
      </c>
      <c r="U6" s="232">
        <v>-0.01</v>
      </c>
      <c r="V6" s="61" t="s">
        <v>655</v>
      </c>
      <c r="W6" s="230"/>
      <c r="X6" s="230"/>
    </row>
    <row r="7" spans="6:31" x14ac:dyDescent="0.25">
      <c r="O7" s="61" t="s">
        <v>656</v>
      </c>
      <c r="P7" s="234">
        <v>3</v>
      </c>
      <c r="Q7" s="235">
        <f>Q6</f>
        <v>-5.0000000000000001E-3</v>
      </c>
      <c r="R7" s="235">
        <f t="shared" ref="R7:U7" si="0">R6</f>
        <v>-5.0000000000000001E-3</v>
      </c>
      <c r="S7" s="235">
        <f t="shared" si="0"/>
        <v>-7.4999999999999997E-3</v>
      </c>
      <c r="T7" s="235">
        <f t="shared" si="0"/>
        <v>-0.01</v>
      </c>
      <c r="U7" s="235">
        <f t="shared" si="0"/>
        <v>-0.01</v>
      </c>
      <c r="V7" s="61" t="s">
        <v>657</v>
      </c>
      <c r="W7" s="230"/>
      <c r="X7" s="61"/>
    </row>
    <row r="8" spans="6:31" x14ac:dyDescent="0.25">
      <c r="S8" s="61">
        <f>S6/R6</f>
        <v>1.5</v>
      </c>
      <c r="W8" s="230"/>
      <c r="X8" s="61"/>
    </row>
    <row r="9" spans="6:31" x14ac:dyDescent="0.25">
      <c r="P9" s="192"/>
      <c r="Q9" s="192"/>
      <c r="R9" s="192"/>
      <c r="S9" s="192"/>
      <c r="T9" s="192"/>
      <c r="U9" s="192"/>
      <c r="W9" s="230"/>
      <c r="X9" s="230"/>
    </row>
    <row r="10" spans="6:31" x14ac:dyDescent="0.25">
      <c r="L10" s="100"/>
      <c r="N10" s="61" t="s">
        <v>52</v>
      </c>
      <c r="O10" s="61" t="s">
        <v>654</v>
      </c>
      <c r="P10" s="231">
        <v>1</v>
      </c>
      <c r="Q10" s="232">
        <v>0</v>
      </c>
      <c r="R10" s="232">
        <f t="shared" ref="R10:U10" si="1">Q10</f>
        <v>0</v>
      </c>
      <c r="S10" s="232">
        <f t="shared" si="1"/>
        <v>0</v>
      </c>
      <c r="T10" s="232">
        <f t="shared" si="1"/>
        <v>0</v>
      </c>
      <c r="U10" s="232">
        <f t="shared" si="1"/>
        <v>0</v>
      </c>
      <c r="W10" s="230"/>
      <c r="X10" s="230"/>
    </row>
    <row r="11" spans="6:31" x14ac:dyDescent="0.25">
      <c r="O11" s="61" t="s">
        <v>652</v>
      </c>
      <c r="P11" s="233">
        <v>2</v>
      </c>
      <c r="Q11" s="232">
        <f>-0.001</f>
        <v>-1E-3</v>
      </c>
      <c r="R11" s="232">
        <f t="shared" ref="R11" si="2">-0.001</f>
        <v>-1E-3</v>
      </c>
      <c r="S11" s="232">
        <f>AVERAGE(R11,T11)</f>
        <v>-5.4999999999999997E-3</v>
      </c>
      <c r="T11" s="232">
        <v>-0.01</v>
      </c>
      <c r="U11" s="232">
        <v>-0.01</v>
      </c>
      <c r="V11" s="61" t="s">
        <v>655</v>
      </c>
      <c r="W11" s="230"/>
      <c r="X11" s="230"/>
    </row>
    <row r="12" spans="6:31" x14ac:dyDescent="0.25">
      <c r="O12" s="61" t="s">
        <v>656</v>
      </c>
      <c r="P12" s="234">
        <v>3</v>
      </c>
      <c r="Q12" s="235">
        <f>Q11</f>
        <v>-1E-3</v>
      </c>
      <c r="R12" s="235">
        <f t="shared" ref="R12:U12" si="3">R11</f>
        <v>-1E-3</v>
      </c>
      <c r="S12" s="235">
        <f t="shared" si="3"/>
        <v>-5.4999999999999997E-3</v>
      </c>
      <c r="T12" s="235">
        <f t="shared" si="3"/>
        <v>-0.01</v>
      </c>
      <c r="U12" s="235">
        <f t="shared" si="3"/>
        <v>-0.01</v>
      </c>
      <c r="V12" s="61" t="s">
        <v>657</v>
      </c>
      <c r="W12" s="230"/>
    </row>
    <row r="13" spans="6:31" x14ac:dyDescent="0.25">
      <c r="W13" s="230"/>
    </row>
    <row r="15" spans="6:31" x14ac:dyDescent="0.25">
      <c r="I15" s="65"/>
      <c r="J15" s="65"/>
      <c r="K15" s="65"/>
      <c r="Q15" s="65" t="s">
        <v>659</v>
      </c>
      <c r="S15" s="65"/>
      <c r="Y15" s="65" t="s">
        <v>660</v>
      </c>
      <c r="AE15" s="236" t="s">
        <v>661</v>
      </c>
    </row>
    <row r="16" spans="6:31" x14ac:dyDescent="0.25">
      <c r="F16" s="65"/>
      <c r="I16"/>
      <c r="J16"/>
      <c r="K16"/>
      <c r="L16"/>
      <c r="M16"/>
      <c r="N16"/>
      <c r="O16"/>
      <c r="Q16" s="240">
        <v>2017</v>
      </c>
      <c r="R16" s="240">
        <v>2020</v>
      </c>
      <c r="S16" s="241">
        <v>2030</v>
      </c>
      <c r="T16" s="241">
        <v>2040</v>
      </c>
      <c r="U16" s="242">
        <v>2050</v>
      </c>
      <c r="Y16" s="240">
        <v>2010</v>
      </c>
      <c r="Z16" s="240">
        <v>2020</v>
      </c>
      <c r="AA16" s="241">
        <v>2030</v>
      </c>
      <c r="AB16" s="241">
        <v>2040</v>
      </c>
      <c r="AC16" s="242">
        <v>2050</v>
      </c>
    </row>
    <row r="17" spans="1:35" x14ac:dyDescent="0.25">
      <c r="E17" s="65"/>
      <c r="I17"/>
      <c r="J17"/>
      <c r="K17"/>
      <c r="L17"/>
      <c r="M17"/>
      <c r="N17"/>
      <c r="O17"/>
      <c r="Q17" s="245"/>
      <c r="R17" s="245"/>
      <c r="S17" s="245"/>
      <c r="T17" s="245"/>
      <c r="U17" s="245"/>
    </row>
    <row r="18" spans="1:35" ht="30" x14ac:dyDescent="0.25">
      <c r="A18"/>
      <c r="B18"/>
      <c r="E18" s="246"/>
      <c r="F18" s="65"/>
      <c r="I18"/>
      <c r="J18"/>
      <c r="K18"/>
      <c r="L18"/>
      <c r="M18"/>
      <c r="N18"/>
      <c r="O18"/>
      <c r="Q18" s="895" t="s">
        <v>663</v>
      </c>
      <c r="R18" s="895" t="s">
        <v>663</v>
      </c>
      <c r="S18" s="895" t="s">
        <v>663</v>
      </c>
      <c r="T18" s="895" t="s">
        <v>663</v>
      </c>
      <c r="U18" s="895" t="s">
        <v>663</v>
      </c>
      <c r="W18" s="224" t="s">
        <v>664</v>
      </c>
      <c r="AE18" s="61" t="s">
        <v>665</v>
      </c>
      <c r="AH18" s="61" t="s">
        <v>666</v>
      </c>
    </row>
    <row r="19" spans="1:35" x14ac:dyDescent="0.25">
      <c r="A19" s="65" t="s">
        <v>668</v>
      </c>
      <c r="B19" s="65" t="s">
        <v>669</v>
      </c>
      <c r="C19" s="65" t="s">
        <v>670</v>
      </c>
      <c r="D19" s="65" t="s">
        <v>671</v>
      </c>
      <c r="E19" s="65" t="s">
        <v>672</v>
      </c>
      <c r="F19" s="65" t="s">
        <v>673</v>
      </c>
      <c r="G19" s="65" t="s">
        <v>674</v>
      </c>
      <c r="H19" s="65" t="s">
        <v>675</v>
      </c>
      <c r="I19"/>
      <c r="J19"/>
      <c r="K19"/>
      <c r="L19"/>
      <c r="M19"/>
      <c r="N19"/>
      <c r="O19"/>
      <c r="W19" s="224" t="s">
        <v>676</v>
      </c>
      <c r="X19" s="224" t="s">
        <v>677</v>
      </c>
      <c r="AE19" s="61">
        <f>Q16</f>
        <v>2017</v>
      </c>
      <c r="AF19" s="61">
        <f t="shared" ref="AF19:AI19" si="4">R16</f>
        <v>2020</v>
      </c>
      <c r="AG19" s="61">
        <f t="shared" si="4"/>
        <v>2030</v>
      </c>
      <c r="AH19" s="61">
        <f t="shared" si="4"/>
        <v>2040</v>
      </c>
      <c r="AI19" s="61">
        <f t="shared" si="4"/>
        <v>2050</v>
      </c>
    </row>
    <row r="20" spans="1:35" x14ac:dyDescent="0.25">
      <c r="A20" s="61" t="s">
        <v>573</v>
      </c>
      <c r="B20" s="61" t="s">
        <v>613</v>
      </c>
      <c r="C20" s="61" t="s">
        <v>555</v>
      </c>
      <c r="D20" s="61" t="str">
        <f>RIGHT(C20,3)</f>
        <v>CAR</v>
      </c>
      <c r="E20" s="61" t="s">
        <v>680</v>
      </c>
      <c r="F20" s="254" t="e">
        <f>J20*#REF!</f>
        <v>#REF!</v>
      </c>
      <c r="G20" s="255" t="s">
        <v>681</v>
      </c>
      <c r="H20" s="792" t="s">
        <v>680</v>
      </c>
      <c r="I20" s="897"/>
      <c r="J20" s="897"/>
      <c r="K20" s="897"/>
      <c r="L20" s="897"/>
      <c r="M20" s="897"/>
      <c r="N20" s="897"/>
      <c r="O20" s="897"/>
      <c r="P20" s="103" t="s">
        <v>682</v>
      </c>
      <c r="Q20" s="67">
        <f>1/INDEX(Analytica!$AA$17:$AE$48,MATCH($P20,Analytica!$A$17:$A$48,0),MATCH(Q$16,Analytica!$AA$16:$AE$16,0))</f>
        <v>2.802205701073782</v>
      </c>
      <c r="R20" s="67">
        <f t="array" ref="R20">IF($J$1,Q20*(1+INDEX(R$1:R$2,MATCH($B20,$N$1:$N$2,0)))^(R$16-Q$16),INDEX(AEA2012_ZAR2022!$AC$6:$AG$104,MATCH($G20&amp;$H20,AEA2012_ZAR2022!$A$6:$A$104&amp;AEA2012_ZAR2022!$B$6:$B$104,0),MATCH(R$16,AEA2012_ZAR2022!$AC$4:$AG$4,0)))</f>
        <v>2.760382430709543</v>
      </c>
      <c r="S20" s="67">
        <f t="array" ref="S20">IF($J$1,R20*(1+INDEX(S$1:S$2,MATCH($B20,$N$1:$N$2,0)))^(S$16-R$16),INDEX(AEA2012_ZAR2022!$AC$6:$AG$104,MATCH($G20&amp;$H20,AEA2012_ZAR2022!$A$6:$A$104&amp;AEA2012_ZAR2022!$B$6:$B$104,0),MATCH(S$16,AEA2012_ZAR2022!$AC$4:$AG$4,0)))</f>
        <v>2.5602030398136666</v>
      </c>
      <c r="T20" s="67">
        <f t="array" ref="T20">IF($J$1,S20*(1+INDEX(T$1:T$2,MATCH($B20,$N$1:$N$2,0)))^(T$16-S$16),INDEX(AEA2012_ZAR2022!$AC$6:$AG$104,MATCH($G20&amp;$H20,AEA2012_ZAR2022!$A$6:$A$104&amp;AEA2012_ZAR2022!$B$6:$B$104,0),MATCH(T$16,AEA2012_ZAR2022!$AC$4:$AG$4,0)))</f>
        <v>2.3154017375905322</v>
      </c>
      <c r="U20" s="67">
        <f t="array" ref="U20">IF($J$1,T20*(1+INDEX(U$1:U$2,MATCH($B20,$N$1:$N$2,0)))^(U$16-T$16),INDEX(AEA2012_ZAR2022!$AC$6:$AG$104,MATCH($G20&amp;$H20,AEA2012_ZAR2022!$A$6:$A$104&amp;AEA2012_ZAR2022!$B$6:$B$104,0),MATCH(U$16,AEA2012_ZAR2022!$AC$4:$AG$4,0)))</f>
        <v>2.0940078279211165</v>
      </c>
      <c r="W20" s="256">
        <f>-((Q20-R20)/($R$16-$Q$16))/Q20</f>
        <v>-4.9750416666666797E-3</v>
      </c>
      <c r="X20" s="256">
        <f>-((R20-U20)/($U$16-$R$16))/R20</f>
        <v>-8.0468874575124021E-3</v>
      </c>
      <c r="AA20" s="61">
        <f>U20/R20</f>
        <v>0.75859337627462797</v>
      </c>
      <c r="AD20" s="61" t="str">
        <f t="shared" ref="AD20:AD51" si="5">C20&amp;"-"&amp;A20</f>
        <v>CAR-OGS</v>
      </c>
      <c r="AE20" s="80"/>
      <c r="AF20" s="80"/>
      <c r="AG20" s="80"/>
      <c r="AH20" s="80"/>
      <c r="AI20" s="80"/>
    </row>
    <row r="21" spans="1:35" x14ac:dyDescent="0.25">
      <c r="A21" s="61" t="s">
        <v>506</v>
      </c>
      <c r="B21" s="61" t="s">
        <v>613</v>
      </c>
      <c r="C21" s="61" t="s">
        <v>555</v>
      </c>
      <c r="D21" s="61" t="str">
        <f t="shared" ref="D21:D90" si="6">RIGHT(C21,3)</f>
        <v>CAR</v>
      </c>
      <c r="E21" s="61" t="s">
        <v>680</v>
      </c>
      <c r="G21" s="255" t="s">
        <v>681</v>
      </c>
      <c r="H21" s="792" t="s">
        <v>680</v>
      </c>
      <c r="I21" s="898" t="s">
        <v>1379</v>
      </c>
      <c r="J21" s="897"/>
      <c r="K21" s="897"/>
      <c r="L21" s="897"/>
      <c r="M21" s="897"/>
      <c r="N21" s="897"/>
      <c r="O21" s="897"/>
      <c r="P21" s="103" t="str">
        <f t="shared" ref="P21:P26" si="7">D21&amp;A21</f>
        <v>CARBGS</v>
      </c>
      <c r="Q21" s="67">
        <f>INDEX('Vehicle data '!$AD$20:$AD$110,MATCH($P21,'Vehicle data '!$AC$20:$AC$110,0))/INDEX('Vehicle data '!$AD$20:$AD$110,MATCH($P$20,'Vehicle data '!$AC$20:$AC$110,0))*Q$20</f>
        <v>2.802205701073782</v>
      </c>
      <c r="R21" s="67">
        <f t="array" ref="R21">IF($J$1,Q21*(1+INDEX(R$1:R$2,MATCH($B21,$N$1:$N$2,0)))^(R$16-Q$16),INDEX(AEA2012_ZAR2022!$AC$6:$AG$104,MATCH($G21&amp;$H21,AEA2012_ZAR2022!$A$6:$A$104&amp;AEA2012_ZAR2022!$B$6:$B$104,0),MATCH(R$16,AEA2012_ZAR2022!$AC$4:$AG$4,0)))</f>
        <v>2.760382430709543</v>
      </c>
      <c r="S21" s="67">
        <f t="array" ref="S21">IF($J$1,R21*(1+INDEX(S$1:S$2,MATCH($B21,$N$1:$N$2,0)))^(S$16-R$16),INDEX(AEA2012_ZAR2022!$AC$6:$AG$104,MATCH($G21&amp;$H21,AEA2012_ZAR2022!$A$6:$A$104&amp;AEA2012_ZAR2022!$B$6:$B$104,0),MATCH(S$16,AEA2012_ZAR2022!$AC$4:$AG$4,0)))</f>
        <v>2.5602030398136666</v>
      </c>
      <c r="T21" s="67">
        <f t="array" ref="T21">IF($J$1,S21*(1+INDEX(T$1:T$2,MATCH($B21,$N$1:$N$2,0)))^(T$16-S$16),INDEX(AEA2012_ZAR2022!$AC$6:$AG$104,MATCH($G21&amp;$H21,AEA2012_ZAR2022!$A$6:$A$104&amp;AEA2012_ZAR2022!$B$6:$B$104,0),MATCH(T$16,AEA2012_ZAR2022!$AC$4:$AG$4,0)))</f>
        <v>2.3154017375905322</v>
      </c>
      <c r="U21" s="67">
        <f t="array" ref="U21">IF($J$1,T21*(1+INDEX(U$1:U$2,MATCH($B21,$N$1:$N$2,0)))^(U$16-T$16),INDEX(AEA2012_ZAR2022!$AC$6:$AG$104,MATCH($G21&amp;$H21,AEA2012_ZAR2022!$A$6:$A$104&amp;AEA2012_ZAR2022!$B$6:$B$104,0),MATCH(U$16,AEA2012_ZAR2022!$AC$4:$AG$4,0)))</f>
        <v>2.0940078279211165</v>
      </c>
      <c r="W21" s="256">
        <f t="shared" ref="W21:W90" si="8">-((Q21-R21)/($R$16-$Q$16))/Q21</f>
        <v>-4.9750416666666797E-3</v>
      </c>
      <c r="X21" s="256">
        <f t="shared" ref="X21:X90" si="9">-((R21-U21)/($U$16-$R$16))/R21</f>
        <v>-8.0468874575124021E-3</v>
      </c>
      <c r="AD21" s="61" t="str">
        <f t="shared" si="5"/>
        <v>CAR-BGS</v>
      </c>
      <c r="AE21" s="80"/>
      <c r="AF21" s="80"/>
      <c r="AG21" s="80"/>
      <c r="AH21" s="80"/>
      <c r="AI21" s="80"/>
    </row>
    <row r="22" spans="1:35" x14ac:dyDescent="0.25">
      <c r="A22" s="61" t="s">
        <v>511</v>
      </c>
      <c r="B22" s="61" t="s">
        <v>613</v>
      </c>
      <c r="C22" s="61" t="s">
        <v>555</v>
      </c>
      <c r="D22" s="61" t="str">
        <f t="shared" si="6"/>
        <v>CAR</v>
      </c>
      <c r="E22" s="61" t="s">
        <v>680</v>
      </c>
      <c r="G22" s="255" t="s">
        <v>681</v>
      </c>
      <c r="H22" s="792" t="s">
        <v>687</v>
      </c>
      <c r="I22" s="897"/>
      <c r="J22" s="897"/>
      <c r="K22" s="897"/>
      <c r="L22" s="897"/>
      <c r="M22" s="897"/>
      <c r="N22" s="897"/>
      <c r="O22" s="897"/>
      <c r="P22" s="103" t="str">
        <f t="shared" si="7"/>
        <v>CARODS</v>
      </c>
      <c r="Q22" s="67">
        <f>1/INDEX(Analytica!$AA$17:$AE$48,MATCH($P22,Analytica!$A$17:$A$48,0),MATCH(Q$16,Analytica!$AA$16:$AE$16,0))</f>
        <v>3.0120320555337368</v>
      </c>
      <c r="R22" s="67">
        <f t="array" ref="R22">IF($J$1,Q22*(1+INDEX(R$1:R$2,MATCH($B22,$N$1:$N$2,0)))^(R$16-Q$16),INDEX(AEA2012_ZAR2022!$AC$6:$AG$104,MATCH($G22&amp;$H22,AEA2012_ZAR2022!$A$6:$A$104&amp;AEA2012_ZAR2022!$B$6:$B$104,0),MATCH(R$16,AEA2012_ZAR2022!$AC$4:$AG$4,0)))</f>
        <v>2.9670771006008887</v>
      </c>
      <c r="S22" s="67">
        <f t="array" ref="S22">IF($J$1,R22*(1+INDEX(S$1:S$2,MATCH($B22,$N$1:$N$2,0)))^(S$16-R$16),INDEX(AEA2012_ZAR2022!$AC$6:$AG$104,MATCH($G22&amp;$H22,AEA2012_ZAR2022!$A$6:$A$104&amp;AEA2012_ZAR2022!$B$6:$B$104,0),MATCH(S$16,AEA2012_ZAR2022!$AC$4:$AG$4,0)))</f>
        <v>2.7519084775392222</v>
      </c>
      <c r="T22" s="67">
        <f t="array" ref="T22">IF($J$1,S22*(1+INDEX(T$1:T$2,MATCH($B22,$N$1:$N$2,0)))^(T$16-S$16),INDEX(AEA2012_ZAR2022!$AC$6:$AG$104,MATCH($G22&amp;$H22,AEA2012_ZAR2022!$A$6:$A$104&amp;AEA2012_ZAR2022!$B$6:$B$104,0),MATCH(T$16,AEA2012_ZAR2022!$AC$4:$AG$4,0)))</f>
        <v>2.4887766991512414</v>
      </c>
      <c r="U22" s="67">
        <f t="array" ref="U22">IF($J$1,T22*(1+INDEX(U$1:U$2,MATCH($B22,$N$1:$N$2,0)))^(U$16-T$16),INDEX(AEA2012_ZAR2022!$AC$6:$AG$104,MATCH($G22&amp;$H22,AEA2012_ZAR2022!$A$6:$A$104&amp;AEA2012_ZAR2022!$B$6:$B$104,0),MATCH(U$16,AEA2012_ZAR2022!$AC$4:$AG$4,0)))</f>
        <v>2.2508050354119624</v>
      </c>
      <c r="W22" s="256">
        <f t="shared" si="8"/>
        <v>-4.975041666666678E-3</v>
      </c>
      <c r="X22" s="256">
        <f t="shared" si="9"/>
        <v>-8.0468874575123986E-3</v>
      </c>
      <c r="AD22" s="61" t="str">
        <f t="shared" si="5"/>
        <v>CAR-ODS</v>
      </c>
      <c r="AE22" s="80"/>
      <c r="AF22" s="80"/>
      <c r="AG22" s="80"/>
      <c r="AH22" s="80"/>
      <c r="AI22" s="80"/>
    </row>
    <row r="23" spans="1:35" x14ac:dyDescent="0.25">
      <c r="A23" s="61" t="s">
        <v>519</v>
      </c>
      <c r="B23" s="61" t="s">
        <v>613</v>
      </c>
      <c r="C23" s="61" t="s">
        <v>555</v>
      </c>
      <c r="D23" s="61" t="str">
        <f t="shared" si="6"/>
        <v>CAR</v>
      </c>
      <c r="E23" s="61" t="s">
        <v>680</v>
      </c>
      <c r="F23" s="65"/>
      <c r="G23" s="255" t="s">
        <v>681</v>
      </c>
      <c r="H23" s="792" t="s">
        <v>688</v>
      </c>
      <c r="I23" s="897"/>
      <c r="J23" s="897"/>
      <c r="K23" s="897"/>
      <c r="L23" s="897"/>
      <c r="M23" s="897"/>
      <c r="N23" s="897"/>
      <c r="O23" s="897"/>
      <c r="P23" s="103" t="str">
        <f t="shared" si="7"/>
        <v>CAROGSH</v>
      </c>
      <c r="Q23" s="67">
        <f>INDEX('Vehicle data '!$AD$20:$AD$110,MATCH($P23,'Vehicle data '!$AC$20:$AC$110,0))/INDEX('Vehicle data '!$AD$20:$AD$110,MATCH($P$20,'Vehicle data '!$AC$20:$AC$110,0))*Q$20</f>
        <v>2.1411522976326958</v>
      </c>
      <c r="R23" s="67">
        <f t="array" ref="R23">IF($J$1,Q23*(1+INDEX(R$1:R$2,MATCH($B23,$N$1:$N$2,0)))^(R$16-Q$16),INDEX(AEA2012_ZAR2022!$AC$6:$AG$104,MATCH($G23&amp;$H23,AEA2012_ZAR2022!$A$6:$A$104&amp;AEA2012_ZAR2022!$B$6:$B$104,0),MATCH(R$16,AEA2012_ZAR2022!$AC$4:$AG$4,0)))</f>
        <v>2.1091953319464904</v>
      </c>
      <c r="S23" s="67">
        <f t="array" ref="S23">IF($J$1,R23*(1+INDEX(S$1:S$2,MATCH($B23,$N$1:$N$2,0)))^(S$16-R$16),INDEX(AEA2012_ZAR2022!$AC$6:$AG$104,MATCH($G23&amp;$H23,AEA2012_ZAR2022!$A$6:$A$104&amp;AEA2012_ZAR2022!$B$6:$B$104,0),MATCH(S$16,AEA2012_ZAR2022!$AC$4:$AG$4,0)))</f>
        <v>1.9562391936475862</v>
      </c>
      <c r="T23" s="67">
        <f t="array" ref="T23">IF($J$1,S23*(1+INDEX(T$1:T$2,MATCH($B23,$N$1:$N$2,0)))^(T$16-S$16),INDEX(AEA2012_ZAR2022!$AC$6:$AG$104,MATCH($G23&amp;$H23,AEA2012_ZAR2022!$A$6:$A$104&amp;AEA2012_ZAR2022!$B$6:$B$104,0),MATCH(T$16,AEA2012_ZAR2022!$AC$4:$AG$4,0)))</f>
        <v>1.7691876611645543</v>
      </c>
      <c r="U23" s="67">
        <f t="array" ref="U23">IF($J$1,T23*(1+INDEX(U$1:U$2,MATCH($B23,$N$1:$N$2,0)))^(U$16-T$16),INDEX(AEA2012_ZAR2022!$AC$6:$AG$104,MATCH($G23&amp;$H23,AEA2012_ZAR2022!$A$6:$A$104&amp;AEA2012_ZAR2022!$B$6:$B$104,0),MATCH(U$16,AEA2012_ZAR2022!$AC$4:$AG$4,0)))</f>
        <v>1.6000216080839729</v>
      </c>
      <c r="W23" s="256">
        <f t="shared" si="8"/>
        <v>-4.9750416666666866E-3</v>
      </c>
      <c r="X23" s="256">
        <f t="shared" si="9"/>
        <v>-8.0468874575124003E-3</v>
      </c>
      <c r="AD23" s="61" t="str">
        <f t="shared" si="5"/>
        <v>CAR-OGSH</v>
      </c>
      <c r="AE23" s="80"/>
      <c r="AF23" s="80"/>
      <c r="AG23" s="80"/>
      <c r="AH23" s="80"/>
      <c r="AI23" s="80"/>
    </row>
    <row r="24" spans="1:35" x14ac:dyDescent="0.25">
      <c r="A24" s="61" t="s">
        <v>521</v>
      </c>
      <c r="B24" s="61" t="s">
        <v>613</v>
      </c>
      <c r="C24" s="61" t="s">
        <v>555</v>
      </c>
      <c r="D24" s="61" t="str">
        <f t="shared" si="6"/>
        <v>CAR</v>
      </c>
      <c r="E24" s="61" t="s">
        <v>680</v>
      </c>
      <c r="F24" s="65"/>
      <c r="G24" s="255" t="s">
        <v>681</v>
      </c>
      <c r="H24" s="792" t="s">
        <v>689</v>
      </c>
      <c r="I24" s="897"/>
      <c r="J24" s="897"/>
      <c r="K24" s="897"/>
      <c r="L24" s="897"/>
      <c r="M24" s="897"/>
      <c r="N24" s="897"/>
      <c r="O24" s="897"/>
      <c r="P24" s="103" t="str">
        <f t="shared" si="7"/>
        <v>CARODSH</v>
      </c>
      <c r="Q24" s="67">
        <f>INDEX('Vehicle data '!$AD$20:$AD$110,MATCH($P24,'Vehicle data '!$AC$20:$AC$110,0))/INDEX('Vehicle data '!$AD$20:$AD$110,MATCH($P$20,'Vehicle data '!$AC$20:$AC$110,0))*Q$20</f>
        <v>1.7878340005916549</v>
      </c>
      <c r="R24" s="67">
        <f t="array" ref="R24">IF($J$1,Q24*(1+INDEX(R$1:R$2,MATCH($B24,$N$1:$N$2,0)))^(R$16-Q$16),INDEX(AEA2012_ZAR2022!$AC$6:$AG$104,MATCH($G24&amp;$H24,AEA2012_ZAR2022!$A$6:$A$104&amp;AEA2012_ZAR2022!$B$6:$B$104,0),MATCH(R$16,AEA2012_ZAR2022!$AC$4:$AG$4,0)))</f>
        <v>1.7611503546535743</v>
      </c>
      <c r="S24" s="67">
        <f t="array" ref="S24">IF($J$1,R24*(1+INDEX(S$1:S$2,MATCH($B24,$N$1:$N$2,0)))^(S$16-R$16),INDEX(AEA2012_ZAR2022!$AC$6:$AG$104,MATCH($G24&amp;$H24,AEA2012_ZAR2022!$A$6:$A$104&amp;AEA2012_ZAR2022!$B$6:$B$104,0),MATCH(S$16,AEA2012_ZAR2022!$AC$4:$AG$4,0)))</f>
        <v>1.633433991388652</v>
      </c>
      <c r="T24" s="67">
        <f t="array" ref="T24">IF($J$1,S24*(1+INDEX(T$1:T$2,MATCH($B24,$N$1:$N$2,0)))^(T$16-S$16),INDEX(AEA2012_ZAR2022!$AC$6:$AG$104,MATCH($G24&amp;$H24,AEA2012_ZAR2022!$A$6:$A$104&amp;AEA2012_ZAR2022!$B$6:$B$104,0),MATCH(T$16,AEA2012_ZAR2022!$AC$4:$AG$4,0)))</f>
        <v>1.4772484225219824</v>
      </c>
      <c r="U24" s="67">
        <f t="array" ref="U24">IF($J$1,T24*(1+INDEX(U$1:U$2,MATCH($B24,$N$1:$N$2,0)))^(U$16-T$16),INDEX(AEA2012_ZAR2022!$AC$6:$AG$104,MATCH($G24&amp;$H24,AEA2012_ZAR2022!$A$6:$A$104&amp;AEA2012_ZAR2022!$B$6:$B$104,0),MATCH(U$16,AEA2012_ZAR2022!$AC$4:$AG$4,0)))</f>
        <v>1.3359969936639133</v>
      </c>
      <c r="W24" s="256">
        <f t="shared" si="8"/>
        <v>-4.9750416666666797E-3</v>
      </c>
      <c r="X24" s="256">
        <f t="shared" si="9"/>
        <v>-8.0468874575124021E-3</v>
      </c>
      <c r="AD24" s="61" t="str">
        <f t="shared" si="5"/>
        <v>CAR-ODSH</v>
      </c>
      <c r="AE24" s="80"/>
      <c r="AF24" s="80"/>
      <c r="AG24" s="80"/>
      <c r="AH24" s="80"/>
      <c r="AI24" s="80"/>
    </row>
    <row r="25" spans="1:35" x14ac:dyDescent="0.25">
      <c r="A25" s="61" t="s">
        <v>690</v>
      </c>
      <c r="B25" s="61" t="s">
        <v>613</v>
      </c>
      <c r="C25" s="61" t="s">
        <v>555</v>
      </c>
      <c r="D25" s="61" t="str">
        <f t="shared" si="6"/>
        <v>CAR</v>
      </c>
      <c r="E25" s="61" t="s">
        <v>680</v>
      </c>
      <c r="F25" s="65"/>
      <c r="G25" s="255" t="s">
        <v>681</v>
      </c>
      <c r="H25" s="792" t="s">
        <v>691</v>
      </c>
      <c r="I25" s="897"/>
      <c r="J25" s="897"/>
      <c r="K25" s="897"/>
      <c r="L25" s="897"/>
      <c r="M25" s="897"/>
      <c r="N25" s="897"/>
      <c r="O25" s="897"/>
      <c r="P25" s="103" t="str">
        <f t="shared" si="7"/>
        <v>CAROGSP</v>
      </c>
      <c r="Q25" s="67">
        <f>INDEX('Vehicle data '!$AD$20:$AD$110,MATCH($P25,'Vehicle data '!$AC$20:$AC$110,0))/INDEX('Vehicle data '!$AD$20:$AD$110,MATCH($P$20,'Vehicle data '!$AC$20:$AC$110,0))*Q$20</f>
        <v>1.7020779475368724</v>
      </c>
      <c r="R25" s="67">
        <f t="array" ref="R25">IF($J$1,Q25*(1+INDEX(R$1:R$2,MATCH($B25,$N$1:$N$2,0)))^(R$16-Q$16),INDEX(AEA2012_ZAR2022!$AC$6:$AG$104,MATCH($G25&amp;$H25,AEA2012_ZAR2022!$A$6:$A$104&amp;AEA2012_ZAR2022!$B$6:$B$104,0),MATCH(R$16,AEA2012_ZAR2022!$AC$4:$AG$4,0)))</f>
        <v>1.6766742214101411</v>
      </c>
      <c r="S25" s="67">
        <f t="array" ref="S25">IF($J$1,R25*(1+INDEX(S$1:S$2,MATCH($B25,$N$1:$N$2,0)))^(S$16-R$16),INDEX(AEA2012_ZAR2022!$AC$6:$AG$104,MATCH($G25&amp;$H25,AEA2012_ZAR2022!$A$6:$A$104&amp;AEA2012_ZAR2022!$B$6:$B$104,0),MATCH(S$16,AEA2012_ZAR2022!$AC$4:$AG$4,0)))</f>
        <v>1.5550839589020486</v>
      </c>
      <c r="T25" s="67">
        <f t="array" ref="T25">IF($J$1,S25*(1+INDEX(T$1:T$2,MATCH($B25,$N$1:$N$2,0)))^(T$16-S$16),INDEX(AEA2012_ZAR2022!$AC$6:$AG$104,MATCH($G25&amp;$H25,AEA2012_ZAR2022!$A$6:$A$104&amp;AEA2012_ZAR2022!$B$6:$B$104,0),MATCH(T$16,AEA2012_ZAR2022!$AC$4:$AG$4,0)))</f>
        <v>1.406390057564741</v>
      </c>
      <c r="U25" s="67">
        <f t="array" ref="U25">IF($J$1,T25*(1+INDEX(U$1:U$2,MATCH($B25,$N$1:$N$2,0)))^(U$16-T$16),INDEX(AEA2012_ZAR2022!$AC$6:$AG$104,MATCH($G25&amp;$H25,AEA2012_ZAR2022!$A$6:$A$104&amp;AEA2012_ZAR2022!$B$6:$B$104,0),MATCH(U$16,AEA2012_ZAR2022!$AC$4:$AG$4,0)))</f>
        <v>1.2719139585321522</v>
      </c>
      <c r="W25" s="256">
        <f t="shared" si="8"/>
        <v>-4.9750416666666649E-3</v>
      </c>
      <c r="X25" s="256">
        <f t="shared" si="9"/>
        <v>-8.0468874575123986E-3</v>
      </c>
      <c r="AD25" s="61" t="str">
        <f t="shared" si="5"/>
        <v>CAR-OGSP</v>
      </c>
      <c r="AE25" s="80"/>
      <c r="AF25" s="80"/>
      <c r="AG25" s="80"/>
      <c r="AH25" s="80"/>
      <c r="AI25" s="80"/>
    </row>
    <row r="26" spans="1:35" x14ac:dyDescent="0.25">
      <c r="A26" s="61" t="s">
        <v>694</v>
      </c>
      <c r="B26" s="61" t="s">
        <v>613</v>
      </c>
      <c r="C26" s="61" t="s">
        <v>555</v>
      </c>
      <c r="D26" s="61" t="str">
        <f t="shared" si="6"/>
        <v>CAR</v>
      </c>
      <c r="E26" s="61" t="s">
        <v>680</v>
      </c>
      <c r="G26" s="255" t="s">
        <v>681</v>
      </c>
      <c r="H26" s="792" t="s">
        <v>695</v>
      </c>
      <c r="I26" s="897"/>
      <c r="J26" s="897"/>
      <c r="K26" s="897"/>
      <c r="L26" s="897"/>
      <c r="M26" s="897"/>
      <c r="N26" s="897"/>
      <c r="O26" s="897"/>
      <c r="P26" s="103" t="str">
        <f t="shared" si="7"/>
        <v>CARODSP</v>
      </c>
      <c r="Q26" s="67">
        <f>INDEX('Vehicle data '!$AD$20:$AD$110,MATCH($P26,'Vehicle data '!$AC$20:$AC$110,0))/INDEX('Vehicle data '!$AD$20:$AD$110,MATCH($P$20,'Vehicle data '!$AC$20:$AC$110,0))*Q$20</f>
        <v>1.4565165884490123</v>
      </c>
      <c r="R26" s="67">
        <f t="array" ref="R26">IF($J$1,Q26*(1+INDEX(R$1:R$2,MATCH($B26,$N$1:$N$2,0)))^(R$16-Q$16),INDEX(AEA2012_ZAR2022!$AC$6:$AG$104,MATCH($G26&amp;$H26,AEA2012_ZAR2022!$A$6:$A$104&amp;AEA2012_ZAR2022!$B$6:$B$104,0),MATCH(R$16,AEA2012_ZAR2022!$AC$4:$AG$4,0)))</f>
        <v>1.4347778963018374</v>
      </c>
      <c r="S26" s="67">
        <f t="array" ref="S26">IF($J$1,R26*(1+INDEX(S$1:S$2,MATCH($B26,$N$1:$N$2,0)))^(S$16-R$16),INDEX(AEA2012_ZAR2022!$AC$6:$AG$104,MATCH($G26&amp;$H26,AEA2012_ZAR2022!$A$6:$A$104&amp;AEA2012_ZAR2022!$B$6:$B$104,0),MATCH(S$16,AEA2012_ZAR2022!$AC$4:$AG$4,0)))</f>
        <v>1.3307296448141832</v>
      </c>
      <c r="T26" s="67">
        <f t="array" ref="T26">IF($J$1,S26*(1+INDEX(T$1:T$2,MATCH($B26,$N$1:$N$2,0)))^(T$16-S$16),INDEX(AEA2012_ZAR2022!$AC$6:$AG$104,MATCH($G26&amp;$H26,AEA2012_ZAR2022!$A$6:$A$104&amp;AEA2012_ZAR2022!$B$6:$B$104,0),MATCH(T$16,AEA2012_ZAR2022!$AC$4:$AG$4,0)))</f>
        <v>1.2034880374527801</v>
      </c>
      <c r="U26" s="67">
        <f t="array" ref="U26">IF($J$1,T26*(1+INDEX(U$1:U$2,MATCH($B26,$N$1:$N$2,0)))^(U$16-T$16),INDEX(AEA2012_ZAR2022!$AC$6:$AG$104,MATCH($G26&amp;$H26,AEA2012_ZAR2022!$A$6:$A$104&amp;AEA2012_ZAR2022!$B$6:$B$104,0),MATCH(U$16,AEA2012_ZAR2022!$AC$4:$AG$4,0)))</f>
        <v>1.0884130085598189</v>
      </c>
      <c r="W26" s="256">
        <f t="shared" si="8"/>
        <v>-4.9750416666666389E-3</v>
      </c>
      <c r="X26" s="256">
        <f t="shared" si="9"/>
        <v>-8.0468874575124003E-3</v>
      </c>
      <c r="AD26" s="61" t="str">
        <f t="shared" si="5"/>
        <v>CAR-ODSP</v>
      </c>
      <c r="AE26" s="80"/>
      <c r="AF26" s="80"/>
      <c r="AG26" s="80"/>
      <c r="AH26" s="80"/>
      <c r="AI26" s="80"/>
    </row>
    <row r="27" spans="1:35" x14ac:dyDescent="0.25">
      <c r="A27" s="61" t="s">
        <v>501</v>
      </c>
      <c r="B27" s="61" t="s">
        <v>613</v>
      </c>
      <c r="C27" s="61" t="s">
        <v>555</v>
      </c>
      <c r="D27" s="61" t="str">
        <f t="shared" si="6"/>
        <v>CAR</v>
      </c>
      <c r="E27" s="61" t="s">
        <v>680</v>
      </c>
      <c r="F27" s="254" t="e">
        <f>#REF!*J27</f>
        <v>#REF!</v>
      </c>
      <c r="G27" s="255" t="s">
        <v>681</v>
      </c>
      <c r="H27" s="792" t="s">
        <v>692</v>
      </c>
      <c r="I27" s="897"/>
      <c r="J27" s="897"/>
      <c r="K27" s="897"/>
      <c r="L27" s="897"/>
      <c r="M27" s="897"/>
      <c r="N27" s="897"/>
      <c r="O27" s="897"/>
      <c r="P27" s="194">
        <f>15.8*3.6/100</f>
        <v>0.56879999999999997</v>
      </c>
      <c r="Q27" s="67">
        <f>P27</f>
        <v>0.56879999999999997</v>
      </c>
      <c r="R27" s="67">
        <f t="array" ref="R27">IF($J$1,Q27*(1+INDEX(R$1:R$2,MATCH($B27,$N$1:$N$2,0)))^(R$16-Q$16),INDEX(AEA2012_ZAR2022!$AC$6:$AG$104,MATCH($G27&amp;$H27,AEA2012_ZAR2022!$A$6:$A$104&amp;AEA2012_ZAR2022!$B$6:$B$104,0),MATCH(R$16,AEA2012_ZAR2022!$AC$4:$AG$4,0)))</f>
        <v>0.56031058889999996</v>
      </c>
      <c r="S27" s="67">
        <f t="array" ref="S27">IF($J$1,R27*(1+INDEX(S$1:S$2,MATCH($B27,$N$1:$N$2,0)))^(S$16-R$16),INDEX(AEA2012_ZAR2022!$AC$6:$AG$104,MATCH($G27&amp;$H27,AEA2012_ZAR2022!$A$6:$A$104&amp;AEA2012_ZAR2022!$B$6:$B$104,0),MATCH(S$16,AEA2012_ZAR2022!$AC$4:$AG$4,0)))</f>
        <v>0.51967758415736331</v>
      </c>
      <c r="T27" s="67">
        <f t="array" ref="T27">IF($J$1,S27*(1+INDEX(T$1:T$2,MATCH($B27,$N$1:$N$2,0)))^(T$16-S$16),INDEX(AEA2012_ZAR2022!$AC$6:$AG$104,MATCH($G27&amp;$H27,AEA2012_ZAR2022!$A$6:$A$104&amp;AEA2012_ZAR2022!$B$6:$B$104,0),MATCH(T$16,AEA2012_ZAR2022!$AC$4:$AG$4,0)))</f>
        <v>0.46998709189579874</v>
      </c>
      <c r="U27" s="67">
        <f t="array" ref="U27">IF($J$1,T27*(1+INDEX(U$1:U$2,MATCH($B27,$N$1:$N$2,0)))^(U$16-T$16),INDEX(AEA2012_ZAR2022!$AC$6:$AG$104,MATCH($G27&amp;$H27,AEA2012_ZAR2022!$A$6:$A$104&amp;AEA2012_ZAR2022!$B$6:$B$104,0),MATCH(U$16,AEA2012_ZAR2022!$AC$4:$AG$4,0)))</f>
        <v>0.42504790139607607</v>
      </c>
      <c r="W27" s="256">
        <f t="shared" si="8"/>
        <v>-4.9750416666666727E-3</v>
      </c>
      <c r="X27" s="256">
        <f t="shared" si="9"/>
        <v>-8.0468874575124003E-3</v>
      </c>
      <c r="Y27" s="67" t="e">
        <f>INDEX($A$278:$J$278,,MATCH(Y$16,$A$275:$J$275,0))</f>
        <v>#N/A</v>
      </c>
      <c r="Z27" s="67">
        <f>INDEX($A$278:$J$278,,MATCH(Z$16,$A$275:$J$275,0))</f>
        <v>1</v>
      </c>
      <c r="AA27" s="67">
        <f>INDEX($A$278:$J$278,,MATCH(AA$16,$A$275:$J$275,0))</f>
        <v>1</v>
      </c>
      <c r="AB27" s="67">
        <f>INDEX($A$278:$J$278,,MATCH(AB$16,$A$275:$J$275,0))</f>
        <v>1</v>
      </c>
      <c r="AC27" s="67">
        <f>INDEX($A$278:$J$278,,MATCH(AC$16,$A$275:$J$275,0))</f>
        <v>1</v>
      </c>
      <c r="AD27" s="61" t="str">
        <f t="shared" si="5"/>
        <v>CAR-ELC</v>
      </c>
      <c r="AE27" s="80"/>
      <c r="AF27" s="80"/>
      <c r="AG27" s="80"/>
      <c r="AH27" s="80"/>
      <c r="AI27" s="80"/>
    </row>
    <row r="28" spans="1:35" x14ac:dyDescent="0.25">
      <c r="A28" s="61" t="s">
        <v>504</v>
      </c>
      <c r="B28" s="61" t="s">
        <v>613</v>
      </c>
      <c r="C28" s="61" t="s">
        <v>555</v>
      </c>
      <c r="D28" s="61" t="str">
        <f t="shared" si="6"/>
        <v>CAR</v>
      </c>
      <c r="E28" s="61" t="s">
        <v>680</v>
      </c>
      <c r="F28" s="65"/>
      <c r="G28" s="255" t="s">
        <v>681</v>
      </c>
      <c r="H28" s="792" t="s">
        <v>699</v>
      </c>
      <c r="I28" s="897"/>
      <c r="J28" s="897"/>
      <c r="K28" s="897"/>
      <c r="L28" s="897"/>
      <c r="M28" s="897"/>
      <c r="N28" s="897"/>
      <c r="O28" s="897"/>
      <c r="P28" s="103" t="str">
        <f t="shared" ref="P28:P92" si="10">D28&amp;A28</f>
        <v>CARHGN</v>
      </c>
      <c r="Q28" s="67">
        <f>INDEX('Vehicle data '!$AD$20:$AD$110,MATCH($P28,'Vehicle data '!$AC$20:$AC$110,0))/INDEX('Vehicle data '!$AD$20:$AD$110,MATCH($P$20,'Vehicle data '!$AC$20:$AC$110,0))*Q$20</f>
        <v>1.0864894518065684</v>
      </c>
      <c r="R28" s="67">
        <f t="array" ref="R28">IF($J$1,Q28*(1+INDEX(R$1:R$2,MATCH($B28,$N$1:$N$2,0)))^(R$16-Q$16),INDEX(AEA2012_ZAR2022!$AC$6:$AG$104,MATCH($G28&amp;$H28,AEA2012_ZAR2022!$A$6:$A$104&amp;AEA2012_ZAR2022!$B$6:$B$104,0),MATCH(R$16,AEA2012_ZAR2022!$AC$4:$AG$4,0)))</f>
        <v>1.070273460927174</v>
      </c>
      <c r="S28" s="67">
        <f t="array" ref="S28">IF($J$1,R28*(1+INDEX(S$1:S$2,MATCH($B28,$N$1:$N$2,0)))^(S$16-R$16),INDEX(AEA2012_ZAR2022!$AC$6:$AG$104,MATCH($G28&amp;$H28,AEA2012_ZAR2022!$A$6:$A$104&amp;AEA2012_ZAR2022!$B$6:$B$104,0),MATCH(S$16,AEA2012_ZAR2022!$AC$4:$AG$4,0)))</f>
        <v>0.99265860324770672</v>
      </c>
      <c r="T28" s="67">
        <f t="array" ref="T28">IF($J$1,S28*(1+INDEX(T$1:T$2,MATCH($B28,$N$1:$N$2,0)))^(T$16-S$16),INDEX(AEA2012_ZAR2022!$AC$6:$AG$104,MATCH($G28&amp;$H28,AEA2012_ZAR2022!$A$6:$A$104&amp;AEA2012_ZAR2022!$B$6:$B$104,0),MATCH(T$16,AEA2012_ZAR2022!$AC$4:$AG$4,0)))</f>
        <v>0.89774264738050236</v>
      </c>
      <c r="U28" s="67">
        <f t="array" ref="U28">IF($J$1,T28*(1+INDEX(U$1:U$2,MATCH($B28,$N$1:$N$2,0)))^(U$16-T$16),INDEX(AEA2012_ZAR2022!$AC$6:$AG$104,MATCH($G28&amp;$H28,AEA2012_ZAR2022!$A$6:$A$104&amp;AEA2012_ZAR2022!$B$6:$B$104,0),MATCH(U$16,AEA2012_ZAR2022!$AC$4:$AG$4,0)))</f>
        <v>0.81190235826187607</v>
      </c>
      <c r="W28" s="256">
        <f t="shared" si="8"/>
        <v>-4.9750416666666337E-3</v>
      </c>
      <c r="X28" s="256">
        <f t="shared" si="9"/>
        <v>-8.0468874575124003E-3</v>
      </c>
      <c r="AD28" s="61" t="str">
        <f t="shared" si="5"/>
        <v>CAR-HGN</v>
      </c>
      <c r="AE28" s="80"/>
      <c r="AF28" s="80"/>
      <c r="AG28" s="80"/>
      <c r="AH28" s="80"/>
      <c r="AI28" s="80"/>
    </row>
    <row r="29" spans="1:35" x14ac:dyDescent="0.25">
      <c r="A29" s="61" t="s">
        <v>509</v>
      </c>
      <c r="B29" s="61" t="s">
        <v>613</v>
      </c>
      <c r="C29" s="61" t="s">
        <v>555</v>
      </c>
      <c r="D29" s="61" t="str">
        <f t="shared" si="6"/>
        <v>CAR</v>
      </c>
      <c r="E29" s="61" t="s">
        <v>680</v>
      </c>
      <c r="F29" s="65"/>
      <c r="G29" s="255" t="s">
        <v>681</v>
      </c>
      <c r="H29" s="792" t="s">
        <v>700</v>
      </c>
      <c r="I29" s="897"/>
      <c r="J29" s="897"/>
      <c r="K29" s="897"/>
      <c r="L29" s="897"/>
      <c r="M29" s="897"/>
      <c r="N29" s="897"/>
      <c r="O29" s="897"/>
      <c r="P29" s="103" t="str">
        <f t="shared" si="10"/>
        <v>CARGAS</v>
      </c>
      <c r="Q29" s="67">
        <f>INDEX('Vehicle data '!$AD$20:$AD$110,MATCH($P29,'Vehicle data '!$AC$20:$AC$110,0))/INDEX('Vehicle data '!$AD$20:$AD$110,MATCH($P$20,'Vehicle data '!$AC$20:$AC$110,0))*Q$20</f>
        <v>2.802205701073782</v>
      </c>
      <c r="R29" s="67">
        <f t="array" ref="R29">IF($J$1,Q29*(1+INDEX(R$1:R$2,MATCH($B29,$N$1:$N$2,0)))^(R$16-Q$16),INDEX(AEA2012_ZAR2022!$AC$6:$AG$104,MATCH($G29&amp;$H29,AEA2012_ZAR2022!$A$6:$A$104&amp;AEA2012_ZAR2022!$B$6:$B$104,0),MATCH(R$16,AEA2012_ZAR2022!$AC$4:$AG$4,0)))</f>
        <v>2.760382430709543</v>
      </c>
      <c r="S29" s="67">
        <f t="array" ref="S29">IF($J$1,R29*(1+INDEX(S$1:S$2,MATCH($B29,$N$1:$N$2,0)))^(S$16-R$16),INDEX(AEA2012_ZAR2022!$AC$6:$AG$104,MATCH($G29&amp;$H29,AEA2012_ZAR2022!$A$6:$A$104&amp;AEA2012_ZAR2022!$B$6:$B$104,0),MATCH(S$16,AEA2012_ZAR2022!$AC$4:$AG$4,0)))</f>
        <v>2.5602030398136666</v>
      </c>
      <c r="T29" s="67">
        <f t="array" ref="T29">IF($J$1,S29*(1+INDEX(T$1:T$2,MATCH($B29,$N$1:$N$2,0)))^(T$16-S$16),INDEX(AEA2012_ZAR2022!$AC$6:$AG$104,MATCH($G29&amp;$H29,AEA2012_ZAR2022!$A$6:$A$104&amp;AEA2012_ZAR2022!$B$6:$B$104,0),MATCH(T$16,AEA2012_ZAR2022!$AC$4:$AG$4,0)))</f>
        <v>2.3154017375905322</v>
      </c>
      <c r="U29" s="67">
        <f t="array" ref="U29">IF($J$1,T29*(1+INDEX(U$1:U$2,MATCH($B29,$N$1:$N$2,0)))^(U$16-T$16),INDEX(AEA2012_ZAR2022!$AC$6:$AG$104,MATCH($G29&amp;$H29,AEA2012_ZAR2022!$A$6:$A$104&amp;AEA2012_ZAR2022!$B$6:$B$104,0),MATCH(U$16,AEA2012_ZAR2022!$AC$4:$AG$4,0)))</f>
        <v>2.0940078279211165</v>
      </c>
      <c r="W29" s="256">
        <f t="shared" si="8"/>
        <v>-4.9750416666666797E-3</v>
      </c>
      <c r="X29" s="256">
        <f t="shared" si="9"/>
        <v>-8.0468874575124021E-3</v>
      </c>
      <c r="AD29" s="61" t="str">
        <f t="shared" si="5"/>
        <v>CAR-GAS</v>
      </c>
      <c r="AE29" s="80"/>
      <c r="AF29" s="80"/>
      <c r="AG29" s="80"/>
      <c r="AH29" s="80"/>
      <c r="AI29" s="80"/>
    </row>
    <row r="30" spans="1:35" x14ac:dyDescent="0.25">
      <c r="B30" s="61" t="s">
        <v>613</v>
      </c>
      <c r="D30" s="61" t="str">
        <f t="shared" si="6"/>
        <v/>
      </c>
      <c r="F30" s="65"/>
      <c r="G30" s="255"/>
      <c r="I30" s="897"/>
      <c r="J30" s="897"/>
      <c r="K30" s="897"/>
      <c r="L30" s="897"/>
      <c r="M30" s="897"/>
      <c r="N30" s="897"/>
      <c r="O30" s="897"/>
      <c r="P30" s="103" t="str">
        <f t="shared" si="10"/>
        <v/>
      </c>
      <c r="Q30" s="67" t="e">
        <f>1/INDEX(Analytica!$AA$17:$AE$48,MATCH($P30,Analytica!$A$17:$A$48,0),MATCH(Q$16,Analytica!$AA$16:$AE$16,0))</f>
        <v>#N/A</v>
      </c>
      <c r="R30" s="67" t="e">
        <f t="array" ref="R30">IF($J$1,Q30*(1+INDEX(R$1:R$2,MATCH($B30,$N$1:$N$2,0)))^(R$16-Q$16),INDEX(AEA2012_ZAR2022!$AC$6:$AG$104,MATCH($G30&amp;$H30,AEA2012_ZAR2022!$A$6:$A$104&amp;AEA2012_ZAR2022!$B$6:$B$104,0),MATCH(R$16,AEA2012_ZAR2022!$AC$4:$AG$4,0)))</f>
        <v>#N/A</v>
      </c>
      <c r="S30" s="67" t="e">
        <f t="array" ref="S30">IF($J$1,R30*(1+INDEX(S$1:S$2,MATCH($B30,$N$1:$N$2,0)))^(S$16-R$16),INDEX(AEA2012_ZAR2022!$AC$6:$AG$104,MATCH($G30&amp;$H30,AEA2012_ZAR2022!$A$6:$A$104&amp;AEA2012_ZAR2022!$B$6:$B$104,0),MATCH(S$16,AEA2012_ZAR2022!$AC$4:$AG$4,0)))</f>
        <v>#N/A</v>
      </c>
      <c r="T30" s="67" t="e">
        <f t="array" ref="T30">IF($J$1,S30*(1+INDEX(T$1:T$2,MATCH($B30,$N$1:$N$2,0)))^(T$16-S$16),INDEX(AEA2012_ZAR2022!$AC$6:$AG$104,MATCH($G30&amp;$H30,AEA2012_ZAR2022!$A$6:$A$104&amp;AEA2012_ZAR2022!$B$6:$B$104,0),MATCH(T$16,AEA2012_ZAR2022!$AC$4:$AG$4,0)))</f>
        <v>#N/A</v>
      </c>
      <c r="U30" s="67" t="e">
        <f t="array" ref="U30">IF($J$1,T30*(1+INDEX(U$1:U$2,MATCH($B30,$N$1:$N$2,0)))^(U$16-T$16),INDEX(AEA2012_ZAR2022!$AC$6:$AG$104,MATCH($G30&amp;$H30,AEA2012_ZAR2022!$A$6:$A$104&amp;AEA2012_ZAR2022!$B$6:$B$104,0),MATCH(U$16,AEA2012_ZAR2022!$AC$4:$AG$4,0)))</f>
        <v>#N/A</v>
      </c>
      <c r="W30" s="256" t="e">
        <f t="shared" si="8"/>
        <v>#N/A</v>
      </c>
      <c r="X30" s="256" t="e">
        <f t="shared" si="9"/>
        <v>#N/A</v>
      </c>
      <c r="AD30" s="61" t="str">
        <f t="shared" si="5"/>
        <v>-</v>
      </c>
      <c r="AE30" s="80"/>
      <c r="AF30" s="80"/>
      <c r="AG30" s="80"/>
      <c r="AH30" s="80"/>
      <c r="AI30" s="80"/>
    </row>
    <row r="31" spans="1:35" x14ac:dyDescent="0.25">
      <c r="A31" s="61" t="s">
        <v>573</v>
      </c>
      <c r="B31" s="61" t="s">
        <v>613</v>
      </c>
      <c r="C31" s="61" t="s">
        <v>460</v>
      </c>
      <c r="D31" s="61" t="str">
        <f t="shared" si="6"/>
        <v>SUV</v>
      </c>
      <c r="E31" s="61" t="s">
        <v>680</v>
      </c>
      <c r="F31" s="65"/>
      <c r="G31" s="255" t="s">
        <v>701</v>
      </c>
      <c r="H31" s="792" t="s">
        <v>680</v>
      </c>
      <c r="I31" s="897"/>
      <c r="J31" s="897"/>
      <c r="K31" s="897"/>
      <c r="L31" s="897"/>
      <c r="M31" s="897"/>
      <c r="N31" s="897"/>
      <c r="O31" s="897"/>
      <c r="P31" s="103" t="str">
        <f t="shared" si="10"/>
        <v>SUVOGS</v>
      </c>
      <c r="Q31" s="67">
        <f>1/INDEX(Analytica!$AA$17:$AE$48,MATCH($P31,Analytica!$A$17:$A$48,0),MATCH(Q$16,Analytica!$AA$16:$AE$16,0))</f>
        <v>2.3386728682586129</v>
      </c>
      <c r="R31" s="67">
        <f t="array" ref="R31">IF($J$1,Q31*(1+INDEX(R$1:R$2,MATCH($B31,$N$1:$N$2,0)))^(R$16-Q$16),INDEX(AEA2012_ZAR2022!$AC$6:$AG$104,MATCH($G31&amp;$H31,AEA2012_ZAR2022!$A$6:$A$104&amp;AEA2012_ZAR2022!$B$6:$B$104,0),MATCH(R$16,AEA2012_ZAR2022!$AC$4:$AG$4,0)))</f>
        <v>2.3037678833657447</v>
      </c>
      <c r="S31" s="67">
        <f t="array" ref="S31">IF($J$1,R31*(1+INDEX(S$1:S$2,MATCH($B31,$N$1:$N$2,0)))^(S$16-R$16),INDEX(AEA2012_ZAR2022!$AC$6:$AG$104,MATCH($G31&amp;$H31,AEA2012_ZAR2022!$A$6:$A$104&amp;AEA2012_ZAR2022!$B$6:$B$104,0),MATCH(S$16,AEA2012_ZAR2022!$AC$4:$AG$4,0)))</f>
        <v>2.136701593373783</v>
      </c>
      <c r="T31" s="67">
        <f t="array" ref="T31">IF($J$1,S31*(1+INDEX(T$1:T$2,MATCH($B31,$N$1:$N$2,0)))^(T$16-S$16),INDEX(AEA2012_ZAR2022!$AC$6:$AG$104,MATCH($G31&amp;$H31,AEA2012_ZAR2022!$A$6:$A$104&amp;AEA2012_ZAR2022!$B$6:$B$104,0),MATCH(T$16,AEA2012_ZAR2022!$AC$4:$AG$4,0)))</f>
        <v>1.9323946206900002</v>
      </c>
      <c r="U31" s="67">
        <f t="array" ref="U31">IF($J$1,T31*(1+INDEX(U$1:U$2,MATCH($B31,$N$1:$N$2,0)))^(U$16-T$16),INDEX(AEA2012_ZAR2022!$AC$6:$AG$104,MATCH($G31&amp;$H31,AEA2012_ZAR2022!$A$6:$A$104&amp;AEA2012_ZAR2022!$B$6:$B$104,0),MATCH(U$16,AEA2012_ZAR2022!$AC$4:$AG$4,0)))</f>
        <v>1.7476230567954738</v>
      </c>
      <c r="V31" s="67"/>
      <c r="W31" s="256">
        <f t="shared" si="8"/>
        <v>-4.9750416666666476E-3</v>
      </c>
      <c r="X31" s="256">
        <f t="shared" si="9"/>
        <v>-8.0468874575123969E-3</v>
      </c>
      <c r="AD31" s="61" t="str">
        <f t="shared" si="5"/>
        <v>SUV-OGS</v>
      </c>
      <c r="AE31" s="80"/>
      <c r="AF31" s="80"/>
      <c r="AG31" s="80"/>
      <c r="AH31" s="80"/>
      <c r="AI31" s="80"/>
    </row>
    <row r="32" spans="1:35" x14ac:dyDescent="0.25">
      <c r="A32" s="61" t="s">
        <v>519</v>
      </c>
      <c r="B32" s="61" t="s">
        <v>613</v>
      </c>
      <c r="C32" s="61" t="s">
        <v>460</v>
      </c>
      <c r="D32" s="61" t="str">
        <f t="shared" si="6"/>
        <v>SUV</v>
      </c>
      <c r="E32" s="61" t="s">
        <v>680</v>
      </c>
      <c r="F32" s="65"/>
      <c r="G32" s="255" t="s">
        <v>701</v>
      </c>
      <c r="H32" s="792" t="s">
        <v>688</v>
      </c>
      <c r="I32" s="897"/>
      <c r="J32" s="897"/>
      <c r="K32" s="897"/>
      <c r="L32" s="897"/>
      <c r="M32" s="897"/>
      <c r="N32" s="897"/>
      <c r="O32" s="897"/>
      <c r="P32" s="103" t="str">
        <f t="shared" si="10"/>
        <v>SUVOGSH</v>
      </c>
      <c r="Q32" s="67">
        <f>INDEX('Vehicle data '!$AD$20:$AD$110,MATCH($P32,'Vehicle data '!$AC$20:$AC$110,0))/INDEX('Vehicle data '!$AD$20:$AD$110,MATCH($P$31,'Vehicle data '!$AC$20:$AC$110,0))*Q$31</f>
        <v>1.7869690234961555</v>
      </c>
      <c r="R32" s="67">
        <f t="array" ref="R32">IF($J$1,Q32*(1+INDEX(R$1:R$2,MATCH($B32,$N$1:$N$2,0)))^(R$16-Q$16),INDEX(AEA2012_ZAR2022!$AC$6:$AG$104,MATCH($G32&amp;$H32,AEA2012_ZAR2022!$A$6:$A$104&amp;AEA2012_ZAR2022!$B$6:$B$104,0),MATCH(R$16,AEA2012_ZAR2022!$AC$4:$AG$4,0)))</f>
        <v>1.7602982874493476</v>
      </c>
      <c r="S32" s="67">
        <f t="array" ref="S32">IF($J$1,R32*(1+INDEX(S$1:S$2,MATCH($B32,$N$1:$N$2,0)))^(S$16-R$16),INDEX(AEA2012_ZAR2022!$AC$6:$AG$104,MATCH($G32&amp;$H32,AEA2012_ZAR2022!$A$6:$A$104&amp;AEA2012_ZAR2022!$B$6:$B$104,0),MATCH(S$16,AEA2012_ZAR2022!$AC$4:$AG$4,0)))</f>
        <v>1.6326437150044388</v>
      </c>
      <c r="T32" s="67">
        <f t="array" ref="T32">IF($J$1,S32*(1+INDEX(T$1:T$2,MATCH($B32,$N$1:$N$2,0)))^(T$16-S$16),INDEX(AEA2012_ZAR2022!$AC$6:$AG$104,MATCH($G32&amp;$H32,AEA2012_ZAR2022!$A$6:$A$104&amp;AEA2012_ZAR2022!$B$6:$B$104,0),MATCH(T$16,AEA2012_ZAR2022!$AC$4:$AG$4,0)))</f>
        <v>1.4765337107257972</v>
      </c>
      <c r="U32" s="67">
        <f t="array" ref="U32">IF($J$1,T32*(1+INDEX(U$1:U$2,MATCH($B32,$N$1:$N$2,0)))^(U$16-T$16),INDEX(AEA2012_ZAR2022!$AC$6:$AG$104,MATCH($G32&amp;$H32,AEA2012_ZAR2022!$A$6:$A$104&amp;AEA2012_ZAR2022!$B$6:$B$104,0),MATCH(U$16,AEA2012_ZAR2022!$AC$4:$AG$4,0)))</f>
        <v>1.3353506211266462</v>
      </c>
      <c r="V32" s="67"/>
      <c r="W32" s="256">
        <f t="shared" si="8"/>
        <v>-4.9750416666666415E-3</v>
      </c>
      <c r="X32" s="256">
        <f t="shared" si="9"/>
        <v>-8.0468874575124003E-3</v>
      </c>
      <c r="AD32" s="61" t="str">
        <f t="shared" si="5"/>
        <v>SUV-OGSH</v>
      </c>
      <c r="AE32" s="80"/>
      <c r="AF32" s="80"/>
      <c r="AG32" s="80"/>
      <c r="AH32" s="80"/>
      <c r="AI32" s="80"/>
    </row>
    <row r="33" spans="1:35" x14ac:dyDescent="0.25">
      <c r="A33" s="61" t="s">
        <v>506</v>
      </c>
      <c r="B33" s="61" t="s">
        <v>613</v>
      </c>
      <c r="C33" s="61" t="s">
        <v>460</v>
      </c>
      <c r="D33" s="61" t="str">
        <f t="shared" si="6"/>
        <v>SUV</v>
      </c>
      <c r="E33" s="61" t="s">
        <v>680</v>
      </c>
      <c r="F33" s="65"/>
      <c r="G33" s="255" t="s">
        <v>701</v>
      </c>
      <c r="H33" s="792" t="s">
        <v>680</v>
      </c>
      <c r="I33" s="897"/>
      <c r="J33" s="897"/>
      <c r="K33" s="897"/>
      <c r="L33" s="897"/>
      <c r="M33" s="897"/>
      <c r="N33" s="897"/>
      <c r="O33" s="897"/>
      <c r="P33" s="103" t="str">
        <f t="shared" si="10"/>
        <v>SUVBGS</v>
      </c>
      <c r="Q33" s="67">
        <f>INDEX('Vehicle data '!$AD$20:$AD$110,MATCH($P33,'Vehicle data '!$AC$20:$AC$110,0))/INDEX('Vehicle data '!$AD$20:$AD$110,MATCH($P$31,'Vehicle data '!$AC$20:$AC$110,0))*Q$31</f>
        <v>2.3386728682586129</v>
      </c>
      <c r="R33" s="67">
        <f t="array" ref="R33">IF($J$1,Q33*(1+INDEX(R$1:R$2,MATCH($B33,$N$1:$N$2,0)))^(R$16-Q$16),INDEX(AEA2012_ZAR2022!$AC$6:$AG$104,MATCH($G33&amp;$H33,AEA2012_ZAR2022!$A$6:$A$104&amp;AEA2012_ZAR2022!$B$6:$B$104,0),MATCH(R$16,AEA2012_ZAR2022!$AC$4:$AG$4,0)))</f>
        <v>2.3037678833657447</v>
      </c>
      <c r="S33" s="67">
        <f t="array" ref="S33">IF($J$1,R33*(1+INDEX(S$1:S$2,MATCH($B33,$N$1:$N$2,0)))^(S$16-R$16),INDEX(AEA2012_ZAR2022!$AC$6:$AG$104,MATCH($G33&amp;$H33,AEA2012_ZAR2022!$A$6:$A$104&amp;AEA2012_ZAR2022!$B$6:$B$104,0),MATCH(S$16,AEA2012_ZAR2022!$AC$4:$AG$4,0)))</f>
        <v>2.136701593373783</v>
      </c>
      <c r="T33" s="67">
        <f t="array" ref="T33">IF($J$1,S33*(1+INDEX(T$1:T$2,MATCH($B33,$N$1:$N$2,0)))^(T$16-S$16),INDEX(AEA2012_ZAR2022!$AC$6:$AG$104,MATCH($G33&amp;$H33,AEA2012_ZAR2022!$A$6:$A$104&amp;AEA2012_ZAR2022!$B$6:$B$104,0),MATCH(T$16,AEA2012_ZAR2022!$AC$4:$AG$4,0)))</f>
        <v>1.9323946206900002</v>
      </c>
      <c r="U33" s="67">
        <f t="array" ref="U33">IF($J$1,T33*(1+INDEX(U$1:U$2,MATCH($B33,$N$1:$N$2,0)))^(U$16-T$16),INDEX(AEA2012_ZAR2022!$AC$6:$AG$104,MATCH($G33&amp;$H33,AEA2012_ZAR2022!$A$6:$A$104&amp;AEA2012_ZAR2022!$B$6:$B$104,0),MATCH(U$16,AEA2012_ZAR2022!$AC$4:$AG$4,0)))</f>
        <v>1.7476230567954738</v>
      </c>
      <c r="V33" s="67"/>
      <c r="W33" s="256">
        <f t="shared" si="8"/>
        <v>-4.9750416666666476E-3</v>
      </c>
      <c r="X33" s="256">
        <f t="shared" si="9"/>
        <v>-8.0468874575123969E-3</v>
      </c>
      <c r="AD33" s="61" t="str">
        <f t="shared" si="5"/>
        <v>SUV-BGS</v>
      </c>
      <c r="AE33" s="80"/>
      <c r="AF33" s="80"/>
      <c r="AG33" s="80"/>
      <c r="AH33" s="80"/>
      <c r="AI33" s="80"/>
    </row>
    <row r="34" spans="1:35" x14ac:dyDescent="0.25">
      <c r="A34" s="61" t="s">
        <v>511</v>
      </c>
      <c r="B34" s="61" t="s">
        <v>613</v>
      </c>
      <c r="C34" s="61" t="s">
        <v>460</v>
      </c>
      <c r="D34" s="61" t="str">
        <f t="shared" si="6"/>
        <v>SUV</v>
      </c>
      <c r="E34" s="61" t="s">
        <v>680</v>
      </c>
      <c r="F34" s="65"/>
      <c r="G34" s="255" t="s">
        <v>701</v>
      </c>
      <c r="H34" s="792" t="s">
        <v>687</v>
      </c>
      <c r="I34" s="897"/>
      <c r="J34" s="897"/>
      <c r="K34" s="897"/>
      <c r="L34" s="897"/>
      <c r="M34" s="897"/>
      <c r="N34" s="897"/>
      <c r="O34" s="897"/>
      <c r="P34" s="103" t="str">
        <f t="shared" si="10"/>
        <v>SUVODS</v>
      </c>
      <c r="Q34" s="67">
        <f>1/INDEX(Analytica!$AA$17:$AE$48,MATCH($P34,Analytica!$A$17:$A$48,0),MATCH(Q$16,Analytica!$AA$16:$AE$16,0))</f>
        <v>4.2907876409062018</v>
      </c>
      <c r="R34" s="67">
        <f t="array" ref="R34">IF($J$1,Q34*(1+INDEX(R$1:R$2,MATCH($B34,$N$1:$N$2,0)))^(R$16-Q$16),INDEX(AEA2012_ZAR2022!$AC$6:$AG$104,MATCH($G34&amp;$H34,AEA2012_ZAR2022!$A$6:$A$104&amp;AEA2012_ZAR2022!$B$6:$B$104,0),MATCH(R$16,AEA2012_ZAR2022!$AC$4:$AG$4,0)))</f>
        <v>4.2267470990172216</v>
      </c>
      <c r="S34" s="67">
        <f t="array" ref="S34">IF($J$1,R34*(1+INDEX(S$1:S$2,MATCH($B34,$N$1:$N$2,0)))^(S$16-R$16),INDEX(AEA2012_ZAR2022!$AC$6:$AG$104,MATCH($G34&amp;$H34,AEA2012_ZAR2022!$A$6:$A$104&amp;AEA2012_ZAR2022!$B$6:$B$104,0),MATCH(S$16,AEA2012_ZAR2022!$AC$4:$AG$4,0)))</f>
        <v>3.9202288244697736</v>
      </c>
      <c r="T34" s="67">
        <f t="array" ref="T34">IF($J$1,S34*(1+INDEX(T$1:T$2,MATCH($B34,$N$1:$N$2,0)))^(T$16-S$16),INDEX(AEA2012_ZAR2022!$AC$6:$AG$104,MATCH($G34&amp;$H34,AEA2012_ZAR2022!$A$6:$A$104&amp;AEA2012_ZAR2022!$B$6:$B$104,0),MATCH(T$16,AEA2012_ZAR2022!$AC$4:$AG$4,0)))</f>
        <v>3.5453846787832997</v>
      </c>
      <c r="U34" s="67">
        <f t="array" ref="U34">IF($J$1,T34*(1+INDEX(U$1:U$2,MATCH($B34,$N$1:$N$2,0)))^(U$16-T$16),INDEX(AEA2012_ZAR2022!$AC$6:$AG$104,MATCH($G34&amp;$H34,AEA2012_ZAR2022!$A$6:$A$104&amp;AEA2012_ZAR2022!$B$6:$B$104,0),MATCH(U$16,AEA2012_ZAR2022!$AC$4:$AG$4,0)))</f>
        <v>3.2063823525024637</v>
      </c>
      <c r="V34" s="67"/>
      <c r="W34" s="256">
        <f t="shared" si="8"/>
        <v>-4.975041666666671E-3</v>
      </c>
      <c r="X34" s="256">
        <f t="shared" si="9"/>
        <v>-8.0468874575123986E-3</v>
      </c>
      <c r="AD34" s="61" t="str">
        <f t="shared" si="5"/>
        <v>SUV-ODS</v>
      </c>
      <c r="AE34" s="80"/>
      <c r="AF34" s="80"/>
      <c r="AG34" s="80"/>
      <c r="AH34" s="80"/>
      <c r="AI34" s="80"/>
    </row>
    <row r="35" spans="1:35" x14ac:dyDescent="0.25">
      <c r="A35" s="61" t="s">
        <v>521</v>
      </c>
      <c r="B35" s="61" t="s">
        <v>613</v>
      </c>
      <c r="C35" s="61" t="s">
        <v>460</v>
      </c>
      <c r="D35" s="61" t="str">
        <f t="shared" si="6"/>
        <v>SUV</v>
      </c>
      <c r="E35" s="61" t="s">
        <v>680</v>
      </c>
      <c r="F35" s="65"/>
      <c r="G35" s="255" t="s">
        <v>701</v>
      </c>
      <c r="H35" s="792" t="s">
        <v>689</v>
      </c>
      <c r="I35" s="897"/>
      <c r="J35" s="897"/>
      <c r="K35" s="897"/>
      <c r="L35" s="897"/>
      <c r="M35" s="897"/>
      <c r="N35" s="897"/>
      <c r="O35" s="897"/>
      <c r="P35" s="103" t="str">
        <f t="shared" si="10"/>
        <v>SUVODSH</v>
      </c>
      <c r="Q35" s="67">
        <f>INDEX('Vehicle data '!$AD$20:$AD$110,MATCH($P35,'Vehicle data '!$AC$20:$AC$110,0))/INDEX('Vehicle data '!$AD$20:$AD$110,MATCH($P$31,'Vehicle data '!$AC$20:$AC$110,0))*Q$31</f>
        <v>1.9933719332103677</v>
      </c>
      <c r="R35" s="67">
        <f t="array" ref="R35">IF($J$1,Q35*(1+INDEX(R$1:R$2,MATCH($B35,$N$1:$N$2,0)))^(R$16-Q$16),INDEX(AEA2012_ZAR2022!$AC$6:$AG$104,MATCH($G35&amp;$H35,AEA2012_ZAR2022!$A$6:$A$104&amp;AEA2012_ZAR2022!$B$6:$B$104,0),MATCH(R$16,AEA2012_ZAR2022!$AC$4:$AG$4,0)))</f>
        <v>1.9636206079357112</v>
      </c>
      <c r="S35" s="67">
        <f t="array" ref="S35">IF($J$1,R35*(1+INDEX(S$1:S$2,MATCH($B35,$N$1:$N$2,0)))^(S$16-R$16),INDEX(AEA2012_ZAR2022!$AC$6:$AG$104,MATCH($G35&amp;$H35,AEA2012_ZAR2022!$A$6:$A$104&amp;AEA2012_ZAR2022!$B$6:$B$104,0),MATCH(S$16,AEA2012_ZAR2022!$AC$4:$AG$4,0)))</f>
        <v>1.8212213617754165</v>
      </c>
      <c r="T35" s="67">
        <f t="array" ref="T35">IF($J$1,S35*(1+INDEX(T$1:T$2,MATCH($B35,$N$1:$N$2,0)))^(T$16-S$16),INDEX(AEA2012_ZAR2022!$AC$6:$AG$104,MATCH($G35&amp;$H35,AEA2012_ZAR2022!$A$6:$A$104&amp;AEA2012_ZAR2022!$B$6:$B$104,0),MATCH(T$16,AEA2012_ZAR2022!$AC$4:$AG$4,0)))</f>
        <v>1.6470799542128114</v>
      </c>
      <c r="U35" s="67">
        <f t="array" ref="U35">IF($J$1,T35*(1+INDEX(U$1:U$2,MATCH($B35,$N$1:$N$2,0)))^(U$16-T$16),INDEX(AEA2012_ZAR2022!$AC$6:$AG$104,MATCH($G35&amp;$H35,AEA2012_ZAR2022!$A$6:$A$104&amp;AEA2012_ZAR2022!$B$6:$B$104,0),MATCH(U$16,AEA2012_ZAR2022!$AC$4:$AG$4,0)))</f>
        <v>1.4895895866963886</v>
      </c>
      <c r="V35" s="67"/>
      <c r="W35" s="256">
        <f t="shared" si="8"/>
        <v>-4.9750416666666693E-3</v>
      </c>
      <c r="X35" s="256">
        <f t="shared" si="9"/>
        <v>-8.0468874575124038E-3</v>
      </c>
      <c r="AD35" s="61" t="str">
        <f t="shared" si="5"/>
        <v>SUV-ODSH</v>
      </c>
      <c r="AE35" s="80"/>
      <c r="AF35" s="80"/>
      <c r="AG35" s="80"/>
      <c r="AH35" s="80"/>
      <c r="AI35" s="80"/>
    </row>
    <row r="36" spans="1:35" x14ac:dyDescent="0.25">
      <c r="A36" s="61" t="s">
        <v>501</v>
      </c>
      <c r="B36" s="61" t="s">
        <v>613</v>
      </c>
      <c r="C36" s="61" t="s">
        <v>460</v>
      </c>
      <c r="D36" s="61" t="str">
        <f t="shared" si="6"/>
        <v>SUV</v>
      </c>
      <c r="E36" s="61" t="s">
        <v>680</v>
      </c>
      <c r="F36" s="65"/>
      <c r="G36" s="255" t="s">
        <v>701</v>
      </c>
      <c r="H36" s="792" t="s">
        <v>692</v>
      </c>
      <c r="I36" s="897"/>
      <c r="J36" s="897"/>
      <c r="K36" s="897"/>
      <c r="L36" s="897"/>
      <c r="M36" s="897"/>
      <c r="N36" s="897"/>
      <c r="O36" s="897"/>
      <c r="P36" s="103" t="str">
        <f t="shared" si="10"/>
        <v>SUVELC</v>
      </c>
      <c r="Q36" s="67">
        <f>1/INDEX(Analytica!$AA$17:$AE$48,MATCH($P36,Analytica!$A$17:$A$48,0),MATCH(Q$16,Analytica!$AA$16:$AE$16,0))</f>
        <v>0.6770480704129993</v>
      </c>
      <c r="R36" s="67">
        <f t="array" ref="R36">IF($J$1,Q36*(1+INDEX(R$1:R$2,MATCH($B36,$N$1:$N$2,0)))^(R$16-Q$16),INDEX(AEA2012_ZAR2022!$AC$6:$AG$104,MATCH($G36&amp;$H36,AEA2012_ZAR2022!$A$6:$A$104&amp;AEA2012_ZAR2022!$B$6:$B$104,0),MATCH(R$16,AEA2012_ZAR2022!$AC$4:$AG$4,0)))</f>
        <v>0.66694304333107646</v>
      </c>
      <c r="S36" s="67">
        <f t="array" ref="S36">IF($J$1,R36*(1+INDEX(S$1:S$2,MATCH($B36,$N$1:$N$2,0)))^(S$16-R$16),INDEX(AEA2012_ZAR2022!$AC$6:$AG$104,MATCH($G36&amp;$H36,AEA2012_ZAR2022!$A$6:$A$104&amp;AEA2012_ZAR2022!$B$6:$B$104,0),MATCH(S$16,AEA2012_ZAR2022!$AC$4:$AG$4,0)))</f>
        <v>0.61857718985694776</v>
      </c>
      <c r="T36" s="67">
        <f t="array" ref="T36">IF($J$1,S36*(1+INDEX(T$1:T$2,MATCH($B36,$N$1:$N$2,0)))^(T$16-S$16),INDEX(AEA2012_ZAR2022!$AC$6:$AG$104,MATCH($G36&amp;$H36,AEA2012_ZAR2022!$A$6:$A$104&amp;AEA2012_ZAR2022!$B$6:$B$104,0),MATCH(T$16,AEA2012_ZAR2022!$AC$4:$AG$4,0)))</f>
        <v>0.55943012251594149</v>
      </c>
      <c r="U36" s="67">
        <f t="array" ref="U36">IF($J$1,T36*(1+INDEX(U$1:U$2,MATCH($B36,$N$1:$N$2,0)))^(U$16-T$16),INDEX(AEA2012_ZAR2022!$AC$6:$AG$104,MATCH($G36&amp;$H36,AEA2012_ZAR2022!$A$6:$A$104&amp;AEA2012_ZAR2022!$B$6:$B$104,0),MATCH(U$16,AEA2012_ZAR2022!$AC$4:$AG$4,0)))</f>
        <v>0.50593857502339679</v>
      </c>
      <c r="V36" s="67"/>
      <c r="W36" s="256">
        <f t="shared" si="8"/>
        <v>-4.9750416666666814E-3</v>
      </c>
      <c r="X36" s="256">
        <f t="shared" si="9"/>
        <v>-8.0468874575124021E-3</v>
      </c>
      <c r="AD36" s="61" t="str">
        <f t="shared" si="5"/>
        <v>SUV-ELC</v>
      </c>
      <c r="AE36" s="80"/>
      <c r="AF36" s="80"/>
      <c r="AG36" s="80"/>
      <c r="AH36" s="80"/>
      <c r="AI36" s="80"/>
    </row>
    <row r="37" spans="1:35" x14ac:dyDescent="0.25">
      <c r="A37" s="61" t="s">
        <v>504</v>
      </c>
      <c r="B37" s="61" t="s">
        <v>613</v>
      </c>
      <c r="C37" s="61" t="s">
        <v>460</v>
      </c>
      <c r="D37" s="61" t="str">
        <f t="shared" si="6"/>
        <v>SUV</v>
      </c>
      <c r="E37" s="61" t="s">
        <v>680</v>
      </c>
      <c r="F37" s="65"/>
      <c r="G37" s="255" t="s">
        <v>701</v>
      </c>
      <c r="H37" s="792" t="s">
        <v>699</v>
      </c>
      <c r="I37" s="897"/>
      <c r="J37" s="897"/>
      <c r="K37" s="897"/>
      <c r="L37" s="897"/>
      <c r="M37" s="897"/>
      <c r="N37" s="897"/>
      <c r="O37" s="897"/>
      <c r="P37" s="103" t="str">
        <f t="shared" si="10"/>
        <v>SUVHGN</v>
      </c>
      <c r="Q37" s="67">
        <f>INDEX('Vehicle data '!$AD$20:$AD$110,MATCH($P37,'Vehicle data '!$AC$20:$AC$110,0))/INDEX('Vehicle data '!$AD$20:$AD$110,MATCH($P$31,'Vehicle data '!$AC$20:$AC$110,0))*Q$31</f>
        <v>1.1523049072229372</v>
      </c>
      <c r="R37" s="67">
        <f t="array" ref="R37">IF($J$1,Q37*(1+INDEX(R$1:R$2,MATCH($B37,$N$1:$N$2,0)))^(R$16-Q$16),INDEX(AEA2012_ZAR2022!$AC$6:$AG$104,MATCH($G37&amp;$H37,AEA2012_ZAR2022!$A$6:$A$104&amp;AEA2012_ZAR2022!$B$6:$B$104,0),MATCH(R$16,AEA2012_ZAR2022!$AC$4:$AG$4,0)))</f>
        <v>1.1351066124445215</v>
      </c>
      <c r="S37" s="67">
        <f t="array" ref="S37">IF($J$1,R37*(1+INDEX(S$1:S$2,MATCH($B37,$N$1:$N$2,0)))^(S$16-R$16),INDEX(AEA2012_ZAR2022!$AC$6:$AG$104,MATCH($G37&amp;$H37,AEA2012_ZAR2022!$A$6:$A$104&amp;AEA2012_ZAR2022!$B$6:$B$104,0),MATCH(S$16,AEA2012_ZAR2022!$AC$4:$AG$4,0)))</f>
        <v>1.0527901378310316</v>
      </c>
      <c r="T37" s="67">
        <f t="array" ref="T37">IF($J$1,S37*(1+INDEX(T$1:T$2,MATCH($B37,$N$1:$N$2,0)))^(T$16-S$16),INDEX(AEA2012_ZAR2022!$AC$6:$AG$104,MATCH($G37&amp;$H37,AEA2012_ZAR2022!$A$6:$A$104&amp;AEA2012_ZAR2022!$B$6:$B$104,0),MATCH(T$16,AEA2012_ZAR2022!$AC$4:$AG$4,0)))</f>
        <v>0.95212452940043346</v>
      </c>
      <c r="U37" s="67">
        <f t="array" ref="U37">IF($J$1,T37*(1+INDEX(U$1:U$2,MATCH($B37,$N$1:$N$2,0)))^(U$16-T$16),INDEX(AEA2012_ZAR2022!$AC$6:$AG$104,MATCH($G37&amp;$H37,AEA2012_ZAR2022!$A$6:$A$104&amp;AEA2012_ZAR2022!$B$6:$B$104,0),MATCH(U$16,AEA2012_ZAR2022!$AC$4:$AG$4,0)))</f>
        <v>0.86108435756594526</v>
      </c>
      <c r="V37" s="67"/>
      <c r="W37" s="256">
        <f t="shared" si="8"/>
        <v>-4.9750416666666615E-3</v>
      </c>
      <c r="X37" s="256">
        <f t="shared" si="9"/>
        <v>-8.0468874575124003E-3</v>
      </c>
      <c r="AD37" s="61" t="str">
        <f t="shared" si="5"/>
        <v>SUV-HGN</v>
      </c>
      <c r="AE37" s="80"/>
      <c r="AF37" s="80"/>
      <c r="AG37" s="80"/>
      <c r="AH37" s="80"/>
      <c r="AI37" s="80"/>
    </row>
    <row r="38" spans="1:35" x14ac:dyDescent="0.25">
      <c r="A38" s="61" t="s">
        <v>509</v>
      </c>
      <c r="B38" s="61" t="s">
        <v>613</v>
      </c>
      <c r="C38" s="61" t="s">
        <v>460</v>
      </c>
      <c r="D38" s="61" t="str">
        <f t="shared" si="6"/>
        <v>SUV</v>
      </c>
      <c r="E38" s="61" t="s">
        <v>680</v>
      </c>
      <c r="F38" s="65"/>
      <c r="G38" s="255" t="s">
        <v>701</v>
      </c>
      <c r="H38" s="792" t="s">
        <v>700</v>
      </c>
      <c r="I38" s="897"/>
      <c r="J38" s="897"/>
      <c r="K38" s="897"/>
      <c r="L38" s="897"/>
      <c r="M38" s="897"/>
      <c r="N38" s="897"/>
      <c r="O38" s="897"/>
      <c r="P38" s="103" t="str">
        <f t="shared" si="10"/>
        <v>SUVGAS</v>
      </c>
      <c r="Q38" s="67">
        <f>INDEX('Vehicle data '!$AD$20:$AD$110,MATCH($P38,'Vehicle data '!$AC$20:$AC$110,0))/INDEX('Vehicle data '!$AD$20:$AD$110,MATCH($P$31,'Vehicle data '!$AC$20:$AC$110,0))*Q$31</f>
        <v>2.7440122351772311</v>
      </c>
      <c r="R38" s="67">
        <f t="array" ref="R38">IF($J$1,Q38*(1+INDEX(R$1:R$2,MATCH($B38,$N$1:$N$2,0)))^(R$16-Q$16),INDEX(AEA2012_ZAR2022!$AC$6:$AG$104,MATCH($G38&amp;$H38,AEA2012_ZAR2022!$A$6:$A$104&amp;AEA2012_ZAR2022!$B$6:$B$104,0),MATCH(R$16,AEA2012_ZAR2022!$AC$4:$AG$4,0)))</f>
        <v>2.7030575095656815</v>
      </c>
      <c r="S38" s="67">
        <f t="array" ref="S38">IF($J$1,R38*(1+INDEX(S$1:S$2,MATCH($B38,$N$1:$N$2,0)))^(S$16-R$16),INDEX(AEA2012_ZAR2022!$AC$6:$AG$104,MATCH($G38&amp;$H38,AEA2012_ZAR2022!$A$6:$A$104&amp;AEA2012_ZAR2022!$B$6:$B$104,0),MATCH(S$16,AEA2012_ZAR2022!$AC$4:$AG$4,0)))</f>
        <v>2.5070352483740335</v>
      </c>
      <c r="T38" s="67">
        <f t="array" ref="T38">IF($J$1,S38*(1+INDEX(T$1:T$2,MATCH($B38,$N$1:$N$2,0)))^(T$16-S$16),INDEX(AEA2012_ZAR2022!$AC$6:$AG$104,MATCH($G38&amp;$H38,AEA2012_ZAR2022!$A$6:$A$104&amp;AEA2012_ZAR2022!$B$6:$B$104,0),MATCH(T$16,AEA2012_ZAR2022!$AC$4:$AG$4,0)))</f>
        <v>2.2673177400447213</v>
      </c>
      <c r="U38" s="67">
        <f t="array" ref="U38">IF($J$1,T38*(1+INDEX(U$1:U$2,MATCH($B38,$N$1:$N$2,0)))^(U$16-T$16),INDEX(AEA2012_ZAR2022!$AC$6:$AG$104,MATCH($G38&amp;$H38,AEA2012_ZAR2022!$A$6:$A$104&amp;AEA2012_ZAR2022!$B$6:$B$104,0),MATCH(U$16,AEA2012_ZAR2022!$AC$4:$AG$4,0)))</f>
        <v>2.0505215224459179</v>
      </c>
      <c r="V38" s="67"/>
      <c r="W38" s="256">
        <f t="shared" si="8"/>
        <v>-4.975041666666678E-3</v>
      </c>
      <c r="X38" s="256">
        <f t="shared" si="9"/>
        <v>-8.0468874575124003E-3</v>
      </c>
      <c r="AD38" s="61" t="str">
        <f t="shared" si="5"/>
        <v>SUV-GAS</v>
      </c>
      <c r="AE38" s="80"/>
      <c r="AF38" s="80"/>
      <c r="AG38" s="80"/>
      <c r="AH38" s="80"/>
      <c r="AI38" s="80"/>
    </row>
    <row r="39" spans="1:35" x14ac:dyDescent="0.25">
      <c r="B39" s="61" t="s">
        <v>613</v>
      </c>
      <c r="D39" s="61" t="str">
        <f t="shared" si="6"/>
        <v/>
      </c>
      <c r="F39" s="65"/>
      <c r="G39" s="255"/>
      <c r="H39" s="792"/>
      <c r="I39" s="897"/>
      <c r="J39" s="897"/>
      <c r="K39" s="897"/>
      <c r="L39" s="897"/>
      <c r="M39" s="897"/>
      <c r="N39" s="897"/>
      <c r="O39" s="897"/>
      <c r="P39" s="103" t="str">
        <f t="shared" si="10"/>
        <v/>
      </c>
      <c r="Q39" s="67" t="e">
        <f>1/INDEX(Analytica!$AA$17:$AE$48,MATCH($P39,Analytica!$A$17:$A$48,0),MATCH(Q$16,Analytica!$AA$16:$AE$16,0))</f>
        <v>#N/A</v>
      </c>
      <c r="R39" s="67" t="e">
        <f t="array" ref="R39">IF($J$1,Q39*(1+INDEX(R$1:R$2,MATCH($B39,$N$1:$N$2,0)))^(R$16-Q$16),INDEX(AEA2012_ZAR2022!$AC$6:$AG$104,MATCH($G39&amp;$H39,AEA2012_ZAR2022!$A$6:$A$104&amp;AEA2012_ZAR2022!$B$6:$B$104,0),MATCH(R$16,AEA2012_ZAR2022!$AC$4:$AG$4,0)))</f>
        <v>#N/A</v>
      </c>
      <c r="S39" s="67" t="e">
        <f t="array" ref="S39">IF($J$1,R39*(1+INDEX(S$1:S$2,MATCH($B39,$N$1:$N$2,0)))^(S$16-R$16),INDEX(AEA2012_ZAR2022!$AC$6:$AG$104,MATCH($G39&amp;$H39,AEA2012_ZAR2022!$A$6:$A$104&amp;AEA2012_ZAR2022!$B$6:$B$104,0),MATCH(S$16,AEA2012_ZAR2022!$AC$4:$AG$4,0)))</f>
        <v>#N/A</v>
      </c>
      <c r="T39" s="67" t="e">
        <f t="array" ref="T39">IF($J$1,S39*(1+INDEX(T$1:T$2,MATCH($B39,$N$1:$N$2,0)))^(T$16-S$16),INDEX(AEA2012_ZAR2022!$AC$6:$AG$104,MATCH($G39&amp;$H39,AEA2012_ZAR2022!$A$6:$A$104&amp;AEA2012_ZAR2022!$B$6:$B$104,0),MATCH(T$16,AEA2012_ZAR2022!$AC$4:$AG$4,0)))</f>
        <v>#N/A</v>
      </c>
      <c r="U39" s="67" t="e">
        <f t="array" ref="U39">IF($J$1,T39*(1+INDEX(U$1:U$2,MATCH($B39,$N$1:$N$2,0)))^(U$16-T$16),INDEX(AEA2012_ZAR2022!$AC$6:$AG$104,MATCH($G39&amp;$H39,AEA2012_ZAR2022!$A$6:$A$104&amp;AEA2012_ZAR2022!$B$6:$B$104,0),MATCH(U$16,AEA2012_ZAR2022!$AC$4:$AG$4,0)))</f>
        <v>#N/A</v>
      </c>
      <c r="V39" s="67"/>
      <c r="W39" s="256" t="e">
        <f t="shared" si="8"/>
        <v>#N/A</v>
      </c>
      <c r="X39" s="256" t="e">
        <f t="shared" si="9"/>
        <v>#N/A</v>
      </c>
      <c r="AD39" s="61" t="str">
        <f t="shared" si="5"/>
        <v>-</v>
      </c>
      <c r="AE39" s="80"/>
      <c r="AF39" s="80"/>
      <c r="AG39" s="80"/>
      <c r="AH39" s="80"/>
      <c r="AI39" s="80"/>
    </row>
    <row r="40" spans="1:35" x14ac:dyDescent="0.25">
      <c r="A40" s="61" t="s">
        <v>573</v>
      </c>
      <c r="B40" s="61" t="s">
        <v>613</v>
      </c>
      <c r="C40" s="61" t="s">
        <v>61</v>
      </c>
      <c r="D40" s="61" t="str">
        <f t="shared" si="6"/>
        <v>MBT</v>
      </c>
      <c r="E40" s="61" t="s">
        <v>680</v>
      </c>
      <c r="F40" s="65"/>
      <c r="G40" s="255" t="s">
        <v>701</v>
      </c>
      <c r="H40" s="792" t="s">
        <v>680</v>
      </c>
      <c r="I40" s="897"/>
      <c r="J40" s="897"/>
      <c r="K40" s="897"/>
      <c r="L40" s="897"/>
      <c r="M40" s="897"/>
      <c r="N40" s="897"/>
      <c r="O40" s="897"/>
      <c r="P40" s="103" t="str">
        <f t="shared" si="10"/>
        <v>MBTOGS</v>
      </c>
      <c r="Q40" s="67">
        <f>1/INDEX(Analytica!$AA$17:$AE$48,MATCH($P40,Analytica!$A$17:$A$48,0),MATCH(Q$16,Analytica!$AA$16:$AE$16,0))</f>
        <v>4.9810534104362922</v>
      </c>
      <c r="R40" s="67">
        <f t="array" ref="R40">IF($J$1,Q40*(1+INDEX(R$1:R$2,MATCH($B40,$N$1:$N$2,0)))^(R$16-Q$16),INDEX(AEA2012_ZAR2022!$AC$6:$AG$104,MATCH($G40&amp;$H40,AEA2012_ZAR2022!$A$6:$A$104&amp;AEA2012_ZAR2022!$B$6:$B$104,0),MATCH(R$16,AEA2012_ZAR2022!$AC$4:$AG$4,0)))</f>
        <v>4.9067105656538548</v>
      </c>
      <c r="S40" s="67">
        <f t="array" ref="S40">IF($J$1,R40*(1+INDEX(S$1:S$2,MATCH($B40,$N$1:$N$2,0)))^(S$16-R$16),INDEX(AEA2012_ZAR2022!$AC$6:$AG$104,MATCH($G40&amp;$H40,AEA2012_ZAR2022!$A$6:$A$104&amp;AEA2012_ZAR2022!$B$6:$B$104,0),MATCH(S$16,AEA2012_ZAR2022!$AC$4:$AG$4,0)))</f>
        <v>4.5508822132460063</v>
      </c>
      <c r="T40" s="67">
        <f t="array" ref="T40">IF($J$1,S40*(1+INDEX(T$1:T$2,MATCH($B40,$N$1:$N$2,0)))^(T$16-S$16),INDEX(AEA2012_ZAR2022!$AC$6:$AG$104,MATCH($G40&amp;$H40,AEA2012_ZAR2022!$A$6:$A$104&amp;AEA2012_ZAR2022!$B$6:$B$104,0),MATCH(T$16,AEA2012_ZAR2022!$AC$4:$AG$4,0)))</f>
        <v>4.1157362991360831</v>
      </c>
      <c r="U40" s="67">
        <f t="array" ref="U40">IF($J$1,T40*(1+INDEX(U$1:U$2,MATCH($B40,$N$1:$N$2,0)))^(U$16-T$16),INDEX(AEA2012_ZAR2022!$AC$6:$AG$104,MATCH($G40&amp;$H40,AEA2012_ZAR2022!$A$6:$A$104&amp;AEA2012_ZAR2022!$B$6:$B$104,0),MATCH(U$16,AEA2012_ZAR2022!$AC$4:$AG$4,0)))</f>
        <v>3.7221981344017476</v>
      </c>
      <c r="V40" s="67"/>
      <c r="W40" s="256">
        <f t="shared" si="8"/>
        <v>-4.9750416666666337E-3</v>
      </c>
      <c r="X40" s="256">
        <f t="shared" si="9"/>
        <v>-8.0468874575123986E-3</v>
      </c>
      <c r="AD40" s="61" t="str">
        <f t="shared" si="5"/>
        <v>MBT-OGS</v>
      </c>
      <c r="AE40" s="80"/>
      <c r="AF40" s="80"/>
      <c r="AG40" s="80"/>
      <c r="AH40" s="80"/>
      <c r="AI40" s="80"/>
    </row>
    <row r="41" spans="1:35" x14ac:dyDescent="0.25">
      <c r="A41" s="61" t="s">
        <v>506</v>
      </c>
      <c r="B41" s="61" t="s">
        <v>613</v>
      </c>
      <c r="C41" s="61" t="s">
        <v>61</v>
      </c>
      <c r="D41" s="61" t="str">
        <f t="shared" si="6"/>
        <v>MBT</v>
      </c>
      <c r="E41" s="61" t="s">
        <v>680</v>
      </c>
      <c r="F41" s="65"/>
      <c r="G41" s="255" t="s">
        <v>701</v>
      </c>
      <c r="H41" s="792" t="s">
        <v>680</v>
      </c>
      <c r="I41" s="897"/>
      <c r="J41" s="897"/>
      <c r="K41" s="897"/>
      <c r="L41" s="897"/>
      <c r="M41" s="897"/>
      <c r="N41" s="897"/>
      <c r="O41" s="897"/>
      <c r="P41" s="103" t="str">
        <f t="shared" si="10"/>
        <v>MBTBGS</v>
      </c>
      <c r="Q41" s="67">
        <f>INDEX('Vehicle data '!$AD$20:$AD$110,MATCH($P41,'Vehicle data '!$AC$20:$AC$110,0))/INDEX('Vehicle data '!$AD$20:$AD$110,MATCH($P$40,'Vehicle data '!$AC$20:$AC$110,0))*Q$40</f>
        <v>4.9810534104362922</v>
      </c>
      <c r="R41" s="67">
        <f t="array" ref="R41">IF($J$1,Q41*(1+INDEX(R$1:R$2,MATCH($B41,$N$1:$N$2,0)))^(R$16-Q$16),INDEX(AEA2012_ZAR2022!$AC$6:$AG$104,MATCH($G41&amp;$H41,AEA2012_ZAR2022!$A$6:$A$104&amp;AEA2012_ZAR2022!$B$6:$B$104,0),MATCH(R$16,AEA2012_ZAR2022!$AC$4:$AG$4,0)))</f>
        <v>4.9067105656538548</v>
      </c>
      <c r="S41" s="67">
        <f t="array" ref="S41">IF($J$1,R41*(1+INDEX(S$1:S$2,MATCH($B41,$N$1:$N$2,0)))^(S$16-R$16),INDEX(AEA2012_ZAR2022!$AC$6:$AG$104,MATCH($G41&amp;$H41,AEA2012_ZAR2022!$A$6:$A$104&amp;AEA2012_ZAR2022!$B$6:$B$104,0),MATCH(S$16,AEA2012_ZAR2022!$AC$4:$AG$4,0)))</f>
        <v>4.5508822132460063</v>
      </c>
      <c r="T41" s="67">
        <f t="array" ref="T41">IF($J$1,S41*(1+INDEX(T$1:T$2,MATCH($B41,$N$1:$N$2,0)))^(T$16-S$16),INDEX(AEA2012_ZAR2022!$AC$6:$AG$104,MATCH($G41&amp;$H41,AEA2012_ZAR2022!$A$6:$A$104&amp;AEA2012_ZAR2022!$B$6:$B$104,0),MATCH(T$16,AEA2012_ZAR2022!$AC$4:$AG$4,0)))</f>
        <v>4.1157362991360831</v>
      </c>
      <c r="U41" s="67">
        <f t="array" ref="U41">IF($J$1,T41*(1+INDEX(U$1:U$2,MATCH($B41,$N$1:$N$2,0)))^(U$16-T$16),INDEX(AEA2012_ZAR2022!$AC$6:$AG$104,MATCH($G41&amp;$H41,AEA2012_ZAR2022!$A$6:$A$104&amp;AEA2012_ZAR2022!$B$6:$B$104,0),MATCH(U$16,AEA2012_ZAR2022!$AC$4:$AG$4,0)))</f>
        <v>3.7221981344017476</v>
      </c>
      <c r="V41" s="67"/>
      <c r="W41" s="256">
        <f t="shared" si="8"/>
        <v>-4.9750416666666337E-3</v>
      </c>
      <c r="X41" s="256">
        <f t="shared" si="9"/>
        <v>-8.0468874575123986E-3</v>
      </c>
      <c r="AD41" s="61" t="str">
        <f t="shared" si="5"/>
        <v>MBT-BGS</v>
      </c>
      <c r="AE41" s="80"/>
      <c r="AF41" s="80"/>
      <c r="AG41" s="80"/>
      <c r="AH41" s="80"/>
      <c r="AI41" s="80"/>
    </row>
    <row r="42" spans="1:35" x14ac:dyDescent="0.25">
      <c r="A42" s="61" t="s">
        <v>511</v>
      </c>
      <c r="B42" s="61" t="s">
        <v>613</v>
      </c>
      <c r="C42" s="61" t="s">
        <v>61</v>
      </c>
      <c r="D42" s="61" t="str">
        <f t="shared" si="6"/>
        <v>MBT</v>
      </c>
      <c r="E42" s="61" t="s">
        <v>680</v>
      </c>
      <c r="F42" s="65"/>
      <c r="G42" s="255" t="s">
        <v>701</v>
      </c>
      <c r="H42" s="792" t="s">
        <v>687</v>
      </c>
      <c r="I42" s="897"/>
      <c r="J42" s="897"/>
      <c r="K42" s="897"/>
      <c r="L42" s="897"/>
      <c r="M42" s="897"/>
      <c r="N42" s="897"/>
      <c r="O42" s="897"/>
      <c r="P42" s="103" t="str">
        <f t="shared" si="10"/>
        <v>MBTODS</v>
      </c>
      <c r="Q42" s="67">
        <f>1/INDEX(Analytica!$AA$17:$AE$48,MATCH($P42,Analytica!$A$17:$A$48,0),MATCH(Q$16,Analytica!$AA$16:$AE$16,0))</f>
        <v>4.2205316616343254</v>
      </c>
      <c r="R42" s="67">
        <f t="array" ref="R42">IF($J$1,Q42*(1+INDEX(R$1:R$2,MATCH($B42,$N$1:$N$2,0)))^(R$16-Q$16),INDEX(AEA2012_ZAR2022!$AC$6:$AG$104,MATCH($G42&amp;$H42,AEA2012_ZAR2022!$A$6:$A$104&amp;AEA2012_ZAR2022!$B$6:$B$104,0),MATCH(R$16,AEA2012_ZAR2022!$AC$4:$AG$4,0)))</f>
        <v>4.1575396990179758</v>
      </c>
      <c r="S42" s="67">
        <f t="array" ref="S42">IF($J$1,R42*(1+INDEX(S$1:S$2,MATCH($B42,$N$1:$N$2,0)))^(S$16-R$16),INDEX(AEA2012_ZAR2022!$AC$6:$AG$104,MATCH($G42&amp;$H42,AEA2012_ZAR2022!$A$6:$A$104&amp;AEA2012_ZAR2022!$B$6:$B$104,0),MATCH(S$16,AEA2012_ZAR2022!$AC$4:$AG$4,0)))</f>
        <v>3.8560402562900649</v>
      </c>
      <c r="T42" s="67">
        <f t="array" ref="T42">IF($J$1,S42*(1+INDEX(T$1:T$2,MATCH($B42,$N$1:$N$2,0)))^(T$16-S$16),INDEX(AEA2012_ZAR2022!$AC$6:$AG$104,MATCH($G42&amp;$H42,AEA2012_ZAR2022!$A$6:$A$104&amp;AEA2012_ZAR2022!$B$6:$B$104,0),MATCH(T$16,AEA2012_ZAR2022!$AC$4:$AG$4,0)))</f>
        <v>3.4873336883010904</v>
      </c>
      <c r="U42" s="67">
        <f t="array" ref="U42">IF($J$1,T42*(1+INDEX(U$1:U$2,MATCH($B42,$N$1:$N$2,0)))^(U$16-T$16),INDEX(AEA2012_ZAR2022!$AC$6:$AG$104,MATCH($G42&amp;$H42,AEA2012_ZAR2022!$A$6:$A$104&amp;AEA2012_ZAR2022!$B$6:$B$104,0),MATCH(U$16,AEA2012_ZAR2022!$AC$4:$AG$4,0)))</f>
        <v>3.1538820772738467</v>
      </c>
      <c r="V42" s="67"/>
      <c r="W42" s="256">
        <f t="shared" si="8"/>
        <v>-4.9750416666666294E-3</v>
      </c>
      <c r="X42" s="256">
        <f t="shared" si="9"/>
        <v>-8.0468874575124021E-3</v>
      </c>
      <c r="AD42" s="61" t="str">
        <f t="shared" si="5"/>
        <v>MBT-ODS</v>
      </c>
      <c r="AE42" s="80"/>
      <c r="AF42" s="80"/>
      <c r="AG42" s="80"/>
      <c r="AH42" s="80"/>
      <c r="AI42" s="80"/>
    </row>
    <row r="43" spans="1:35" x14ac:dyDescent="0.25">
      <c r="A43" s="61" t="s">
        <v>501</v>
      </c>
      <c r="B43" s="61" t="s">
        <v>613</v>
      </c>
      <c r="C43" s="61" t="s">
        <v>61</v>
      </c>
      <c r="D43" s="61" t="str">
        <f t="shared" si="6"/>
        <v>MBT</v>
      </c>
      <c r="E43" s="61" t="s">
        <v>680</v>
      </c>
      <c r="F43" s="65"/>
      <c r="G43" s="255" t="s">
        <v>701</v>
      </c>
      <c r="H43" s="792" t="s">
        <v>692</v>
      </c>
      <c r="I43" s="897"/>
      <c r="J43" s="897"/>
      <c r="K43" s="897"/>
      <c r="L43" s="897"/>
      <c r="M43" s="897"/>
      <c r="N43" s="897"/>
      <c r="O43" s="897"/>
      <c r="P43" s="103" t="str">
        <f t="shared" si="10"/>
        <v>MBTELC</v>
      </c>
      <c r="Q43" s="67">
        <f>INDEX('Vehicle data '!$AD$20:$AD$110,MATCH($P43,'Vehicle data '!$AC$20:$AC$110,0))/INDEX('Vehicle data '!$AD$20:$AD$110,MATCH($P$40,'Vehicle data '!$AC$20:$AC$110,0))*Q$40</f>
        <v>1.2464721438132793</v>
      </c>
      <c r="R43" s="67">
        <f t="array" ref="R43">IF($J$1,Q43*(1+INDEX(R$1:R$2,MATCH($B43,$N$1:$N$2,0)))^(R$16-Q$16),INDEX(AEA2012_ZAR2022!$AC$6:$AG$104,MATCH($G43&amp;$H43,AEA2012_ZAR2022!$A$6:$A$104&amp;AEA2012_ZAR2022!$B$6:$B$104,0),MATCH(R$16,AEA2012_ZAR2022!$AC$4:$AG$4,0)))</f>
        <v>1.2278683912578481</v>
      </c>
      <c r="S43" s="67">
        <f t="array" ref="S43">IF($J$1,R43*(1+INDEX(S$1:S$2,MATCH($B43,$N$1:$N$2,0)))^(S$16-R$16),INDEX(AEA2012_ZAR2022!$AC$6:$AG$104,MATCH($G43&amp;$H43,AEA2012_ZAR2022!$A$6:$A$104&amp;AEA2012_ZAR2022!$B$6:$B$104,0),MATCH(S$16,AEA2012_ZAR2022!$AC$4:$AG$4,0)))</f>
        <v>1.1388249515055109</v>
      </c>
      <c r="T43" s="67">
        <f t="array" ref="T43">IF($J$1,S43*(1+INDEX(T$1:T$2,MATCH($B43,$N$1:$N$2,0)))^(T$16-S$16),INDEX(AEA2012_ZAR2022!$AC$6:$AG$104,MATCH($G43&amp;$H43,AEA2012_ZAR2022!$A$6:$A$104&amp;AEA2012_ZAR2022!$B$6:$B$104,0),MATCH(T$16,AEA2012_ZAR2022!$AC$4:$AG$4,0)))</f>
        <v>1.0299328727143549</v>
      </c>
      <c r="U43" s="67">
        <f t="array" ref="U43">IF($J$1,T43*(1+INDEX(U$1:U$2,MATCH($B43,$N$1:$N$2,0)))^(U$16-T$16),INDEX(AEA2012_ZAR2022!$AC$6:$AG$104,MATCH($G43&amp;$H43,AEA2012_ZAR2022!$A$6:$A$104&amp;AEA2012_ZAR2022!$B$6:$B$104,0),MATCH(U$16,AEA2012_ZAR2022!$AC$4:$AG$4,0)))</f>
        <v>0.93145282854518696</v>
      </c>
      <c r="V43" s="67"/>
      <c r="W43" s="256">
        <f t="shared" si="8"/>
        <v>-4.9750416666666823E-3</v>
      </c>
      <c r="X43" s="256">
        <f t="shared" si="9"/>
        <v>-8.0468874575123986E-3</v>
      </c>
      <c r="AD43" s="61" t="str">
        <f t="shared" si="5"/>
        <v>MBT-ELC</v>
      </c>
      <c r="AE43" s="80"/>
      <c r="AF43" s="80"/>
      <c r="AG43" s="80"/>
      <c r="AH43" s="80"/>
      <c r="AI43" s="80"/>
    </row>
    <row r="44" spans="1:35" x14ac:dyDescent="0.25">
      <c r="A44" s="61" t="s">
        <v>504</v>
      </c>
      <c r="B44" s="61" t="s">
        <v>613</v>
      </c>
      <c r="C44" s="61" t="s">
        <v>61</v>
      </c>
      <c r="D44" s="61" t="str">
        <f t="shared" si="6"/>
        <v>MBT</v>
      </c>
      <c r="E44" s="61" t="s">
        <v>680</v>
      </c>
      <c r="F44" s="65"/>
      <c r="G44" s="255" t="s">
        <v>701</v>
      </c>
      <c r="H44" s="792" t="s">
        <v>699</v>
      </c>
      <c r="I44" s="897"/>
      <c r="J44" s="897"/>
      <c r="K44" s="897"/>
      <c r="L44" s="897"/>
      <c r="M44" s="897"/>
      <c r="N44" s="897"/>
      <c r="O44" s="897"/>
      <c r="P44" s="103" t="str">
        <f t="shared" si="10"/>
        <v>MBTHGN</v>
      </c>
      <c r="Q44" s="67">
        <f>INDEX('Vehicle data '!$AD$20:$AD$110,MATCH($P44,'Vehicle data '!$AC$20:$AC$110,0))/INDEX('Vehicle data '!$AD$20:$AD$110,MATCH($P$40,'Vehicle data '!$AC$20:$AC$110,0))*Q$40</f>
        <v>2.4542518818628487</v>
      </c>
      <c r="R44" s="67">
        <f t="array" ref="R44">IF($J$1,Q44*(1+INDEX(R$1:R$2,MATCH($B44,$N$1:$N$2,0)))^(R$16-Q$16),INDEX(AEA2012_ZAR2022!$AC$6:$AG$104,MATCH($G44&amp;$H44,AEA2012_ZAR2022!$A$6:$A$104&amp;AEA2012_ZAR2022!$B$6:$B$104,0),MATCH(R$16,AEA2012_ZAR2022!$AC$4:$AG$4,0)))</f>
        <v>2.4176218657445605</v>
      </c>
      <c r="S44" s="67">
        <f t="array" ref="S44">IF($J$1,R44*(1+INDEX(S$1:S$2,MATCH($B44,$N$1:$N$2,0)))^(S$16-R$16),INDEX(AEA2012_ZAR2022!$AC$6:$AG$104,MATCH($G44&amp;$H44,AEA2012_ZAR2022!$A$6:$A$104&amp;AEA2012_ZAR2022!$B$6:$B$104,0),MATCH(S$16,AEA2012_ZAR2022!$AC$4:$AG$4,0)))</f>
        <v>2.2422990310832418</v>
      </c>
      <c r="T44" s="67">
        <f t="array" ref="T44">IF($J$1,S44*(1+INDEX(T$1:T$2,MATCH($B44,$N$1:$N$2,0)))^(T$16-S$16),INDEX(AEA2012_ZAR2022!$AC$6:$AG$104,MATCH($G44&amp;$H44,AEA2012_ZAR2022!$A$6:$A$104&amp;AEA2012_ZAR2022!$B$6:$B$104,0),MATCH(T$16,AEA2012_ZAR2022!$AC$4:$AG$4,0)))</f>
        <v>2.0278950505212934</v>
      </c>
      <c r="U44" s="67">
        <f t="array" ref="U44">IF($J$1,T44*(1+INDEX(U$1:U$2,MATCH($B44,$N$1:$N$2,0)))^(U$16-T$16),INDEX(AEA2012_ZAR2022!$AC$6:$AG$104,MATCH($G44&amp;$H44,AEA2012_ZAR2022!$A$6:$A$104&amp;AEA2012_ZAR2022!$B$6:$B$104,0),MATCH(U$16,AEA2012_ZAR2022!$AC$4:$AG$4,0)))</f>
        <v>1.8339919336905313</v>
      </c>
      <c r="V44" s="67"/>
      <c r="W44" s="256">
        <f t="shared" si="8"/>
        <v>-4.9750416666666597E-3</v>
      </c>
      <c r="X44" s="256">
        <f t="shared" si="9"/>
        <v>-8.0468874575124055E-3</v>
      </c>
      <c r="AD44" s="61" t="str">
        <f t="shared" si="5"/>
        <v>MBT-HGN</v>
      </c>
      <c r="AE44" s="80"/>
      <c r="AF44" s="80"/>
      <c r="AG44" s="80"/>
      <c r="AH44" s="80"/>
      <c r="AI44" s="80"/>
    </row>
    <row r="45" spans="1:35" x14ac:dyDescent="0.25">
      <c r="A45" s="61" t="s">
        <v>509</v>
      </c>
      <c r="B45" s="61" t="s">
        <v>613</v>
      </c>
      <c r="C45" s="61" t="s">
        <v>61</v>
      </c>
      <c r="D45" s="61" t="str">
        <f t="shared" si="6"/>
        <v>MBT</v>
      </c>
      <c r="E45" s="61" t="s">
        <v>680</v>
      </c>
      <c r="F45" s="65"/>
      <c r="G45" s="255" t="s">
        <v>701</v>
      </c>
      <c r="H45" s="792" t="s">
        <v>700</v>
      </c>
      <c r="I45" s="897"/>
      <c r="J45" s="897"/>
      <c r="K45" s="897"/>
      <c r="L45" s="897"/>
      <c r="M45" s="897"/>
      <c r="N45" s="897"/>
      <c r="O45" s="897"/>
      <c r="P45" s="103" t="str">
        <f t="shared" si="10"/>
        <v>MBTGAS</v>
      </c>
      <c r="Q45" s="67">
        <f>INDEX('Vehicle data '!$AD$20:$AD$110,MATCH($P45,'Vehicle data '!$AC$20:$AC$110,0))/INDEX('Vehicle data '!$AD$20:$AD$110,MATCH($P$40,'Vehicle data '!$AC$20:$AC$110,0))*Q$40</f>
        <v>5.8443708343380978</v>
      </c>
      <c r="R45" s="67">
        <f t="array" ref="R45">IF($J$1,Q45*(1+INDEX(R$1:R$2,MATCH($B45,$N$1:$N$2,0)))^(R$16-Q$16),INDEX(AEA2012_ZAR2022!$AC$6:$AG$104,MATCH($G45&amp;$H45,AEA2012_ZAR2022!$A$6:$A$104&amp;AEA2012_ZAR2022!$B$6:$B$104,0),MATCH(R$16,AEA2012_ZAR2022!$AC$4:$AG$4,0)))</f>
        <v>5.7571428690892477</v>
      </c>
      <c r="S45" s="67">
        <f t="array" ref="S45">IF($J$1,R45*(1+INDEX(S$1:S$2,MATCH($B45,$N$1:$N$2,0)))^(S$16-R$16),INDEX(AEA2012_ZAR2022!$AC$6:$AG$104,MATCH($G45&amp;$H45,AEA2012_ZAR2022!$A$6:$A$104&amp;AEA2012_ZAR2022!$B$6:$B$104,0),MATCH(S$16,AEA2012_ZAR2022!$AC$4:$AG$4,0)))</f>
        <v>5.3396422575748534</v>
      </c>
      <c r="T45" s="67">
        <f t="array" ref="T45">IF($J$1,S45*(1+INDEX(T$1:T$2,MATCH($B45,$N$1:$N$2,0)))^(T$16-S$16),INDEX(AEA2012_ZAR2022!$AC$6:$AG$104,MATCH($G45&amp;$H45,AEA2012_ZAR2022!$A$6:$A$104&amp;AEA2012_ZAR2022!$B$6:$B$104,0),MATCH(T$16,AEA2012_ZAR2022!$AC$4:$AG$4,0)))</f>
        <v>4.8290767447102425</v>
      </c>
      <c r="U45" s="67">
        <f t="array" ref="U45">IF($J$1,T45*(1+INDEX(U$1:U$2,MATCH($B45,$N$1:$N$2,0)))^(U$16-T$16),INDEX(AEA2012_ZAR2022!$AC$6:$AG$104,MATCH($G45&amp;$H45,AEA2012_ZAR2022!$A$6:$A$104&amp;AEA2012_ZAR2022!$B$6:$B$104,0),MATCH(U$16,AEA2012_ZAR2022!$AC$4:$AG$4,0)))</f>
        <v>4.3673304467578111</v>
      </c>
      <c r="V45" s="67"/>
      <c r="W45" s="256">
        <f t="shared" si="8"/>
        <v>-4.9750416666666511E-3</v>
      </c>
      <c r="X45" s="256">
        <f t="shared" si="9"/>
        <v>-8.0468874575123986E-3</v>
      </c>
      <c r="AD45" s="61" t="str">
        <f t="shared" si="5"/>
        <v>MBT-GAS</v>
      </c>
      <c r="AE45" s="80"/>
      <c r="AF45" s="80"/>
      <c r="AG45" s="80"/>
      <c r="AH45" s="80"/>
      <c r="AI45" s="80"/>
    </row>
    <row r="46" spans="1:35" x14ac:dyDescent="0.25">
      <c r="B46" s="61" t="s">
        <v>613</v>
      </c>
      <c r="D46" s="61" t="str">
        <f t="shared" si="6"/>
        <v/>
      </c>
      <c r="F46" s="65"/>
      <c r="G46" s="255"/>
      <c r="H46" s="259"/>
      <c r="I46" s="897"/>
      <c r="J46" s="897"/>
      <c r="K46" s="897"/>
      <c r="L46" s="897"/>
      <c r="M46" s="897"/>
      <c r="N46" s="897"/>
      <c r="O46" s="897"/>
      <c r="P46" s="103" t="str">
        <f t="shared" si="10"/>
        <v/>
      </c>
      <c r="Q46" s="67" t="e">
        <f>1/INDEX(Analytica!$AA$17:$AE$48,MATCH($P46,Analytica!$A$17:$A$48,0),MATCH(Q$16,Analytica!$AA$16:$AE$16,0))</f>
        <v>#N/A</v>
      </c>
      <c r="R46" s="67" t="e">
        <f t="array" ref="R46">IF($J$1,Q46*(1+INDEX(R$1:R$2,MATCH($B46,$N$1:$N$2,0)))^(R$16-Q$16),INDEX(AEA2012_ZAR2022!$AC$6:$AG$104,MATCH($G46&amp;$H46,AEA2012_ZAR2022!$A$6:$A$104&amp;AEA2012_ZAR2022!$B$6:$B$104,0),MATCH(R$16,AEA2012_ZAR2022!$AC$4:$AG$4,0)))</f>
        <v>#N/A</v>
      </c>
      <c r="S46" s="67" t="e">
        <f t="array" ref="S46">IF($J$1,R46*(1+INDEX(S$1:S$2,MATCH($B46,$N$1:$N$2,0)))^(S$16-R$16),INDEX(AEA2012_ZAR2022!$AC$6:$AG$104,MATCH($G46&amp;$H46,AEA2012_ZAR2022!$A$6:$A$104&amp;AEA2012_ZAR2022!$B$6:$B$104,0),MATCH(S$16,AEA2012_ZAR2022!$AC$4:$AG$4,0)))</f>
        <v>#N/A</v>
      </c>
      <c r="T46" s="67" t="e">
        <f t="array" ref="T46">IF($J$1,S46*(1+INDEX(T$1:T$2,MATCH($B46,$N$1:$N$2,0)))^(T$16-S$16),INDEX(AEA2012_ZAR2022!$AC$6:$AG$104,MATCH($G46&amp;$H46,AEA2012_ZAR2022!$A$6:$A$104&amp;AEA2012_ZAR2022!$B$6:$B$104,0),MATCH(T$16,AEA2012_ZAR2022!$AC$4:$AG$4,0)))</f>
        <v>#N/A</v>
      </c>
      <c r="U46" s="67" t="e">
        <f t="array" ref="U46">IF($J$1,T46*(1+INDEX(U$1:U$2,MATCH($B46,$N$1:$N$2,0)))^(U$16-T$16),INDEX(AEA2012_ZAR2022!$AC$6:$AG$104,MATCH($G46&amp;$H46,AEA2012_ZAR2022!$A$6:$A$104&amp;AEA2012_ZAR2022!$B$6:$B$104,0),MATCH(U$16,AEA2012_ZAR2022!$AC$4:$AG$4,0)))</f>
        <v>#N/A</v>
      </c>
      <c r="V46" s="67"/>
      <c r="W46" s="256" t="e">
        <f t="shared" si="8"/>
        <v>#N/A</v>
      </c>
      <c r="X46" s="256" t="e">
        <f t="shared" si="9"/>
        <v>#N/A</v>
      </c>
      <c r="AD46" s="61" t="str">
        <f t="shared" si="5"/>
        <v>-</v>
      </c>
      <c r="AE46" s="80"/>
      <c r="AF46" s="80"/>
      <c r="AG46" s="80"/>
      <c r="AH46" s="80"/>
      <c r="AI46" s="80"/>
    </row>
    <row r="47" spans="1:35" x14ac:dyDescent="0.25">
      <c r="A47" s="61" t="s">
        <v>573</v>
      </c>
      <c r="B47" s="61" t="s">
        <v>613</v>
      </c>
      <c r="C47" s="61" t="s">
        <v>714</v>
      </c>
      <c r="D47" s="61" t="str">
        <f t="shared" si="6"/>
        <v>MOT</v>
      </c>
      <c r="E47" s="61" t="s">
        <v>680</v>
      </c>
      <c r="F47" s="65"/>
      <c r="G47" s="255" t="s">
        <v>715</v>
      </c>
      <c r="H47" s="792" t="s">
        <v>680</v>
      </c>
      <c r="I47" s="897"/>
      <c r="J47" s="897"/>
      <c r="K47" s="897"/>
      <c r="L47" s="897"/>
      <c r="M47" s="897"/>
      <c r="N47" s="897"/>
      <c r="O47" s="897"/>
      <c r="P47" s="103" t="str">
        <f t="shared" si="10"/>
        <v>MOTOGS</v>
      </c>
      <c r="Q47" s="67">
        <f>1/INDEX(Analytica!$AA$17:$AE$48,MATCH($P47,Analytica!$A$17:$A$48,0),MATCH(Q$16,Analytica!$AA$16:$AE$16,0))</f>
        <v>1.7098493444353202</v>
      </c>
      <c r="R47" s="67">
        <f t="array" ref="R47">IF($J$1,Q47*(1+INDEX(R$1:R$2,MATCH($B47,$N$1:$N$2,0)))^(R$16-Q$16),INDEX(AEA2012_ZAR2022!$AC$6:$AG$104,MATCH($G47&amp;$H47,AEA2012_ZAR2022!$A$6:$A$104&amp;AEA2012_ZAR2022!$B$6:$B$104,0),MATCH(R$16,AEA2012_ZAR2022!$AC$4:$AG$4,0)))</f>
        <v>1.6843296292384551</v>
      </c>
      <c r="S47" s="67">
        <f t="array" ref="S47">IF($J$1,R47*(1+INDEX(S$1:S$2,MATCH($B47,$N$1:$N$2,0)))^(S$16-R$16),INDEX(AEA2012_ZAR2022!$AC$6:$AG$104,MATCH($G47&amp;$H47,AEA2012_ZAR2022!$A$6:$A$104&amp;AEA2012_ZAR2022!$B$6:$B$104,0),MATCH(S$16,AEA2012_ZAR2022!$AC$4:$AG$4,0)))</f>
        <v>1.5621842063804479</v>
      </c>
      <c r="T47" s="67">
        <f t="array" ref="T47">IF($J$1,S47*(1+INDEX(T$1:T$2,MATCH($B47,$N$1:$N$2,0)))^(T$16-S$16),INDEX(AEA2012_ZAR2022!$AC$6:$AG$104,MATCH($G47&amp;$H47,AEA2012_ZAR2022!$A$6:$A$104&amp;AEA2012_ZAR2022!$B$6:$B$104,0),MATCH(T$16,AEA2012_ZAR2022!$AC$4:$AG$4,0)))</f>
        <v>1.4128113941123317</v>
      </c>
      <c r="U47" s="67">
        <f t="array" ref="U47">IF($J$1,T47*(1+INDEX(U$1:U$2,MATCH($B47,$N$1:$N$2,0)))^(U$16-T$16),INDEX(AEA2012_ZAR2022!$AC$6:$AG$104,MATCH($G47&amp;$H47,AEA2012_ZAR2022!$A$6:$A$104&amp;AEA2012_ZAR2022!$B$6:$B$104,0),MATCH(U$16,AEA2012_ZAR2022!$AC$4:$AG$4,0)))</f>
        <v>1.277721300203392</v>
      </c>
      <c r="V47" s="67"/>
      <c r="W47" s="256">
        <f t="shared" si="8"/>
        <v>-4.9750416666666528E-3</v>
      </c>
      <c r="X47" s="256">
        <f t="shared" si="9"/>
        <v>-8.0468874575124003E-3</v>
      </c>
      <c r="AD47" s="61" t="str">
        <f t="shared" si="5"/>
        <v>MOT-OGS</v>
      </c>
      <c r="AE47" s="80"/>
      <c r="AF47" s="80"/>
      <c r="AG47" s="80"/>
      <c r="AH47" s="80"/>
      <c r="AI47" s="80"/>
    </row>
    <row r="48" spans="1:35" x14ac:dyDescent="0.25">
      <c r="A48" s="61" t="s">
        <v>511</v>
      </c>
      <c r="B48" s="61" t="s">
        <v>613</v>
      </c>
      <c r="C48" s="61" t="s">
        <v>714</v>
      </c>
      <c r="D48" s="61" t="str">
        <f t="shared" si="6"/>
        <v>MOT</v>
      </c>
      <c r="E48" s="61" t="s">
        <v>680</v>
      </c>
      <c r="F48" s="65"/>
      <c r="G48" s="255" t="s">
        <v>715</v>
      </c>
      <c r="H48" s="792" t="s">
        <v>688</v>
      </c>
      <c r="I48" s="897"/>
      <c r="J48" s="897"/>
      <c r="K48" s="897"/>
      <c r="L48" s="897"/>
      <c r="M48" s="897"/>
      <c r="N48" s="897"/>
      <c r="O48" s="897"/>
      <c r="P48" s="103" t="str">
        <f t="shared" si="10"/>
        <v>MOTODS</v>
      </c>
      <c r="Q48" s="67">
        <f>INDEX('Vehicle data '!$AD$20:$AD$110,MATCH($P48,'Vehicle data '!$AC$20:$AC$110,0))/INDEX('Vehicle data '!$AD$20:$AD$110,MATCH($P$47,'Vehicle data '!$AC$20:$AC$110,0))*Q$47</f>
        <v>1.2823870083264901</v>
      </c>
      <c r="R48" s="67">
        <f t="array" ref="R48">IF($J$1,Q48*(1+INDEX(R$1:R$2,MATCH($B48,$N$1:$N$2,0)))^(R$16-Q$16),INDEX(AEA2012_ZAR2022!$AC$6:$AG$104,MATCH($G48&amp;$H48,AEA2012_ZAR2022!$A$6:$A$104&amp;AEA2012_ZAR2022!$B$6:$B$104,0),MATCH(R$16,AEA2012_ZAR2022!$AC$4:$AG$4,0)))</f>
        <v>1.2632472219288413</v>
      </c>
      <c r="S48" s="67">
        <f t="array" ref="S48">IF($J$1,R48*(1+INDEX(S$1:S$2,MATCH($B48,$N$1:$N$2,0)))^(S$16-R$16),INDEX(AEA2012_ZAR2022!$AC$6:$AG$104,MATCH($G48&amp;$H48,AEA2012_ZAR2022!$A$6:$A$104&amp;AEA2012_ZAR2022!$B$6:$B$104,0),MATCH(S$16,AEA2012_ZAR2022!$AC$4:$AG$4,0)))</f>
        <v>1.1716381547853358</v>
      </c>
      <c r="T48" s="67">
        <f t="array" ref="T48">IF($J$1,S48*(1+INDEX(T$1:T$2,MATCH($B48,$N$1:$N$2,0)))^(T$16-S$16),INDEX(AEA2012_ZAR2022!$AC$6:$AG$104,MATCH($G48&amp;$H48,AEA2012_ZAR2022!$A$6:$A$104&amp;AEA2012_ZAR2022!$B$6:$B$104,0),MATCH(T$16,AEA2012_ZAR2022!$AC$4:$AG$4,0)))</f>
        <v>1.0596085455842486</v>
      </c>
      <c r="U48" s="67">
        <f t="array" ref="U48">IF($J$1,T48*(1+INDEX(U$1:U$2,MATCH($B48,$N$1:$N$2,0)))^(U$16-T$16),INDEX(AEA2012_ZAR2022!$AC$6:$AG$104,MATCH($G48&amp;$H48,AEA2012_ZAR2022!$A$6:$A$104&amp;AEA2012_ZAR2022!$B$6:$B$104,0),MATCH(U$16,AEA2012_ZAR2022!$AC$4:$AG$4,0)))</f>
        <v>0.95829097515254391</v>
      </c>
      <c r="V48" s="67"/>
      <c r="W48" s="256">
        <f t="shared" si="8"/>
        <v>-4.9750416666666381E-3</v>
      </c>
      <c r="X48" s="256">
        <f t="shared" si="9"/>
        <v>-8.0468874575124021E-3</v>
      </c>
      <c r="AD48" s="61" t="str">
        <f t="shared" si="5"/>
        <v>MOT-ODS</v>
      </c>
      <c r="AE48" s="80"/>
      <c r="AF48" s="80"/>
      <c r="AG48" s="80"/>
      <c r="AH48" s="80"/>
      <c r="AI48" s="80"/>
    </row>
    <row r="49" spans="1:40" x14ac:dyDescent="0.25">
      <c r="A49" s="61" t="s">
        <v>501</v>
      </c>
      <c r="B49" s="61" t="s">
        <v>613</v>
      </c>
      <c r="C49" s="61" t="s">
        <v>714</v>
      </c>
      <c r="D49" s="61" t="str">
        <f t="shared" si="6"/>
        <v>MOT</v>
      </c>
      <c r="E49" s="61" t="s">
        <v>680</v>
      </c>
      <c r="F49"/>
      <c r="G49" s="255" t="s">
        <v>715</v>
      </c>
      <c r="H49" s="792" t="s">
        <v>692</v>
      </c>
      <c r="I49" s="897"/>
      <c r="J49" s="897"/>
      <c r="K49" s="897"/>
      <c r="L49" s="897"/>
      <c r="M49" s="897"/>
      <c r="N49" s="897"/>
      <c r="O49" s="897"/>
      <c r="P49" s="103" t="str">
        <f t="shared" si="10"/>
        <v>MOTELC</v>
      </c>
      <c r="Q49" s="67">
        <f>INDEX('Vehicle data '!$AD$20:$AD$110,MATCH($P49,'Vehicle data '!$AC$20:$AC$110,0))/INDEX('Vehicle data '!$AD$20:$AD$110,MATCH($P$47,'Vehicle data '!$AC$20:$AC$110,0))*Q$47</f>
        <v>0.34474892692687192</v>
      </c>
      <c r="R49" s="67">
        <f t="array" ref="R49">IF($J$1,Q49*(1+INDEX(R$1:R$2,MATCH($B49,$N$1:$N$2,0)))^(R$16-Q$16),INDEX(AEA2012_ZAR2022!$AC$6:$AG$104,MATCH($G49&amp;$H49,AEA2012_ZAR2022!$A$6:$A$104&amp;AEA2012_ZAR2022!$B$6:$B$104,0),MATCH(R$16,AEA2012_ZAR2022!$AC$4:$AG$4,0)))</f>
        <v>0.33960350609887252</v>
      </c>
      <c r="S49" s="67">
        <f t="array" ref="S49">IF($J$1,R49*(1+INDEX(S$1:S$2,MATCH($B49,$N$1:$N$2,0)))^(S$16-R$16),INDEX(AEA2012_ZAR2022!$AC$6:$AG$104,MATCH($G49&amp;$H49,AEA2012_ZAR2022!$A$6:$A$104&amp;AEA2012_ZAR2022!$B$6:$B$104,0),MATCH(S$16,AEA2012_ZAR2022!$AC$4:$AG$4,0)))</f>
        <v>0.31497589572116774</v>
      </c>
      <c r="T49" s="67">
        <f t="array" ref="T49">IF($J$1,S49*(1+INDEX(T$1:T$2,MATCH($B49,$N$1:$N$2,0)))^(T$16-S$16),INDEX(AEA2012_ZAR2022!$AC$6:$AG$104,MATCH($G49&amp;$H49,AEA2012_ZAR2022!$A$6:$A$104&amp;AEA2012_ZAR2022!$B$6:$B$104,0),MATCH(T$16,AEA2012_ZAR2022!$AC$4:$AG$4,0)))</f>
        <v>0.28485855415006645</v>
      </c>
      <c r="U49" s="67">
        <f t="array" ref="U49">IF($J$1,T49*(1+INDEX(U$1:U$2,MATCH($B49,$N$1:$N$2,0)))^(U$16-T$16),INDEX(AEA2012_ZAR2022!$AC$6:$AG$104,MATCH($G49&amp;$H49,AEA2012_ZAR2022!$A$6:$A$104&amp;AEA2012_ZAR2022!$B$6:$B$104,0),MATCH(U$16,AEA2012_ZAR2022!$AC$4:$AG$4,0)))</f>
        <v>0.25762097028624492</v>
      </c>
      <c r="V49" s="67"/>
      <c r="W49" s="256">
        <f t="shared" si="8"/>
        <v>-4.9750416666666407E-3</v>
      </c>
      <c r="X49" s="256">
        <f t="shared" si="9"/>
        <v>-8.0468874575124003E-3</v>
      </c>
      <c r="AD49" s="61" t="str">
        <f t="shared" si="5"/>
        <v>MOT-ELC</v>
      </c>
      <c r="AE49" s="80"/>
      <c r="AF49" s="80"/>
      <c r="AG49" s="80"/>
      <c r="AH49" s="80"/>
      <c r="AI49" s="80"/>
    </row>
    <row r="50" spans="1:40" x14ac:dyDescent="0.25">
      <c r="A50" s="61" t="s">
        <v>504</v>
      </c>
      <c r="B50" s="61" t="s">
        <v>613</v>
      </c>
      <c r="C50" s="61" t="s">
        <v>714</v>
      </c>
      <c r="D50" s="61" t="str">
        <f t="shared" si="6"/>
        <v>MOT</v>
      </c>
      <c r="E50" s="61" t="s">
        <v>680</v>
      </c>
      <c r="F50"/>
      <c r="G50" s="255" t="s">
        <v>715</v>
      </c>
      <c r="H50" s="792" t="s">
        <v>699</v>
      </c>
      <c r="I50" s="897"/>
      <c r="J50" s="897"/>
      <c r="K50" s="897"/>
      <c r="L50" s="897"/>
      <c r="M50" s="897"/>
      <c r="N50" s="897"/>
      <c r="O50" s="897"/>
      <c r="P50" s="103" t="str">
        <f t="shared" si="10"/>
        <v>MOTHGN</v>
      </c>
      <c r="Q50" s="67">
        <f>INDEX('Vehicle data '!$AD$20:$AD$110,MATCH($P50,'Vehicle data '!$AC$20:$AC$110,0))/INDEX('Vehicle data '!$AD$20:$AD$110,MATCH($P$47,'Vehicle data '!$AC$20:$AC$110,0))*Q$47</f>
        <v>0.75771986763983457</v>
      </c>
      <c r="R50" s="67">
        <f t="array" ref="R50">IF($J$1,Q50*(1+INDEX(R$1:R$2,MATCH($B50,$N$1:$N$2,0)))^(R$16-Q$16),INDEX(AEA2012_ZAR2022!$AC$6:$AG$104,MATCH($G50&amp;$H50,AEA2012_ZAR2022!$A$6:$A$104&amp;AEA2012_ZAR2022!$B$6:$B$104,0),MATCH(R$16,AEA2012_ZAR2022!$AC$4:$AG$4,0)))</f>
        <v>0.74641080390032655</v>
      </c>
      <c r="S50" s="67">
        <f t="array" ref="S50">IF($J$1,R50*(1+INDEX(S$1:S$2,MATCH($B50,$N$1:$N$2,0)))^(S$16-R$16),INDEX(AEA2012_ZAR2022!$AC$6:$AG$104,MATCH($G50&amp;$H50,AEA2012_ZAR2022!$A$6:$A$104&amp;AEA2012_ZAR2022!$B$6:$B$104,0),MATCH(S$16,AEA2012_ZAR2022!$AC$4:$AG$4,0)))</f>
        <v>0.6922820504274021</v>
      </c>
      <c r="T50" s="67">
        <f t="array" ref="T50">IF($J$1,S50*(1+INDEX(T$1:T$2,MATCH($B50,$N$1:$N$2,0)))^(T$16-S$16),INDEX(AEA2012_ZAR2022!$AC$6:$AG$104,MATCH($G50&amp;$H50,AEA2012_ZAR2022!$A$6:$A$104&amp;AEA2012_ZAR2022!$B$6:$B$104,0),MATCH(T$16,AEA2012_ZAR2022!$AC$4:$AG$4,0)))</f>
        <v>0.62608747725688363</v>
      </c>
      <c r="U50" s="67">
        <f t="array" ref="U50">IF($J$1,T50*(1+INDEX(U$1:U$2,MATCH($B50,$N$1:$N$2,0)))^(U$16-T$16),INDEX(AEA2012_ZAR2022!$AC$6:$AG$104,MATCH($G50&amp;$H50,AEA2012_ZAR2022!$A$6:$A$104&amp;AEA2012_ZAR2022!$B$6:$B$104,0),MATCH(U$16,AEA2012_ZAR2022!$AC$4:$AG$4,0)))</f>
        <v>0.56622229181860795</v>
      </c>
      <c r="V50" s="67"/>
      <c r="W50" s="256">
        <f t="shared" si="8"/>
        <v>-4.9750416666666814E-3</v>
      </c>
      <c r="X50" s="256">
        <f t="shared" si="9"/>
        <v>-8.0468874575124021E-3</v>
      </c>
      <c r="AD50" s="61" t="str">
        <f t="shared" si="5"/>
        <v>MOT-HGN</v>
      </c>
      <c r="AE50" s="80"/>
      <c r="AF50" s="80"/>
      <c r="AG50" s="80"/>
      <c r="AH50" s="80"/>
      <c r="AI50" s="80"/>
    </row>
    <row r="51" spans="1:40" x14ac:dyDescent="0.25">
      <c r="B51" s="61" t="s">
        <v>613</v>
      </c>
      <c r="D51" s="61" t="str">
        <f t="shared" si="6"/>
        <v/>
      </c>
      <c r="F51"/>
      <c r="G51" s="255"/>
      <c r="H51" s="259"/>
      <c r="I51" s="897"/>
      <c r="J51" s="897"/>
      <c r="K51" s="897"/>
      <c r="L51" s="897"/>
      <c r="M51" s="897"/>
      <c r="N51" s="897"/>
      <c r="O51" s="897"/>
      <c r="P51" s="103" t="str">
        <f t="shared" si="10"/>
        <v/>
      </c>
      <c r="Q51" s="67" t="e">
        <f>1/INDEX(Analytica!$AA$17:$AE$48,MATCH($P51,Analytica!$A$17:$A$48,0),MATCH(Q$16,Analytica!$AA$16:$AE$16,0))</f>
        <v>#N/A</v>
      </c>
      <c r="R51" s="67" t="e">
        <f t="array" ref="R51">IF($J$1,Q51*(1+INDEX(R$1:R$2,MATCH($B51,$N$1:$N$2,0)))^(R$16-Q$16),INDEX(AEA2012_ZAR2022!$AC$6:$AG$104,MATCH($G51&amp;$H51,AEA2012_ZAR2022!$A$6:$A$104&amp;AEA2012_ZAR2022!$B$6:$B$104,0),MATCH(R$16,AEA2012_ZAR2022!$AC$4:$AG$4,0)))</f>
        <v>#N/A</v>
      </c>
      <c r="S51" s="67" t="e">
        <f t="array" ref="S51">IF($J$1,R51*(1+INDEX(S$1:S$2,MATCH($B51,$N$1:$N$2,0)))^(S$16-R$16),INDEX(AEA2012_ZAR2022!$AC$6:$AG$104,MATCH($G51&amp;$H51,AEA2012_ZAR2022!$A$6:$A$104&amp;AEA2012_ZAR2022!$B$6:$B$104,0),MATCH(S$16,AEA2012_ZAR2022!$AC$4:$AG$4,0)))</f>
        <v>#N/A</v>
      </c>
      <c r="T51" s="67" t="e">
        <f t="array" ref="T51">IF($J$1,S51*(1+INDEX(T$1:T$2,MATCH($B51,$N$1:$N$2,0)))^(T$16-S$16),INDEX(AEA2012_ZAR2022!$AC$6:$AG$104,MATCH($G51&amp;$H51,AEA2012_ZAR2022!$A$6:$A$104&amp;AEA2012_ZAR2022!$B$6:$B$104,0),MATCH(T$16,AEA2012_ZAR2022!$AC$4:$AG$4,0)))</f>
        <v>#N/A</v>
      </c>
      <c r="U51" s="67" t="e">
        <f t="array" ref="U51">IF($J$1,T51*(1+INDEX(U$1:U$2,MATCH($B51,$N$1:$N$2,0)))^(U$16-T$16),INDEX(AEA2012_ZAR2022!$AC$6:$AG$104,MATCH($G51&amp;$H51,AEA2012_ZAR2022!$A$6:$A$104&amp;AEA2012_ZAR2022!$B$6:$B$104,0),MATCH(U$16,AEA2012_ZAR2022!$AC$4:$AG$4,0)))</f>
        <v>#N/A</v>
      </c>
      <c r="V51" s="67"/>
      <c r="W51" s="256" t="e">
        <f t="shared" si="8"/>
        <v>#N/A</v>
      </c>
      <c r="X51" s="256" t="e">
        <f t="shared" si="9"/>
        <v>#N/A</v>
      </c>
      <c r="AD51" s="61" t="str">
        <f t="shared" si="5"/>
        <v>-</v>
      </c>
      <c r="AE51" s="80"/>
      <c r="AF51" s="80"/>
      <c r="AG51" s="80"/>
      <c r="AH51" s="80"/>
      <c r="AI51" s="80"/>
    </row>
    <row r="52" spans="1:40" x14ac:dyDescent="0.25">
      <c r="A52" s="61" t="s">
        <v>511</v>
      </c>
      <c r="B52" s="61" t="s">
        <v>613</v>
      </c>
      <c r="C52" s="61" t="s">
        <v>563</v>
      </c>
      <c r="D52" s="61" t="str">
        <f t="shared" si="6"/>
        <v>BUS</v>
      </c>
      <c r="E52" s="61" t="s">
        <v>687</v>
      </c>
      <c r="F52"/>
      <c r="G52" s="255" t="s">
        <v>60</v>
      </c>
      <c r="H52" s="792" t="s">
        <v>687</v>
      </c>
      <c r="I52" s="897"/>
      <c r="J52" s="897"/>
      <c r="K52" s="897"/>
      <c r="L52" s="897"/>
      <c r="M52" s="897"/>
      <c r="N52" s="897"/>
      <c r="O52" s="897"/>
      <c r="P52" s="103" t="str">
        <f t="shared" si="10"/>
        <v>BUSODS</v>
      </c>
      <c r="Q52" s="67">
        <f>1/INDEX(Analytica!$AA$17:$AE$48,MATCH($P52,Analytica!$A$17:$A$48,0),MATCH(Q$16,Analytica!$AA$16:$AE$16,0))</f>
        <v>15.540416584459544</v>
      </c>
      <c r="R52" s="67">
        <f t="array" ref="R52">IF($J$1,Q52*(1+INDEX(R$1:R$2,MATCH($B52,$N$1:$N$2,0)))^(R$16-Q$16),INDEX(AEA2012_ZAR2022!$AC$6:$AG$104,MATCH($G52&amp;$H52,AEA2012_ZAR2022!$A$6:$A$104&amp;AEA2012_ZAR2022!$B$6:$B$104,0),MATCH(R$16,AEA2012_ZAR2022!$AC$4:$AG$4,0)))</f>
        <v>15.308473924384414</v>
      </c>
      <c r="S52" s="67">
        <f t="array" ref="S52">IF($J$1,R52*(1+INDEX(S$1:S$2,MATCH($B52,$N$1:$N$2,0)))^(S$16-R$16),INDEX(AEA2012_ZAR2022!$AC$6:$AG$104,MATCH($G52&amp;$H52,AEA2012_ZAR2022!$A$6:$A$104&amp;AEA2012_ZAR2022!$B$6:$B$104,0),MATCH(S$16,AEA2012_ZAR2022!$AC$4:$AG$4,0)))</f>
        <v>14.198323043971449</v>
      </c>
      <c r="T52" s="67">
        <f t="array" ref="T52">IF($J$1,S52*(1+INDEX(T$1:T$2,MATCH($B52,$N$1:$N$2,0)))^(T$16-S$16),INDEX(AEA2012_ZAR2022!$AC$6:$AG$104,MATCH($G52&amp;$H52,AEA2012_ZAR2022!$A$6:$A$104&amp;AEA2012_ZAR2022!$B$6:$B$104,0),MATCH(T$16,AEA2012_ZAR2022!$AC$4:$AG$4,0)))</f>
        <v>12.840708856152222</v>
      </c>
      <c r="U52" s="67">
        <f t="array" ref="U52">IF($J$1,T52*(1+INDEX(U$1:U$2,MATCH($B52,$N$1:$N$2,0)))^(U$16-T$16),INDEX(AEA2012_ZAR2022!$AC$6:$AG$104,MATCH($G52&amp;$H52,AEA2012_ZAR2022!$A$6:$A$104&amp;AEA2012_ZAR2022!$B$6:$B$104,0),MATCH(U$16,AEA2012_ZAR2022!$AC$4:$AG$4,0)))</f>
        <v>11.612906919910877</v>
      </c>
      <c r="V52" s="67"/>
      <c r="W52" s="256">
        <f t="shared" si="8"/>
        <v>-4.9750416666666433E-3</v>
      </c>
      <c r="X52" s="256">
        <f t="shared" si="9"/>
        <v>-8.0468874575124003E-3</v>
      </c>
      <c r="AD52" s="61" t="str">
        <f t="shared" ref="AD52:AD83" si="11">C52&amp;"-"&amp;A52</f>
        <v>BUS-ODS</v>
      </c>
      <c r="AE52" s="80"/>
      <c r="AF52" s="80"/>
      <c r="AG52" s="80"/>
      <c r="AH52" s="80"/>
      <c r="AI52" s="80"/>
    </row>
    <row r="53" spans="1:40" x14ac:dyDescent="0.25">
      <c r="A53" s="61" t="s">
        <v>506</v>
      </c>
      <c r="B53" s="61" t="s">
        <v>613</v>
      </c>
      <c r="C53" s="61" t="s">
        <v>563</v>
      </c>
      <c r="D53" s="61" t="str">
        <f t="shared" si="6"/>
        <v>BUS</v>
      </c>
      <c r="E53" s="61" t="s">
        <v>687</v>
      </c>
      <c r="F53"/>
      <c r="G53" s="255" t="s">
        <v>60</v>
      </c>
      <c r="H53" s="792" t="s">
        <v>687</v>
      </c>
      <c r="I53" s="897"/>
      <c r="J53" s="897"/>
      <c r="K53" s="897"/>
      <c r="L53" s="897"/>
      <c r="M53" s="897"/>
      <c r="N53" s="897"/>
      <c r="O53" s="897"/>
      <c r="P53" s="103" t="str">
        <f t="shared" si="10"/>
        <v>BUSBGS</v>
      </c>
      <c r="Q53" s="67">
        <f>INDEX('Vehicle data '!$AD$20:$AD$110,MATCH($P53,'Vehicle data '!$AC$20:$AC$110,0))/INDEX('Vehicle data '!$AD$20:$AD$110,MATCH($P$52,'Vehicle data '!$AC$20:$AC$110,0))*Q$52</f>
        <v>15.540416584459544</v>
      </c>
      <c r="R53" s="67">
        <f t="array" ref="R53">IF($J$1,Q53*(1+INDEX(R$1:R$2,MATCH($B53,$N$1:$N$2,0)))^(R$16-Q$16),INDEX(AEA2012_ZAR2022!$AC$6:$AG$104,MATCH($G53&amp;$H53,AEA2012_ZAR2022!$A$6:$A$104&amp;AEA2012_ZAR2022!$B$6:$B$104,0),MATCH(R$16,AEA2012_ZAR2022!$AC$4:$AG$4,0)))</f>
        <v>15.308473924384414</v>
      </c>
      <c r="S53" s="67">
        <f t="array" ref="S53">IF($J$1,R53*(1+INDEX(S$1:S$2,MATCH($B53,$N$1:$N$2,0)))^(S$16-R$16),INDEX(AEA2012_ZAR2022!$AC$6:$AG$104,MATCH($G53&amp;$H53,AEA2012_ZAR2022!$A$6:$A$104&amp;AEA2012_ZAR2022!$B$6:$B$104,0),MATCH(S$16,AEA2012_ZAR2022!$AC$4:$AG$4,0)))</f>
        <v>14.198323043971449</v>
      </c>
      <c r="T53" s="67">
        <f t="array" ref="T53">IF($J$1,S53*(1+INDEX(T$1:T$2,MATCH($B53,$N$1:$N$2,0)))^(T$16-S$16),INDEX(AEA2012_ZAR2022!$AC$6:$AG$104,MATCH($G53&amp;$H53,AEA2012_ZAR2022!$A$6:$A$104&amp;AEA2012_ZAR2022!$B$6:$B$104,0),MATCH(T$16,AEA2012_ZAR2022!$AC$4:$AG$4,0)))</f>
        <v>12.840708856152222</v>
      </c>
      <c r="U53" s="67">
        <f t="array" ref="U53">IF($J$1,T53*(1+INDEX(U$1:U$2,MATCH($B53,$N$1:$N$2,0)))^(U$16-T$16),INDEX(AEA2012_ZAR2022!$AC$6:$AG$104,MATCH($G53&amp;$H53,AEA2012_ZAR2022!$A$6:$A$104&amp;AEA2012_ZAR2022!$B$6:$B$104,0),MATCH(U$16,AEA2012_ZAR2022!$AC$4:$AG$4,0)))</f>
        <v>11.612906919910877</v>
      </c>
      <c r="V53" s="67"/>
      <c r="W53" s="256">
        <f t="shared" si="8"/>
        <v>-4.9750416666666433E-3</v>
      </c>
      <c r="X53" s="256">
        <f t="shared" si="9"/>
        <v>-8.0468874575124003E-3</v>
      </c>
      <c r="AD53" s="61" t="str">
        <f t="shared" si="11"/>
        <v>BUS-BGS</v>
      </c>
      <c r="AE53" s="80"/>
      <c r="AF53" s="80"/>
      <c r="AG53" s="80"/>
      <c r="AH53" s="80"/>
      <c r="AI53" s="80"/>
    </row>
    <row r="54" spans="1:40" ht="15.75" customHeight="1" x14ac:dyDescent="0.25">
      <c r="A54" s="61" t="s">
        <v>501</v>
      </c>
      <c r="B54" s="61" t="s">
        <v>613</v>
      </c>
      <c r="C54" s="61" t="s">
        <v>563</v>
      </c>
      <c r="D54" s="61" t="str">
        <f t="shared" si="6"/>
        <v>BUS</v>
      </c>
      <c r="E54" s="61" t="s">
        <v>687</v>
      </c>
      <c r="F54"/>
      <c r="G54" s="255" t="s">
        <v>60</v>
      </c>
      <c r="H54" s="792" t="s">
        <v>692</v>
      </c>
      <c r="I54" s="897"/>
      <c r="J54" s="897"/>
      <c r="K54" s="897"/>
      <c r="L54" s="897"/>
      <c r="M54" s="897"/>
      <c r="N54" s="897"/>
      <c r="O54" s="897"/>
      <c r="P54" s="103" t="str">
        <f t="shared" si="10"/>
        <v>BUSELC</v>
      </c>
      <c r="Q54" s="67">
        <f>INDEX('Vehicle data '!$AD$20:$AD$110,MATCH($P54,'Vehicle data '!$AC$20:$AC$110,0))/INDEX('Vehicle data '!$AD$20:$AD$110,MATCH($P$52,'Vehicle data '!$AC$20:$AC$110,0))*Q$52</f>
        <v>4.7713841489159794</v>
      </c>
      <c r="R54" s="67">
        <f t="array" ref="R54">IF($J$1,Q54*(1+INDEX(R$1:R$2,MATCH($B54,$N$1:$N$2,0)))^(R$16-Q$16),INDEX(AEA2012_ZAR2022!$AC$6:$AG$104,MATCH($G54&amp;$H54,AEA2012_ZAR2022!$A$6:$A$104&amp;AEA2012_ZAR2022!$B$6:$B$104,0),MATCH(R$16,AEA2012_ZAR2022!$AC$4:$AG$4,0)))</f>
        <v>4.7001706440703899</v>
      </c>
      <c r="S54" s="67">
        <f t="array" ref="S54">IF($J$1,R54*(1+INDEX(S$1:S$2,MATCH($B54,$N$1:$N$2,0)))^(S$16-R$16),INDEX(AEA2012_ZAR2022!$AC$6:$AG$104,MATCH($G54&amp;$H54,AEA2012_ZAR2022!$A$6:$A$104&amp;AEA2012_ZAR2022!$B$6:$B$104,0),MATCH(S$16,AEA2012_ZAR2022!$AC$4:$AG$4,0)))</f>
        <v>4.3593203016796647</v>
      </c>
      <c r="T54" s="67">
        <f t="array" ref="T54">IF($J$1,S54*(1+INDEX(T$1:T$2,MATCH($B54,$N$1:$N$2,0)))^(T$16-S$16),INDEX(AEA2012_ZAR2022!$AC$6:$AG$104,MATCH($G54&amp;$H54,AEA2012_ZAR2022!$A$6:$A$104&amp;AEA2012_ZAR2022!$B$6:$B$104,0),MATCH(T$16,AEA2012_ZAR2022!$AC$4:$AG$4,0)))</f>
        <v>3.9424911400610618</v>
      </c>
      <c r="U54" s="67">
        <f t="array" ref="U54">IF($J$1,T54*(1+INDEX(U$1:U$2,MATCH($B54,$N$1:$N$2,0)))^(U$16-T$16),INDEX(AEA2012_ZAR2022!$AC$6:$AG$104,MATCH($G54&amp;$H54,AEA2012_ZAR2022!$A$6:$A$104&amp;AEA2012_ZAR2022!$B$6:$B$104,0),MATCH(U$16,AEA2012_ZAR2022!$AC$4:$AG$4,0)))</f>
        <v>3.5655183179522494</v>
      </c>
      <c r="V54" s="67"/>
      <c r="W54" s="256">
        <f t="shared" si="8"/>
        <v>-4.9750416666666606E-3</v>
      </c>
      <c r="X54" s="256">
        <f t="shared" si="9"/>
        <v>-8.0468874575124038E-3</v>
      </c>
      <c r="AD54" s="61" t="str">
        <f t="shared" si="11"/>
        <v>BUS-ELC</v>
      </c>
      <c r="AE54" s="80"/>
      <c r="AF54" s="80"/>
      <c r="AG54" s="80"/>
      <c r="AH54" s="80"/>
      <c r="AI54" s="80"/>
    </row>
    <row r="55" spans="1:40" x14ac:dyDescent="0.25">
      <c r="A55" s="61" t="s">
        <v>504</v>
      </c>
      <c r="B55" s="61" t="s">
        <v>613</v>
      </c>
      <c r="C55" s="61" t="s">
        <v>563</v>
      </c>
      <c r="D55" s="61" t="str">
        <f t="shared" si="6"/>
        <v>BUS</v>
      </c>
      <c r="E55" s="61" t="s">
        <v>687</v>
      </c>
      <c r="F55" s="65"/>
      <c r="G55" s="255" t="s">
        <v>60</v>
      </c>
      <c r="H55" s="792" t="s">
        <v>699</v>
      </c>
      <c r="I55" s="897"/>
      <c r="J55" s="897"/>
      <c r="K55" s="897"/>
      <c r="L55" s="897"/>
      <c r="M55" s="897"/>
      <c r="N55" s="897"/>
      <c r="O55" s="897"/>
      <c r="P55" s="103" t="str">
        <f t="shared" si="10"/>
        <v>BUSHGN</v>
      </c>
      <c r="Q55" s="67">
        <f>INDEX('Vehicle data '!$AD$20:$AD$110,MATCH($P55,'Vehicle data '!$AC$20:$AC$110,0))/INDEX('Vehicle data '!$AD$20:$AD$110,MATCH($P$52,'Vehicle data '!$AC$20:$AC$110,0))*Q$52</f>
        <v>7.3663474579755475</v>
      </c>
      <c r="R55" s="67">
        <f t="array" ref="R55">IF($J$1,Q55*(1+INDEX(R$1:R$2,MATCH($B55,$N$1:$N$2,0)))^(R$16-Q$16),INDEX(AEA2012_ZAR2022!$AC$6:$AG$104,MATCH($G55&amp;$H55,AEA2012_ZAR2022!$A$6:$A$104&amp;AEA2012_ZAR2022!$B$6:$B$104,0),MATCH(R$16,AEA2012_ZAR2022!$AC$4:$AG$4,0)))</f>
        <v>7.2564038013718299</v>
      </c>
      <c r="S55" s="67">
        <f t="array" ref="S55">IF($J$1,R55*(1+INDEX(S$1:S$2,MATCH($B55,$N$1:$N$2,0)))^(S$16-R$16),INDEX(AEA2012_ZAR2022!$AC$6:$AG$104,MATCH($G55&amp;$H55,AEA2012_ZAR2022!$A$6:$A$104&amp;AEA2012_ZAR2022!$B$6:$B$104,0),MATCH(S$16,AEA2012_ZAR2022!$AC$4:$AG$4,0)))</f>
        <v>6.730178711365097</v>
      </c>
      <c r="T55" s="67">
        <f t="array" ref="T55">IF($J$1,S55*(1+INDEX(T$1:T$2,MATCH($B55,$N$1:$N$2,0)))^(T$16-S$16),INDEX(AEA2012_ZAR2022!$AC$6:$AG$104,MATCH($G55&amp;$H55,AEA2012_ZAR2022!$A$6:$A$104&amp;AEA2012_ZAR2022!$B$6:$B$104,0),MATCH(T$16,AEA2012_ZAR2022!$AC$4:$AG$4,0)))</f>
        <v>6.0866529881644471</v>
      </c>
      <c r="U55" s="67">
        <f t="array" ref="U55">IF($J$1,T55*(1+INDEX(U$1:U$2,MATCH($B55,$N$1:$N$2,0)))^(U$16-T$16),INDEX(AEA2012_ZAR2022!$AC$6:$AG$104,MATCH($G55&amp;$H55,AEA2012_ZAR2022!$A$6:$A$104&amp;AEA2012_ZAR2022!$B$6:$B$104,0),MATCH(U$16,AEA2012_ZAR2022!$AC$4:$AG$4,0)))</f>
        <v>5.5046598592947023</v>
      </c>
      <c r="V55" s="67"/>
      <c r="W55" s="256">
        <f t="shared" si="8"/>
        <v>-4.9750416666666771E-3</v>
      </c>
      <c r="X55" s="256">
        <f t="shared" si="9"/>
        <v>-8.0468874575123969E-3</v>
      </c>
      <c r="AD55" s="61" t="str">
        <f t="shared" si="11"/>
        <v>BUS-HGN</v>
      </c>
      <c r="AE55" s="80"/>
      <c r="AF55" s="80"/>
      <c r="AG55" s="80"/>
      <c r="AH55" s="80"/>
      <c r="AI55" s="80"/>
    </row>
    <row r="56" spans="1:40" x14ac:dyDescent="0.25">
      <c r="A56" s="61" t="s">
        <v>509</v>
      </c>
      <c r="B56" s="61" t="s">
        <v>613</v>
      </c>
      <c r="C56" s="61" t="s">
        <v>563</v>
      </c>
      <c r="D56" s="61" t="str">
        <f t="shared" si="6"/>
        <v>BUS</v>
      </c>
      <c r="E56" s="61" t="s">
        <v>687</v>
      </c>
      <c r="F56" s="65"/>
      <c r="G56" s="255" t="s">
        <v>60</v>
      </c>
      <c r="H56" s="792" t="s">
        <v>700</v>
      </c>
      <c r="I56" s="897"/>
      <c r="J56" s="897"/>
      <c r="K56" s="897"/>
      <c r="L56" s="897"/>
      <c r="M56" s="897"/>
      <c r="N56" s="897"/>
      <c r="O56" s="897"/>
      <c r="P56" s="103" t="str">
        <f t="shared" si="10"/>
        <v>BUSGAS</v>
      </c>
      <c r="Q56" s="67">
        <f>INDEX('Vehicle data '!$AD$20:$AD$110,MATCH($P56,'Vehicle data '!$AC$20:$AC$110,0))/INDEX('Vehicle data '!$AD$20:$AD$110,MATCH($P$52,'Vehicle data '!$AC$20:$AC$110,0))*Q$52</f>
        <v>17.871479072128476</v>
      </c>
      <c r="R56" s="67">
        <f t="array" ref="R56">IF($J$1,Q56*(1+INDEX(R$1:R$2,MATCH($B56,$N$1:$N$2,0)))^(R$16-Q$16),INDEX(AEA2012_ZAR2022!$AC$6:$AG$104,MATCH($G56&amp;$H56,AEA2012_ZAR2022!$A$6:$A$104&amp;AEA2012_ZAR2022!$B$6:$B$104,0),MATCH(R$16,AEA2012_ZAR2022!$AC$4:$AG$4,0)))</f>
        <v>17.604745013042074</v>
      </c>
      <c r="S56" s="67">
        <f t="array" ref="S56">IF($J$1,R56*(1+INDEX(S$1:S$2,MATCH($B56,$N$1:$N$2,0)))^(S$16-R$16),INDEX(AEA2012_ZAR2022!$AC$6:$AG$104,MATCH($G56&amp;$H56,AEA2012_ZAR2022!$A$6:$A$104&amp;AEA2012_ZAR2022!$B$6:$B$104,0),MATCH(S$16,AEA2012_ZAR2022!$AC$4:$AG$4,0)))</f>
        <v>16.328071500567166</v>
      </c>
      <c r="T56" s="67">
        <f t="array" ref="T56">IF($J$1,S56*(1+INDEX(T$1:T$2,MATCH($B56,$N$1:$N$2,0)))^(T$16-S$16),INDEX(AEA2012_ZAR2022!$AC$6:$AG$104,MATCH($G56&amp;$H56,AEA2012_ZAR2022!$A$6:$A$104&amp;AEA2012_ZAR2022!$B$6:$B$104,0),MATCH(T$16,AEA2012_ZAR2022!$AC$4:$AG$4,0)))</f>
        <v>14.766815184575055</v>
      </c>
      <c r="U56" s="67">
        <f t="array" ref="U56">IF($J$1,T56*(1+INDEX(U$1:U$2,MATCH($B56,$N$1:$N$2,0)))^(U$16-T$16),INDEX(AEA2012_ZAR2022!$AC$6:$AG$104,MATCH($G56&amp;$H56,AEA2012_ZAR2022!$A$6:$A$104&amp;AEA2012_ZAR2022!$B$6:$B$104,0),MATCH(U$16,AEA2012_ZAR2022!$AC$4:$AG$4,0)))</f>
        <v>13.354842957897509</v>
      </c>
      <c r="V56" s="67"/>
      <c r="W56" s="256">
        <f t="shared" si="8"/>
        <v>-4.9750416666666927E-3</v>
      </c>
      <c r="X56" s="256">
        <f t="shared" si="9"/>
        <v>-8.0468874575123951E-3</v>
      </c>
      <c r="AD56" s="61" t="str">
        <f t="shared" si="11"/>
        <v>BUS-GAS</v>
      </c>
      <c r="AE56" s="80"/>
      <c r="AF56" s="80"/>
      <c r="AG56" s="80"/>
      <c r="AH56" s="80"/>
      <c r="AI56" s="80"/>
    </row>
    <row r="57" spans="1:40" x14ac:dyDescent="0.25">
      <c r="D57" s="61" t="str">
        <f t="shared" si="6"/>
        <v/>
      </c>
      <c r="F57" s="65"/>
      <c r="G57" s="255"/>
      <c r="H57" s="259"/>
      <c r="I57" s="897"/>
      <c r="J57" s="897"/>
      <c r="K57" s="897"/>
      <c r="L57" s="897"/>
      <c r="M57" s="897"/>
      <c r="N57" s="897"/>
      <c r="O57" s="897"/>
      <c r="P57" s="103" t="str">
        <f t="shared" si="10"/>
        <v/>
      </c>
      <c r="Q57" s="67" t="e">
        <f>1/INDEX(Analytica!$AA$17:$AE$48,MATCH($P57,Analytica!$A$17:$A$48,0),MATCH(Q$16,Analytica!$AA$16:$AE$16,0))</f>
        <v>#N/A</v>
      </c>
      <c r="R57" s="67" t="e">
        <f t="array" ref="R57">IF($J$1,Q57*(1+INDEX(R$1:R$2,MATCH($B57,$N$1:$N$2,0)))^(R$16-Q$16),INDEX(AEA2012_ZAR2022!$AC$6:$AG$104,MATCH($G57&amp;$H57,AEA2012_ZAR2022!$A$6:$A$104&amp;AEA2012_ZAR2022!$B$6:$B$104,0),MATCH(R$16,AEA2012_ZAR2022!$AC$4:$AG$4,0)))</f>
        <v>#N/A</v>
      </c>
      <c r="S57" s="67" t="e">
        <f t="array" ref="S57">IF($J$1,R57*(1+INDEX(S$1:S$2,MATCH($B57,$N$1:$N$2,0)))^(S$16-R$16),INDEX(AEA2012_ZAR2022!$AC$6:$AG$104,MATCH($G57&amp;$H57,AEA2012_ZAR2022!$A$6:$A$104&amp;AEA2012_ZAR2022!$B$6:$B$104,0),MATCH(S$16,AEA2012_ZAR2022!$AC$4:$AG$4,0)))</f>
        <v>#N/A</v>
      </c>
      <c r="T57" s="67" t="e">
        <f t="array" ref="T57">IF($J$1,S57*(1+INDEX(T$1:T$2,MATCH($B57,$N$1:$N$2,0)))^(T$16-S$16),INDEX(AEA2012_ZAR2022!$AC$6:$AG$104,MATCH($G57&amp;$H57,AEA2012_ZAR2022!$A$6:$A$104&amp;AEA2012_ZAR2022!$B$6:$B$104,0),MATCH(T$16,AEA2012_ZAR2022!$AC$4:$AG$4,0)))</f>
        <v>#N/A</v>
      </c>
      <c r="U57" s="67" t="e">
        <f t="array" ref="U57">IF($J$1,T57*(1+INDEX(U$1:U$2,MATCH($B57,$N$1:$N$2,0)))^(U$16-T$16),INDEX(AEA2012_ZAR2022!$AC$6:$AG$104,MATCH($G57&amp;$H57,AEA2012_ZAR2022!$A$6:$A$104&amp;AEA2012_ZAR2022!$B$6:$B$104,0),MATCH(U$16,AEA2012_ZAR2022!$AC$4:$AG$4,0)))</f>
        <v>#N/A</v>
      </c>
      <c r="V57" s="67"/>
      <c r="W57" s="256" t="e">
        <f t="shared" si="8"/>
        <v>#N/A</v>
      </c>
      <c r="X57" s="256" t="e">
        <f t="shared" si="9"/>
        <v>#N/A</v>
      </c>
      <c r="AD57" s="61" t="str">
        <f t="shared" si="11"/>
        <v>-</v>
      </c>
      <c r="AE57" s="80"/>
      <c r="AF57" s="80"/>
      <c r="AG57" s="80"/>
      <c r="AH57" s="80"/>
      <c r="AI57" s="80"/>
    </row>
    <row r="58" spans="1:40" x14ac:dyDescent="0.25">
      <c r="A58" s="61" t="s">
        <v>511</v>
      </c>
      <c r="B58" s="61" t="s">
        <v>613</v>
      </c>
      <c r="C58" s="61" t="s">
        <v>59</v>
      </c>
      <c r="D58" s="61" t="str">
        <f t="shared" si="6"/>
        <v>BRT</v>
      </c>
      <c r="E58" s="61" t="s">
        <v>687</v>
      </c>
      <c r="F58" s="103">
        <v>3471536.3226923002</v>
      </c>
      <c r="G58" s="255" t="s">
        <v>60</v>
      </c>
      <c r="H58" s="792" t="s">
        <v>687</v>
      </c>
      <c r="I58" s="897"/>
      <c r="J58" s="897"/>
      <c r="K58" s="897"/>
      <c r="L58" s="897"/>
      <c r="M58" s="897"/>
      <c r="N58" s="897"/>
      <c r="O58" s="897"/>
      <c r="P58" s="103" t="str">
        <f t="shared" si="10"/>
        <v>BRTODS</v>
      </c>
      <c r="Q58" s="67">
        <f>INDEX('Vehicle data '!$AD$20:$AD$110,MATCH($P58,'Vehicle data '!$AC$20:$AC$110,0))/INDEX('Vehicle data '!$AD$20:$AD$110,MATCH($P$52,'Vehicle data '!$AC$20:$AC$110,0))*Q$52</f>
        <v>15.540416584459544</v>
      </c>
      <c r="R58" s="67">
        <f t="array" ref="R58">IF($J$1,Q58*(1+INDEX(R$1:R$2,MATCH($B58,$N$1:$N$2,0)))^(R$16-Q$16),INDEX(AEA2012_ZAR2022!$AC$6:$AG$104,MATCH($G58&amp;$H58,AEA2012_ZAR2022!$A$6:$A$104&amp;AEA2012_ZAR2022!$B$6:$B$104,0),MATCH(R$16,AEA2012_ZAR2022!$AC$4:$AG$4,0)))</f>
        <v>15.308473924384414</v>
      </c>
      <c r="S58" s="67">
        <f t="array" ref="S58">IF($J$1,R58*(1+INDEX(S$1:S$2,MATCH($B58,$N$1:$N$2,0)))^(S$16-R$16),INDEX(AEA2012_ZAR2022!$AC$6:$AG$104,MATCH($G58&amp;$H58,AEA2012_ZAR2022!$A$6:$A$104&amp;AEA2012_ZAR2022!$B$6:$B$104,0),MATCH(S$16,AEA2012_ZAR2022!$AC$4:$AG$4,0)))</f>
        <v>14.198323043971449</v>
      </c>
      <c r="T58" s="67">
        <f t="array" ref="T58">IF($J$1,S58*(1+INDEX(T$1:T$2,MATCH($B58,$N$1:$N$2,0)))^(T$16-S$16),INDEX(AEA2012_ZAR2022!$AC$6:$AG$104,MATCH($G58&amp;$H58,AEA2012_ZAR2022!$A$6:$A$104&amp;AEA2012_ZAR2022!$B$6:$B$104,0),MATCH(T$16,AEA2012_ZAR2022!$AC$4:$AG$4,0)))</f>
        <v>12.840708856152222</v>
      </c>
      <c r="U58" s="67">
        <f t="array" ref="U58">IF($J$1,T58*(1+INDEX(U$1:U$2,MATCH($B58,$N$1:$N$2,0)))^(U$16-T$16),INDEX(AEA2012_ZAR2022!$AC$6:$AG$104,MATCH($G58&amp;$H58,AEA2012_ZAR2022!$A$6:$A$104&amp;AEA2012_ZAR2022!$B$6:$B$104,0),MATCH(U$16,AEA2012_ZAR2022!$AC$4:$AG$4,0)))</f>
        <v>11.612906919910877</v>
      </c>
      <c r="V58" s="67"/>
      <c r="W58" s="256">
        <f t="shared" si="8"/>
        <v>-4.9750416666666433E-3</v>
      </c>
      <c r="X58" s="256">
        <f t="shared" si="9"/>
        <v>-8.0468874575124003E-3</v>
      </c>
      <c r="AD58" s="61" t="str">
        <f t="shared" si="11"/>
        <v>BRT-ODS</v>
      </c>
      <c r="AE58" s="80"/>
      <c r="AF58" s="80"/>
      <c r="AG58" s="80"/>
      <c r="AH58" s="80"/>
      <c r="AI58" s="80"/>
    </row>
    <row r="59" spans="1:40" x14ac:dyDescent="0.25">
      <c r="A59" s="61" t="s">
        <v>506</v>
      </c>
      <c r="B59" s="61" t="s">
        <v>613</v>
      </c>
      <c r="C59" s="61" t="s">
        <v>59</v>
      </c>
      <c r="D59" s="61" t="str">
        <f t="shared" si="6"/>
        <v>BRT</v>
      </c>
      <c r="E59" s="61" t="s">
        <v>687</v>
      </c>
      <c r="F59"/>
      <c r="G59" s="255" t="s">
        <v>60</v>
      </c>
      <c r="H59" s="792" t="s">
        <v>687</v>
      </c>
      <c r="I59" s="897"/>
      <c r="J59" s="897"/>
      <c r="K59" s="897"/>
      <c r="L59" s="897"/>
      <c r="M59" s="897"/>
      <c r="N59" s="897"/>
      <c r="O59" s="897"/>
      <c r="P59" s="103" t="str">
        <f t="shared" si="10"/>
        <v>BRTBGS</v>
      </c>
      <c r="Q59" s="67">
        <f>INDEX('Vehicle data '!$AD$20:$AD$110,MATCH($P59,'Vehicle data '!$AC$20:$AC$110,0))/INDEX('Vehicle data '!$AD$20:$AD$110,MATCH($P$52,'Vehicle data '!$AC$20:$AC$110,0))*Q$52</f>
        <v>15.540416584459544</v>
      </c>
      <c r="R59" s="67">
        <f t="array" ref="R59">IF($J$1,Q59*(1+INDEX(R$1:R$2,MATCH($B59,$N$1:$N$2,0)))^(R$16-Q$16),INDEX(AEA2012_ZAR2022!$AC$6:$AG$104,MATCH($G59&amp;$H59,AEA2012_ZAR2022!$A$6:$A$104&amp;AEA2012_ZAR2022!$B$6:$B$104,0),MATCH(R$16,AEA2012_ZAR2022!$AC$4:$AG$4,0)))</f>
        <v>15.308473924384414</v>
      </c>
      <c r="S59" s="67">
        <f t="array" ref="S59">IF($J$1,R59*(1+INDEX(S$1:S$2,MATCH($B59,$N$1:$N$2,0)))^(S$16-R$16),INDEX(AEA2012_ZAR2022!$AC$6:$AG$104,MATCH($G59&amp;$H59,AEA2012_ZAR2022!$A$6:$A$104&amp;AEA2012_ZAR2022!$B$6:$B$104,0),MATCH(S$16,AEA2012_ZAR2022!$AC$4:$AG$4,0)))</f>
        <v>14.198323043971449</v>
      </c>
      <c r="T59" s="67">
        <f t="array" ref="T59">IF($J$1,S59*(1+INDEX(T$1:T$2,MATCH($B59,$N$1:$N$2,0)))^(T$16-S$16),INDEX(AEA2012_ZAR2022!$AC$6:$AG$104,MATCH($G59&amp;$H59,AEA2012_ZAR2022!$A$6:$A$104&amp;AEA2012_ZAR2022!$B$6:$B$104,0),MATCH(T$16,AEA2012_ZAR2022!$AC$4:$AG$4,0)))</f>
        <v>12.840708856152222</v>
      </c>
      <c r="U59" s="67">
        <f t="array" ref="U59">IF($J$1,T59*(1+INDEX(U$1:U$2,MATCH($B59,$N$1:$N$2,0)))^(U$16-T$16),INDEX(AEA2012_ZAR2022!$AC$6:$AG$104,MATCH($G59&amp;$H59,AEA2012_ZAR2022!$A$6:$A$104&amp;AEA2012_ZAR2022!$B$6:$B$104,0),MATCH(U$16,AEA2012_ZAR2022!$AC$4:$AG$4,0)))</f>
        <v>11.612906919910877</v>
      </c>
      <c r="V59" s="67"/>
      <c r="W59" s="256">
        <f t="shared" si="8"/>
        <v>-4.9750416666666433E-3</v>
      </c>
      <c r="X59" s="256">
        <f t="shared" si="9"/>
        <v>-8.0468874575124003E-3</v>
      </c>
      <c r="AD59" s="61" t="str">
        <f t="shared" si="11"/>
        <v>BRT-BGS</v>
      </c>
      <c r="AE59" s="80"/>
      <c r="AF59" s="80"/>
      <c r="AG59" s="80"/>
      <c r="AH59" s="80"/>
      <c r="AI59" s="80"/>
    </row>
    <row r="60" spans="1:40" x14ac:dyDescent="0.25">
      <c r="A60" s="61" t="s">
        <v>501</v>
      </c>
      <c r="B60" s="61" t="s">
        <v>613</v>
      </c>
      <c r="C60" s="61" t="s">
        <v>59</v>
      </c>
      <c r="D60" s="61" t="str">
        <f t="shared" si="6"/>
        <v>BRT</v>
      </c>
      <c r="E60" s="61" t="s">
        <v>687</v>
      </c>
      <c r="F60" s="103">
        <v>11454545.4545455</v>
      </c>
      <c r="G60" s="255" t="s">
        <v>60</v>
      </c>
      <c r="H60" s="792" t="s">
        <v>692</v>
      </c>
      <c r="I60" s="897"/>
      <c r="J60" s="897"/>
      <c r="K60" s="897"/>
      <c r="L60" s="897"/>
      <c r="M60" s="897"/>
      <c r="N60" s="897"/>
      <c r="O60" s="897"/>
      <c r="P60" s="103" t="str">
        <f t="shared" si="10"/>
        <v>BRTELC</v>
      </c>
      <c r="Q60" s="67">
        <f>INDEX('Vehicle data '!$AD$20:$AD$110,MATCH($P60,'Vehicle data '!$AC$20:$AC$110,0))/INDEX('Vehicle data '!$AD$20:$AD$110,MATCH($P$52,'Vehicle data '!$AC$20:$AC$110,0))*Q$52</f>
        <v>4.7713841489159794</v>
      </c>
      <c r="R60" s="67">
        <f t="array" ref="R60">IF($J$1,Q60*(1+INDEX(R$1:R$2,MATCH($B60,$N$1:$N$2,0)))^(R$16-Q$16),INDEX(AEA2012_ZAR2022!$AC$6:$AG$104,MATCH($G60&amp;$H60,AEA2012_ZAR2022!$A$6:$A$104&amp;AEA2012_ZAR2022!$B$6:$B$104,0),MATCH(R$16,AEA2012_ZAR2022!$AC$4:$AG$4,0)))</f>
        <v>4.7001706440703899</v>
      </c>
      <c r="S60" s="67">
        <f t="array" ref="S60">IF($J$1,R60*(1+INDEX(S$1:S$2,MATCH($B60,$N$1:$N$2,0)))^(S$16-R$16),INDEX(AEA2012_ZAR2022!$AC$6:$AG$104,MATCH($G60&amp;$H60,AEA2012_ZAR2022!$A$6:$A$104&amp;AEA2012_ZAR2022!$B$6:$B$104,0),MATCH(S$16,AEA2012_ZAR2022!$AC$4:$AG$4,0)))</f>
        <v>4.3593203016796647</v>
      </c>
      <c r="T60" s="67">
        <f t="array" ref="T60">IF($J$1,S60*(1+INDEX(T$1:T$2,MATCH($B60,$N$1:$N$2,0)))^(T$16-S$16),INDEX(AEA2012_ZAR2022!$AC$6:$AG$104,MATCH($G60&amp;$H60,AEA2012_ZAR2022!$A$6:$A$104&amp;AEA2012_ZAR2022!$B$6:$B$104,0),MATCH(T$16,AEA2012_ZAR2022!$AC$4:$AG$4,0)))</f>
        <v>3.9424911400610618</v>
      </c>
      <c r="U60" s="67">
        <f t="array" ref="U60">IF($J$1,T60*(1+INDEX(U$1:U$2,MATCH($B60,$N$1:$N$2,0)))^(U$16-T$16),INDEX(AEA2012_ZAR2022!$AC$6:$AG$104,MATCH($G60&amp;$H60,AEA2012_ZAR2022!$A$6:$A$104&amp;AEA2012_ZAR2022!$B$6:$B$104,0),MATCH(U$16,AEA2012_ZAR2022!$AC$4:$AG$4,0)))</f>
        <v>3.5655183179522494</v>
      </c>
      <c r="V60" s="67"/>
      <c r="W60" s="256">
        <f t="shared" si="8"/>
        <v>-4.9750416666666606E-3</v>
      </c>
      <c r="X60" s="256">
        <f t="shared" si="9"/>
        <v>-8.0468874575124038E-3</v>
      </c>
      <c r="AD60" s="61" t="str">
        <f t="shared" si="11"/>
        <v>BRT-ELC</v>
      </c>
      <c r="AE60" s="80"/>
      <c r="AF60" s="80"/>
      <c r="AG60" s="80"/>
      <c r="AH60" s="80"/>
      <c r="AI60" s="80"/>
    </row>
    <row r="61" spans="1:40" x14ac:dyDescent="0.25">
      <c r="A61" s="61" t="s">
        <v>504</v>
      </c>
      <c r="B61" s="61" t="s">
        <v>613</v>
      </c>
      <c r="C61" s="61" t="s">
        <v>59</v>
      </c>
      <c r="D61" s="61" t="str">
        <f t="shared" si="6"/>
        <v>BRT</v>
      </c>
      <c r="E61" s="61" t="s">
        <v>687</v>
      </c>
      <c r="F61" s="65"/>
      <c r="G61" s="255" t="s">
        <v>60</v>
      </c>
      <c r="H61" s="792" t="s">
        <v>699</v>
      </c>
      <c r="I61" s="897"/>
      <c r="J61" s="897"/>
      <c r="K61" s="897"/>
      <c r="L61" s="897"/>
      <c r="M61" s="897"/>
      <c r="N61" s="897"/>
      <c r="O61" s="897"/>
      <c r="P61" s="103" t="str">
        <f t="shared" si="10"/>
        <v>BRTHGN</v>
      </c>
      <c r="Q61" s="67">
        <f>INDEX('Vehicle data '!$AD$20:$AD$110,MATCH($P61,'Vehicle data '!$AC$20:$AC$110,0))/INDEX('Vehicle data '!$AD$20:$AD$110,MATCH($P$52,'Vehicle data '!$AC$20:$AC$110,0))*Q$52</f>
        <v>7.3663474579755475</v>
      </c>
      <c r="R61" s="67">
        <f t="array" ref="R61">IF($J$1,Q61*(1+INDEX(R$1:R$2,MATCH($B61,$N$1:$N$2,0)))^(R$16-Q$16),INDEX(AEA2012_ZAR2022!$AC$6:$AG$104,MATCH($G61&amp;$H61,AEA2012_ZAR2022!$A$6:$A$104&amp;AEA2012_ZAR2022!$B$6:$B$104,0),MATCH(R$16,AEA2012_ZAR2022!$AC$4:$AG$4,0)))</f>
        <v>7.2564038013718299</v>
      </c>
      <c r="S61" s="67">
        <f t="array" ref="S61">IF($J$1,R61*(1+INDEX(S$1:S$2,MATCH($B61,$N$1:$N$2,0)))^(S$16-R$16),INDEX(AEA2012_ZAR2022!$AC$6:$AG$104,MATCH($G61&amp;$H61,AEA2012_ZAR2022!$A$6:$A$104&amp;AEA2012_ZAR2022!$B$6:$B$104,0),MATCH(S$16,AEA2012_ZAR2022!$AC$4:$AG$4,0)))</f>
        <v>6.730178711365097</v>
      </c>
      <c r="T61" s="67">
        <f t="array" ref="T61">IF($J$1,S61*(1+INDEX(T$1:T$2,MATCH($B61,$N$1:$N$2,0)))^(T$16-S$16),INDEX(AEA2012_ZAR2022!$AC$6:$AG$104,MATCH($G61&amp;$H61,AEA2012_ZAR2022!$A$6:$A$104&amp;AEA2012_ZAR2022!$B$6:$B$104,0),MATCH(T$16,AEA2012_ZAR2022!$AC$4:$AG$4,0)))</f>
        <v>6.0866529881644471</v>
      </c>
      <c r="U61" s="67">
        <f t="array" ref="U61">IF($J$1,T61*(1+INDEX(U$1:U$2,MATCH($B61,$N$1:$N$2,0)))^(U$16-T$16),INDEX(AEA2012_ZAR2022!$AC$6:$AG$104,MATCH($G61&amp;$H61,AEA2012_ZAR2022!$A$6:$A$104&amp;AEA2012_ZAR2022!$B$6:$B$104,0),MATCH(U$16,AEA2012_ZAR2022!$AC$4:$AG$4,0)))</f>
        <v>5.5046598592947023</v>
      </c>
      <c r="V61" s="67"/>
      <c r="W61" s="256">
        <f t="shared" si="8"/>
        <v>-4.9750416666666771E-3</v>
      </c>
      <c r="X61" s="256">
        <f t="shared" si="9"/>
        <v>-8.0468874575123969E-3</v>
      </c>
      <c r="AD61" s="61" t="str">
        <f t="shared" si="11"/>
        <v>BRT-HGN</v>
      </c>
      <c r="AE61" s="80"/>
      <c r="AF61" s="80"/>
      <c r="AG61" s="80"/>
      <c r="AH61" s="80"/>
      <c r="AI61" s="80"/>
    </row>
    <row r="62" spans="1:40" x14ac:dyDescent="0.25">
      <c r="A62" s="61" t="s">
        <v>509</v>
      </c>
      <c r="B62" s="61" t="s">
        <v>613</v>
      </c>
      <c r="C62" s="61" t="s">
        <v>59</v>
      </c>
      <c r="D62" s="61" t="str">
        <f t="shared" si="6"/>
        <v>BRT</v>
      </c>
      <c r="E62" s="61" t="s">
        <v>687</v>
      </c>
      <c r="F62" s="65"/>
      <c r="G62" s="255" t="s">
        <v>60</v>
      </c>
      <c r="H62" s="792" t="s">
        <v>700</v>
      </c>
      <c r="I62" s="897"/>
      <c r="J62" s="897"/>
      <c r="K62" s="897"/>
      <c r="L62" s="897"/>
      <c r="M62" s="897"/>
      <c r="N62" s="897"/>
      <c r="O62" s="897"/>
      <c r="P62" s="103" t="str">
        <f t="shared" si="10"/>
        <v>BRTGAS</v>
      </c>
      <c r="Q62" s="67">
        <f>INDEX('Vehicle data '!$AD$20:$AD$110,MATCH($P62,'Vehicle data '!$AC$20:$AC$110,0))/INDEX('Vehicle data '!$AD$20:$AD$110,MATCH($P$52,'Vehicle data '!$AC$20:$AC$110,0))*Q$52</f>
        <v>17.871479072128476</v>
      </c>
      <c r="R62" s="67">
        <f t="array" ref="R62">IF($J$1,Q62*(1+INDEX(R$1:R$2,MATCH($B62,$N$1:$N$2,0)))^(R$16-Q$16),INDEX(AEA2012_ZAR2022!$AC$6:$AG$104,MATCH($G62&amp;$H62,AEA2012_ZAR2022!$A$6:$A$104&amp;AEA2012_ZAR2022!$B$6:$B$104,0),MATCH(R$16,AEA2012_ZAR2022!$AC$4:$AG$4,0)))</f>
        <v>17.604745013042074</v>
      </c>
      <c r="S62" s="67">
        <f t="array" ref="S62">IF($J$1,R62*(1+INDEX(S$1:S$2,MATCH($B62,$N$1:$N$2,0)))^(S$16-R$16),INDEX(AEA2012_ZAR2022!$AC$6:$AG$104,MATCH($G62&amp;$H62,AEA2012_ZAR2022!$A$6:$A$104&amp;AEA2012_ZAR2022!$B$6:$B$104,0),MATCH(S$16,AEA2012_ZAR2022!$AC$4:$AG$4,0)))</f>
        <v>16.328071500567166</v>
      </c>
      <c r="T62" s="67">
        <f t="array" ref="T62">IF($J$1,S62*(1+INDEX(T$1:T$2,MATCH($B62,$N$1:$N$2,0)))^(T$16-S$16),INDEX(AEA2012_ZAR2022!$AC$6:$AG$104,MATCH($G62&amp;$H62,AEA2012_ZAR2022!$A$6:$A$104&amp;AEA2012_ZAR2022!$B$6:$B$104,0),MATCH(T$16,AEA2012_ZAR2022!$AC$4:$AG$4,0)))</f>
        <v>14.766815184575055</v>
      </c>
      <c r="U62" s="67">
        <f t="array" ref="U62">IF($J$1,T62*(1+INDEX(U$1:U$2,MATCH($B62,$N$1:$N$2,0)))^(U$16-T$16),INDEX(AEA2012_ZAR2022!$AC$6:$AG$104,MATCH($G62&amp;$H62,AEA2012_ZAR2022!$A$6:$A$104&amp;AEA2012_ZAR2022!$B$6:$B$104,0),MATCH(U$16,AEA2012_ZAR2022!$AC$4:$AG$4,0)))</f>
        <v>13.354842957897509</v>
      </c>
      <c r="V62" s="67"/>
      <c r="W62" s="256">
        <f t="shared" si="8"/>
        <v>-4.9750416666666927E-3</v>
      </c>
      <c r="X62" s="256">
        <f t="shared" si="9"/>
        <v>-8.0468874575123951E-3</v>
      </c>
      <c r="AD62" s="61" t="str">
        <f t="shared" si="11"/>
        <v>BRT-GAS</v>
      </c>
      <c r="AE62" s="80"/>
      <c r="AF62" s="80"/>
      <c r="AG62" s="80"/>
      <c r="AH62" s="80"/>
      <c r="AI62" s="80"/>
      <c r="AM62" s="261">
        <v>2020</v>
      </c>
      <c r="AN62" s="261"/>
    </row>
    <row r="63" spans="1:40" x14ac:dyDescent="0.25">
      <c r="D63" s="61" t="str">
        <f t="shared" si="6"/>
        <v/>
      </c>
      <c r="F63" s="65"/>
      <c r="G63" s="255"/>
      <c r="I63" s="897"/>
      <c r="J63" s="897"/>
      <c r="K63" s="897"/>
      <c r="L63" s="897"/>
      <c r="M63" s="897"/>
      <c r="N63" s="897"/>
      <c r="O63" s="897"/>
      <c r="P63" s="103" t="str">
        <f t="shared" si="10"/>
        <v/>
      </c>
      <c r="Q63" s="67" t="e">
        <f>1/INDEX(Analytica!$AA$17:$AE$48,MATCH($P63,Analytica!$A$17:$A$48,0),MATCH(Q$16,Analytica!$AA$16:$AE$16,0))</f>
        <v>#N/A</v>
      </c>
      <c r="R63" s="67" t="e">
        <f t="array" ref="R63">IF($J$1,Q63*(1+INDEX(R$1:R$2,MATCH($B63,$N$1:$N$2,0)))^(R$16-Q$16),INDEX(AEA2012_ZAR2022!$AC$6:$AG$104,MATCH($G63&amp;$H63,AEA2012_ZAR2022!$A$6:$A$104&amp;AEA2012_ZAR2022!$B$6:$B$104,0),MATCH(R$16,AEA2012_ZAR2022!$AC$4:$AG$4,0)))</f>
        <v>#N/A</v>
      </c>
      <c r="S63" s="67" t="e">
        <f t="array" ref="S63">IF($J$1,R63*(1+INDEX(S$1:S$2,MATCH($B63,$N$1:$N$2,0)))^(S$16-R$16),INDEX(AEA2012_ZAR2022!$AC$6:$AG$104,MATCH($G63&amp;$H63,AEA2012_ZAR2022!$A$6:$A$104&amp;AEA2012_ZAR2022!$B$6:$B$104,0),MATCH(S$16,AEA2012_ZAR2022!$AC$4:$AG$4,0)))</f>
        <v>#N/A</v>
      </c>
      <c r="T63" s="67" t="e">
        <f t="array" ref="T63">IF($J$1,S63*(1+INDEX(T$1:T$2,MATCH($B63,$N$1:$N$2,0)))^(T$16-S$16),INDEX(AEA2012_ZAR2022!$AC$6:$AG$104,MATCH($G63&amp;$H63,AEA2012_ZAR2022!$A$6:$A$104&amp;AEA2012_ZAR2022!$B$6:$B$104,0),MATCH(T$16,AEA2012_ZAR2022!$AC$4:$AG$4,0)))</f>
        <v>#N/A</v>
      </c>
      <c r="U63" s="67" t="e">
        <f t="array" ref="U63">IF($J$1,T63*(1+INDEX(U$1:U$2,MATCH($B63,$N$1:$N$2,0)))^(U$16-T$16),INDEX(AEA2012_ZAR2022!$AC$6:$AG$104,MATCH($G63&amp;$H63,AEA2012_ZAR2022!$A$6:$A$104&amp;AEA2012_ZAR2022!$B$6:$B$104,0),MATCH(U$16,AEA2012_ZAR2022!$AC$4:$AG$4,0)))</f>
        <v>#N/A</v>
      </c>
      <c r="V63" s="67"/>
      <c r="W63" s="256" t="e">
        <f t="shared" si="8"/>
        <v>#N/A</v>
      </c>
      <c r="X63" s="256" t="e">
        <f t="shared" si="9"/>
        <v>#N/A</v>
      </c>
      <c r="AD63" s="61" t="str">
        <f t="shared" si="11"/>
        <v>-</v>
      </c>
      <c r="AE63" s="80"/>
      <c r="AF63" s="80"/>
      <c r="AG63" s="80"/>
      <c r="AH63" s="80"/>
      <c r="AI63" s="80"/>
      <c r="AM63" s="261" t="s">
        <v>723</v>
      </c>
      <c r="AN63" s="261"/>
    </row>
    <row r="64" spans="1:40" x14ac:dyDescent="0.25">
      <c r="A64" s="61" t="s">
        <v>573</v>
      </c>
      <c r="B64" s="61" t="s">
        <v>653</v>
      </c>
      <c r="C64" s="61" t="s">
        <v>63</v>
      </c>
      <c r="D64" s="61" t="str">
        <f t="shared" si="6"/>
        <v>LCV</v>
      </c>
      <c r="E64" s="61" t="s">
        <v>680</v>
      </c>
      <c r="F64" s="65"/>
      <c r="G64" s="255" t="s">
        <v>701</v>
      </c>
      <c r="H64" s="792" t="s">
        <v>680</v>
      </c>
      <c r="I64" s="897"/>
      <c r="J64" s="897"/>
      <c r="K64" s="897"/>
      <c r="L64" s="897"/>
      <c r="M64" s="897"/>
      <c r="N64" s="897"/>
      <c r="O64" s="897"/>
      <c r="P64" s="103" t="str">
        <f t="shared" si="10"/>
        <v>LCVOGS</v>
      </c>
      <c r="Q64" s="67">
        <f>1/INDEX(Analytica!$AA$17:$AE$48,MATCH($P64,Analytica!$A$17:$A$48,0),MATCH(Q$16,Analytica!$AA$16:$AE$16,0))</f>
        <v>4.8483852312768576</v>
      </c>
      <c r="R64" s="67">
        <f t="array" ref="R64">IF($J$1,Q64*(1+INDEX(R$1:R$2,MATCH($B64,$N$1:$N$2,0)))^(R$16-Q$16),INDEX(AEA2012_ZAR2022!$AC$6:$AG$104,MATCH($G64&amp;$H64,AEA2012_ZAR2022!$A$6:$A$104&amp;AEA2012_ZAR2022!$B$6:$B$104,0),MATCH(R$16,AEA2012_ZAR2022!$AC$4:$AG$4,0)))</f>
        <v>4.8338546158903357</v>
      </c>
      <c r="S64" s="67">
        <f t="array" ref="S64">IF($J$1,R64*(1+INDEX(S$1:S$2,MATCH($B64,$N$1:$N$2,0)))^(S$16-R$16),INDEX(AEA2012_ZAR2022!$AC$6:$AG$104,MATCH($G64&amp;$H64,AEA2012_ZAR2022!$A$6:$A$104&amp;AEA2012_ZAR2022!$B$6:$B$104,0),MATCH(S$16,AEA2012_ZAR2022!$AC$4:$AG$4,0)))</f>
        <v>4.5744771114907996</v>
      </c>
      <c r="T64" s="67">
        <f t="array" ref="T64">IF($J$1,S64*(1+INDEX(T$1:T$2,MATCH($B64,$N$1:$N$2,0)))^(T$16-S$16),INDEX(AEA2012_ZAR2022!$AC$6:$AG$104,MATCH($G64&amp;$H64,AEA2012_ZAR2022!$A$6:$A$104&amp;AEA2012_ZAR2022!$B$6:$B$104,0),MATCH(T$16,AEA2012_ZAR2022!$AC$4:$AG$4,0)))</f>
        <v>4.1370751021703311</v>
      </c>
      <c r="U64" s="67">
        <f t="array" ref="U64">IF($J$1,T64*(1+INDEX(U$1:U$2,MATCH($B64,$N$1:$N$2,0)))^(U$16-T$16),INDEX(AEA2012_ZAR2022!$AC$6:$AG$104,MATCH($G64&amp;$H64,AEA2012_ZAR2022!$A$6:$A$104&amp;AEA2012_ZAR2022!$B$6:$B$104,0),MATCH(U$16,AEA2012_ZAR2022!$AC$4:$AG$4,0)))</f>
        <v>3.741496565368065</v>
      </c>
      <c r="V64" s="67"/>
      <c r="W64" s="256">
        <f t="shared" si="8"/>
        <v>-9.9900033333332784E-4</v>
      </c>
      <c r="X64" s="256">
        <f t="shared" si="9"/>
        <v>-7.5326913841620375E-3</v>
      </c>
      <c r="AD64" s="61" t="str">
        <f t="shared" si="11"/>
        <v>LCV-OGS</v>
      </c>
      <c r="AE64" s="80"/>
      <c r="AF64" s="80"/>
      <c r="AG64" s="80"/>
      <c r="AH64" s="80"/>
      <c r="AI64" s="80"/>
      <c r="AM64" s="261">
        <f>Analytica!AB34</f>
        <v>0.206726097108171</v>
      </c>
      <c r="AN64" s="266" t="e" cm="1">
        <f t="array" aca="1" ref="AN64" ca="1">(1/AM64)/INDIRECT("cv."&amp;LEFT($H64,6)&amp;".lhv.MJL") * 100</f>
        <v>#REF!</v>
      </c>
    </row>
    <row r="65" spans="1:40" x14ac:dyDescent="0.25">
      <c r="A65" s="61" t="s">
        <v>519</v>
      </c>
      <c r="B65" s="61" t="s">
        <v>653</v>
      </c>
      <c r="C65" s="61" t="s">
        <v>63</v>
      </c>
      <c r="D65" s="61" t="str">
        <f t="shared" si="6"/>
        <v>LCV</v>
      </c>
      <c r="E65" s="61" t="s">
        <v>680</v>
      </c>
      <c r="F65" s="65"/>
      <c r="G65" s="255" t="s">
        <v>701</v>
      </c>
      <c r="H65" s="792" t="s">
        <v>688</v>
      </c>
      <c r="I65" s="897"/>
      <c r="J65" s="897"/>
      <c r="K65" s="897"/>
      <c r="L65" s="897"/>
      <c r="M65" s="897"/>
      <c r="N65" s="897"/>
      <c r="O65" s="897"/>
      <c r="P65" s="103" t="str">
        <f t="shared" si="10"/>
        <v>LCVOGSH</v>
      </c>
      <c r="Q65" s="67">
        <f>INDEX('Vehicle data '!$AD$20:$AD$110,MATCH($P65,'Vehicle data '!$AC$20:$AC$110,0))/INDEX('Vehicle data '!$AD$20:$AD$110,MATCH($P$64,'Vehicle data '!$AC$20:$AC$110,0))*Q$64</f>
        <v>3.7046285266563088</v>
      </c>
      <c r="R65" s="67">
        <f t="array" ref="R65">IF($J$1,Q65*(1+INDEX(R$1:R$2,MATCH($B65,$N$1:$N$2,0)))^(R$16-Q$16),INDEX(AEA2012_ZAR2022!$AC$6:$AG$104,MATCH($G65&amp;$H65,AEA2012_ZAR2022!$A$6:$A$104&amp;AEA2012_ZAR2022!$B$6:$B$104,0),MATCH(R$16,AEA2012_ZAR2022!$AC$4:$AG$4,0)))</f>
        <v>3.6935257512572912</v>
      </c>
      <c r="S65" s="67">
        <f t="array" ref="S65">IF($J$1,R65*(1+INDEX(S$1:S$2,MATCH($B65,$N$1:$N$2,0)))^(S$16-R$16),INDEX(AEA2012_ZAR2022!$AC$6:$AG$104,MATCH($G65&amp;$H65,AEA2012_ZAR2022!$A$6:$A$104&amp;AEA2012_ZAR2022!$B$6:$B$104,0),MATCH(S$16,AEA2012_ZAR2022!$AC$4:$AG$4,0)))</f>
        <v>3.4953366107218584</v>
      </c>
      <c r="T65" s="67">
        <f t="array" ref="T65">IF($J$1,S65*(1+INDEX(T$1:T$2,MATCH($B65,$N$1:$N$2,0)))^(T$16-S$16),INDEX(AEA2012_ZAR2022!$AC$6:$AG$104,MATCH($G65&amp;$H65,AEA2012_ZAR2022!$A$6:$A$104&amp;AEA2012_ZAR2022!$B$6:$B$104,0),MATCH(T$16,AEA2012_ZAR2022!$AC$4:$AG$4,0)))</f>
        <v>3.1611197768588757</v>
      </c>
      <c r="U65" s="67">
        <f t="array" ref="U65">IF($J$1,T65*(1+INDEX(U$1:U$2,MATCH($B65,$N$1:$N$2,0)))^(U$16-T$16),INDEX(AEA2012_ZAR2022!$AC$6:$AG$104,MATCH($G65&amp;$H65,AEA2012_ZAR2022!$A$6:$A$104&amp;AEA2012_ZAR2022!$B$6:$B$104,0),MATCH(U$16,AEA2012_ZAR2022!$AC$4:$AG$4,0)))</f>
        <v>2.8588600631469983</v>
      </c>
      <c r="V65" s="67"/>
      <c r="W65" s="256">
        <f t="shared" si="8"/>
        <v>-9.9900033333334432E-4</v>
      </c>
      <c r="X65" s="256">
        <f t="shared" si="9"/>
        <v>-7.5326913841620427E-3</v>
      </c>
      <c r="AD65" s="61" t="str">
        <f t="shared" si="11"/>
        <v>LCV-OGSH</v>
      </c>
      <c r="AE65" s="80"/>
      <c r="AF65" s="80"/>
      <c r="AG65" s="80"/>
      <c r="AH65" s="80"/>
      <c r="AI65" s="80"/>
      <c r="AM65" s="261">
        <f>Analytica!AB33</f>
        <v>0.236416891901715</v>
      </c>
      <c r="AN65" s="266" t="e" cm="1">
        <f t="array" aca="1" ref="AN65" ca="1">(1/AM65)/INDIRECT("cv."&amp;LEFT($H65,6)&amp;".lhv.MJL") * 100</f>
        <v>#REF!</v>
      </c>
    </row>
    <row r="66" spans="1:40" x14ac:dyDescent="0.25">
      <c r="A66" s="61" t="s">
        <v>511</v>
      </c>
      <c r="B66" s="61" t="s">
        <v>653</v>
      </c>
      <c r="C66" s="61" t="s">
        <v>63</v>
      </c>
      <c r="D66" s="61" t="str">
        <f t="shared" si="6"/>
        <v>LCV</v>
      </c>
      <c r="E66" s="61" t="s">
        <v>680</v>
      </c>
      <c r="F66" s="65"/>
      <c r="G66" s="255" t="s">
        <v>701</v>
      </c>
      <c r="H66" s="792" t="s">
        <v>687</v>
      </c>
      <c r="I66" s="897"/>
      <c r="J66" s="897"/>
      <c r="K66" s="897"/>
      <c r="L66" s="897"/>
      <c r="M66" s="897"/>
      <c r="N66" s="897"/>
      <c r="O66" s="897"/>
      <c r="P66" s="166" t="str">
        <f t="shared" si="10"/>
        <v>LCVODS</v>
      </c>
      <c r="Q66" s="67">
        <f>1/INDEX(Analytica!$AA$17:$AE$48,MATCH($P66,Analytica!$A$17:$A$48,0),MATCH(Q$16,Analytica!$AA$16:$AE$16,0))</f>
        <v>4.2382643969590106</v>
      </c>
      <c r="R66" s="67">
        <f t="array" ref="R66">IF($J$1,Q66*(1+INDEX(R$1:R$2,MATCH($B66,$N$1:$N$2,0)))^(R$16-Q$16),INDEX(AEA2012_ZAR2022!$AC$6:$AG$104,MATCH($G66&amp;$H66,AEA2012_ZAR2022!$A$6:$A$104&amp;AEA2012_ZAR2022!$B$6:$B$104,0),MATCH(R$16,AEA2012_ZAR2022!$AC$4:$AG$4,0)))</f>
        <v>4.2255623143230601</v>
      </c>
      <c r="S66" s="67">
        <f t="array" ref="S66">IF($J$1,R66*(1+INDEX(S$1:S$2,MATCH($B66,$N$1:$N$2,0)))^(S$16-R$16),INDEX(AEA2012_ZAR2022!$AC$6:$AG$104,MATCH($G66&amp;$H66,AEA2012_ZAR2022!$A$6:$A$104&amp;AEA2012_ZAR2022!$B$6:$B$104,0),MATCH(S$16,AEA2012_ZAR2022!$AC$4:$AG$4,0)))</f>
        <v>3.9988248770466241</v>
      </c>
      <c r="T66" s="67">
        <f t="array" ref="T66">IF($J$1,S66*(1+INDEX(T$1:T$2,MATCH($B66,$N$1:$N$2,0)))^(T$16-S$16),INDEX(AEA2012_ZAR2022!$AC$6:$AG$104,MATCH($G66&amp;$H66,AEA2012_ZAR2022!$A$6:$A$104&amp;AEA2012_ZAR2022!$B$6:$B$104,0),MATCH(T$16,AEA2012_ZAR2022!$AC$4:$AG$4,0)))</f>
        <v>3.6164655399002528</v>
      </c>
      <c r="U66" s="67">
        <f t="array" ref="U66">IF($J$1,T66*(1+INDEX(U$1:U$2,MATCH($B66,$N$1:$N$2,0)))^(U$16-T$16),INDEX(AEA2012_ZAR2022!$AC$6:$AG$104,MATCH($G66&amp;$H66,AEA2012_ZAR2022!$A$6:$A$104&amp;AEA2012_ZAR2022!$B$6:$B$104,0),MATCH(U$16,AEA2012_ZAR2022!$AC$4:$AG$4,0)))</f>
        <v>3.2706666091728263</v>
      </c>
      <c r="V66" s="67"/>
      <c r="W66" s="896">
        <f t="shared" si="8"/>
        <v>-9.9900033333333066E-4</v>
      </c>
      <c r="X66" s="896">
        <f t="shared" si="9"/>
        <v>-7.5326913841620409E-3</v>
      </c>
      <c r="AD66" s="61" t="str">
        <f t="shared" si="11"/>
        <v>LCV-ODS</v>
      </c>
      <c r="AE66" s="80"/>
      <c r="AF66" s="80"/>
      <c r="AG66" s="80"/>
      <c r="AH66" s="80"/>
      <c r="AI66" s="80"/>
    </row>
    <row r="67" spans="1:40" x14ac:dyDescent="0.25">
      <c r="A67" s="61" t="s">
        <v>521</v>
      </c>
      <c r="B67" s="61" t="s">
        <v>653</v>
      </c>
      <c r="C67" s="61" t="s">
        <v>63</v>
      </c>
      <c r="D67" s="61" t="str">
        <f t="shared" si="6"/>
        <v>LCV</v>
      </c>
      <c r="E67" s="61" t="s">
        <v>680</v>
      </c>
      <c r="F67" s="65"/>
      <c r="G67" s="255" t="s">
        <v>701</v>
      </c>
      <c r="H67" s="792" t="s">
        <v>689</v>
      </c>
      <c r="I67" s="897"/>
      <c r="J67" s="897"/>
      <c r="K67" s="897"/>
      <c r="L67" s="897"/>
      <c r="M67" s="897"/>
      <c r="N67" s="897"/>
      <c r="O67" s="897"/>
      <c r="P67" s="166" t="str">
        <f t="shared" si="10"/>
        <v>LCVODSH</v>
      </c>
      <c r="Q67" s="67">
        <f>INDEX('Vehicle data '!$AD$20:$AD$110,MATCH($P67,'Vehicle data '!$AC$20:$AC$110,0))/INDEX('Vehicle data '!$AD$20:$AD$110,MATCH($P$64,'Vehicle data '!$AC$20:$AC$110,0))*Q$64</f>
        <v>4.1325296806540024</v>
      </c>
      <c r="R67" s="67">
        <f t="array" ref="R67">IF($J$1,Q67*(1+INDEX(R$1:R$2,MATCH($B67,$N$1:$N$2,0)))^(R$16-Q$16),INDEX(AEA2012_ZAR2022!$AC$6:$AG$104,MATCH($G67&amp;$H67,AEA2012_ZAR2022!$A$6:$A$104&amp;AEA2012_ZAR2022!$B$6:$B$104,0),MATCH(R$16,AEA2012_ZAR2022!$AC$4:$AG$4,0)))</f>
        <v>4.1201444850685522</v>
      </c>
      <c r="S67" s="67">
        <f t="array" ref="S67">IF($J$1,R67*(1+INDEX(S$1:S$2,MATCH($B67,$N$1:$N$2,0)))^(S$16-R$16),INDEX(AEA2012_ZAR2022!$AC$6:$AG$104,MATCH($G67&amp;$H67,AEA2012_ZAR2022!$A$6:$A$104&amp;AEA2012_ZAR2022!$B$6:$B$104,0),MATCH(S$16,AEA2012_ZAR2022!$AC$4:$AG$4,0)))</f>
        <v>3.8990636129236713</v>
      </c>
      <c r="T67" s="67">
        <f t="array" ref="T67">IF($J$1,S67*(1+INDEX(T$1:T$2,MATCH($B67,$N$1:$N$2,0)))^(T$16-S$16),INDEX(AEA2012_ZAR2022!$AC$6:$AG$104,MATCH($G67&amp;$H67,AEA2012_ZAR2022!$A$6:$A$104&amp;AEA2012_ZAR2022!$B$6:$B$104,0),MATCH(T$16,AEA2012_ZAR2022!$AC$4:$AG$4,0)))</f>
        <v>3.5262432408472351</v>
      </c>
      <c r="U67" s="67">
        <f t="array" ref="U67">IF($J$1,T67*(1+INDEX(U$1:U$2,MATCH($B67,$N$1:$N$2,0)))^(U$16-T$16),INDEX(AEA2012_ZAR2022!$AC$6:$AG$104,MATCH($G67&amp;$H67,AEA2012_ZAR2022!$A$6:$A$104&amp;AEA2012_ZAR2022!$B$6:$B$104,0),MATCH(U$16,AEA2012_ZAR2022!$AC$4:$AG$4,0)))</f>
        <v>3.1890711791431934</v>
      </c>
      <c r="V67" s="67"/>
      <c r="W67" s="896">
        <f t="shared" si="8"/>
        <v>-9.9900033333336752E-4</v>
      </c>
      <c r="X67" s="896">
        <f t="shared" si="9"/>
        <v>-7.5326913841620401E-3</v>
      </c>
      <c r="AD67" s="61" t="str">
        <f t="shared" si="11"/>
        <v>LCV-ODSH</v>
      </c>
      <c r="AE67" s="80"/>
      <c r="AF67" s="80"/>
      <c r="AG67" s="80"/>
      <c r="AH67" s="80"/>
      <c r="AI67" s="80"/>
    </row>
    <row r="68" spans="1:40" x14ac:dyDescent="0.25">
      <c r="A68" s="61" t="s">
        <v>501</v>
      </c>
      <c r="B68" s="61" t="s">
        <v>653</v>
      </c>
      <c r="C68" s="61" t="s">
        <v>63</v>
      </c>
      <c r="D68" s="61" t="str">
        <f t="shared" si="6"/>
        <v>LCV</v>
      </c>
      <c r="E68" s="61" t="s">
        <v>680</v>
      </c>
      <c r="F68" s="65"/>
      <c r="G68" s="255" t="s">
        <v>701</v>
      </c>
      <c r="H68" s="792" t="s">
        <v>692</v>
      </c>
      <c r="I68" s="897"/>
      <c r="J68" s="897"/>
      <c r="K68" s="897"/>
      <c r="L68" s="897"/>
      <c r="M68" s="897"/>
      <c r="N68" s="897"/>
      <c r="O68" s="897"/>
      <c r="P68" s="166" t="str">
        <f t="shared" si="10"/>
        <v>LCVELC</v>
      </c>
      <c r="Q68" s="67">
        <f>INDEX('Vehicle data '!$AD$20:$AD$110,MATCH($P68,'Vehicle data '!$AC$20:$AC$110,0))/INDEX('Vehicle data '!$AD$20:$AD$110,MATCH($P$64,'Vehicle data '!$AC$20:$AC$110,0))*Q$64</f>
        <v>1.2132729033983527</v>
      </c>
      <c r="R68" s="67">
        <f t="array" ref="R68">IF($J$1,Q68*(1+INDEX(R$1:R$2,MATCH($B68,$N$1:$N$2,0)))^(R$16-Q$16),INDEX(AEA2012_ZAR2022!$AC$6:$AG$104,MATCH($G68&amp;$H68,AEA2012_ZAR2022!$A$6:$A$104&amp;AEA2012_ZAR2022!$B$6:$B$104,0),MATCH(R$16,AEA2012_ZAR2022!$AC$4:$AG$4,0)))</f>
        <v>1.209636723293595</v>
      </c>
      <c r="S68" s="67">
        <f t="array" ref="S68">IF($J$1,R68*(1+INDEX(S$1:S$2,MATCH($B68,$N$1:$N$2,0)))^(S$16-R$16),INDEX(AEA2012_ZAR2022!$AC$6:$AG$104,MATCH($G68&amp;$H68,AEA2012_ZAR2022!$A$6:$A$104&amp;AEA2012_ZAR2022!$B$6:$B$104,0),MATCH(S$16,AEA2012_ZAR2022!$AC$4:$AG$4,0)))</f>
        <v>1.1447294020252792</v>
      </c>
      <c r="T68" s="67">
        <f t="array" ref="T68">IF($J$1,S68*(1+INDEX(T$1:T$2,MATCH($B68,$N$1:$N$2,0)))^(T$16-S$16),INDEX(AEA2012_ZAR2022!$AC$6:$AG$104,MATCH($G68&amp;$H68,AEA2012_ZAR2022!$A$6:$A$104&amp;AEA2012_ZAR2022!$B$6:$B$104,0),MATCH(T$16,AEA2012_ZAR2022!$AC$4:$AG$4,0)))</f>
        <v>1.0352727519272098</v>
      </c>
      <c r="U68" s="67">
        <f t="array" ref="U68">IF($J$1,T68*(1+INDEX(U$1:U$2,MATCH($B68,$N$1:$N$2,0)))^(U$16-T$16),INDEX(AEA2012_ZAR2022!$AC$6:$AG$104,MATCH($G68&amp;$H68,AEA2012_ZAR2022!$A$6:$A$104&amp;AEA2012_ZAR2022!$B$6:$B$104,0),MATCH(U$16,AEA2012_ZAR2022!$AC$4:$AG$4,0)))</f>
        <v>0.93628211958800511</v>
      </c>
      <c r="V68" s="67"/>
      <c r="W68" s="896">
        <f t="shared" si="8"/>
        <v>-9.9900033333332806E-4</v>
      </c>
      <c r="X68" s="896">
        <f t="shared" si="9"/>
        <v>-7.5326913841620375E-3</v>
      </c>
      <c r="AD68" s="61" t="str">
        <f t="shared" si="11"/>
        <v>LCV-ELC</v>
      </c>
      <c r="AE68" s="80"/>
      <c r="AF68" s="80"/>
      <c r="AG68" s="80"/>
      <c r="AH68" s="80"/>
      <c r="AI68" s="80"/>
    </row>
    <row r="69" spans="1:40" x14ac:dyDescent="0.25">
      <c r="A69" s="61" t="s">
        <v>504</v>
      </c>
      <c r="B69" s="61" t="s">
        <v>653</v>
      </c>
      <c r="C69" s="61" t="s">
        <v>63</v>
      </c>
      <c r="D69" s="61" t="str">
        <f t="shared" si="6"/>
        <v>LCV</v>
      </c>
      <c r="E69" s="61" t="s">
        <v>680</v>
      </c>
      <c r="F69" s="65"/>
      <c r="G69" s="255" t="s">
        <v>701</v>
      </c>
      <c r="H69" s="792" t="s">
        <v>699</v>
      </c>
      <c r="I69" s="897"/>
      <c r="J69" s="897"/>
      <c r="K69" s="897"/>
      <c r="L69" s="897"/>
      <c r="M69" s="897"/>
      <c r="N69" s="897"/>
      <c r="O69" s="897"/>
      <c r="P69" s="166" t="str">
        <f t="shared" si="10"/>
        <v>LCVHGN</v>
      </c>
      <c r="Q69" s="67">
        <f>INDEX('Vehicle data '!$AD$20:$AD$110,MATCH($P69,'Vehicle data '!$AC$20:$AC$110,0))/INDEX('Vehicle data '!$AD$20:$AD$110,MATCH($P$64,'Vehicle data '!$AC$20:$AC$110,0))*Q$64</f>
        <v>2.3888839563386695</v>
      </c>
      <c r="R69" s="67">
        <f t="array" ref="R69">IF($J$1,Q69*(1+INDEX(R$1:R$2,MATCH($B69,$N$1:$N$2,0)))^(R$16-Q$16),INDEX(AEA2012_ZAR2022!$AC$6:$AG$104,MATCH($G69&amp;$H69,AEA2012_ZAR2022!$A$6:$A$104&amp;AEA2012_ZAR2022!$B$6:$B$104,0),MATCH(R$16,AEA2012_ZAR2022!$AC$4:$AG$4,0)))</f>
        <v>2.3817244687326387</v>
      </c>
      <c r="S69" s="67">
        <f t="array" ref="S69">IF($J$1,R69*(1+INDEX(S$1:S$2,MATCH($B69,$N$1:$N$2,0)))^(S$16-R$16),INDEX(AEA2012_ZAR2022!$AC$6:$AG$104,MATCH($G69&amp;$H69,AEA2012_ZAR2022!$A$6:$A$104&amp;AEA2012_ZAR2022!$B$6:$B$104,0),MATCH(S$16,AEA2012_ZAR2022!$AC$4:$AG$4,0)))</f>
        <v>2.2539246489291216</v>
      </c>
      <c r="T69" s="67">
        <f t="array" ref="T69">IF($J$1,S69*(1+INDEX(T$1:T$2,MATCH($B69,$N$1:$N$2,0)))^(T$16-S$16),INDEX(AEA2012_ZAR2022!$AC$6:$AG$104,MATCH($G69&amp;$H69,AEA2012_ZAR2022!$A$6:$A$104&amp;AEA2012_ZAR2022!$B$6:$B$104,0),MATCH(T$16,AEA2012_ZAR2022!$AC$4:$AG$4,0)))</f>
        <v>2.0384090509120099</v>
      </c>
      <c r="U69" s="67">
        <f t="array" ref="U69">IF($J$1,T69*(1+INDEX(U$1:U$2,MATCH($B69,$N$1:$N$2,0)))^(U$16-T$16),INDEX(AEA2012_ZAR2022!$AC$6:$AG$104,MATCH($G69&amp;$H69,AEA2012_ZAR2022!$A$6:$A$104&amp;AEA2012_ZAR2022!$B$6:$B$104,0),MATCH(U$16,AEA2012_ZAR2022!$AC$4:$AG$4,0)))</f>
        <v>1.8435006071805309</v>
      </c>
      <c r="V69" s="67"/>
      <c r="W69" s="896">
        <f t="shared" si="8"/>
        <v>-9.9900033333331266E-4</v>
      </c>
      <c r="X69" s="896">
        <f t="shared" si="9"/>
        <v>-7.5326913841620401E-3</v>
      </c>
      <c r="AD69" s="61" t="str">
        <f t="shared" si="11"/>
        <v>LCV-HGN</v>
      </c>
      <c r="AE69" s="80"/>
      <c r="AF69" s="80"/>
      <c r="AG69" s="80"/>
      <c r="AH69" s="80"/>
      <c r="AI69" s="80"/>
    </row>
    <row r="70" spans="1:40" x14ac:dyDescent="0.25">
      <c r="A70" s="61" t="s">
        <v>509</v>
      </c>
      <c r="B70" s="61" t="s">
        <v>653</v>
      </c>
      <c r="C70" s="61" t="s">
        <v>63</v>
      </c>
      <c r="D70" s="61" t="str">
        <f t="shared" si="6"/>
        <v>LCV</v>
      </c>
      <c r="E70" s="61" t="s">
        <v>680</v>
      </c>
      <c r="F70" s="65"/>
      <c r="G70" s="255" t="s">
        <v>701</v>
      </c>
      <c r="H70" s="792" t="s">
        <v>700</v>
      </c>
      <c r="I70" s="897"/>
      <c r="J70" s="897"/>
      <c r="K70" s="897"/>
      <c r="L70" s="897"/>
      <c r="M70" s="897"/>
      <c r="N70" s="897"/>
      <c r="O70" s="897"/>
      <c r="P70" s="166" t="str">
        <f t="shared" si="10"/>
        <v>LCVGAS</v>
      </c>
      <c r="Q70" s="67">
        <f>INDEX('Vehicle data '!$AD$20:$AD$110,MATCH($P70,'Vehicle data '!$AC$20:$AC$110,0))/INDEX('Vehicle data '!$AD$20:$AD$110,MATCH($P$64,'Vehicle data '!$AC$20:$AC$110,0))*Q$64</f>
        <v>5.6887085731586442</v>
      </c>
      <c r="R70" s="67">
        <f t="array" ref="R70">IF($J$1,Q70*(1+INDEX(R$1:R$2,MATCH($B70,$N$1:$N$2,0)))^(R$16-Q$16),INDEX(AEA2012_ZAR2022!$AC$6:$AG$104,MATCH($G70&amp;$H70,AEA2012_ZAR2022!$A$6:$A$104&amp;AEA2012_ZAR2022!$B$6:$B$104,0),MATCH(R$16,AEA2012_ZAR2022!$AC$4:$AG$4,0)))</f>
        <v>5.6716595078761793</v>
      </c>
      <c r="S70" s="67">
        <f t="array" ref="S70">IF($J$1,R70*(1+INDEX(S$1:S$2,MATCH($B70,$N$1:$N$2,0)))^(S$16-R$16),INDEX(AEA2012_ZAR2022!$AC$6:$AG$104,MATCH($G70&amp;$H70,AEA2012_ZAR2022!$A$6:$A$104&amp;AEA2012_ZAR2022!$B$6:$B$104,0),MATCH(S$16,AEA2012_ZAR2022!$AC$4:$AG$4,0)))</f>
        <v>5.3673266294894617</v>
      </c>
      <c r="T70" s="67">
        <f t="array" ref="T70">IF($J$1,S70*(1+INDEX(T$1:T$2,MATCH($B70,$N$1:$N$2,0)))^(T$16-S$16),INDEX(AEA2012_ZAR2022!$AC$6:$AG$104,MATCH($G70&amp;$H70,AEA2012_ZAR2022!$A$6:$A$104&amp;AEA2012_ZAR2022!$B$6:$B$104,0),MATCH(T$16,AEA2012_ZAR2022!$AC$4:$AG$4,0)))</f>
        <v>4.8541139944276912</v>
      </c>
      <c r="U70" s="67">
        <f t="array" ref="U70">IF($J$1,T70*(1+INDEX(U$1:U$2,MATCH($B70,$N$1:$N$2,0)))^(U$16-T$16),INDEX(AEA2012_ZAR2022!$AC$6:$AG$104,MATCH($G70&amp;$H70,AEA2012_ZAR2022!$A$6:$A$104&amp;AEA2012_ZAR2022!$B$6:$B$104,0),MATCH(U$16,AEA2012_ZAR2022!$AC$4:$AG$4,0)))</f>
        <v>4.3899736866097907</v>
      </c>
      <c r="V70" s="67"/>
      <c r="W70" s="896">
        <f t="shared" si="8"/>
        <v>-9.9900033333332329E-4</v>
      </c>
      <c r="X70" s="896">
        <f t="shared" si="9"/>
        <v>-7.5326913841620418E-3</v>
      </c>
      <c r="AD70" s="61" t="str">
        <f t="shared" si="11"/>
        <v>LCV-GAS</v>
      </c>
      <c r="AE70" s="80"/>
      <c r="AF70" s="80"/>
      <c r="AG70" s="80"/>
      <c r="AH70" s="80"/>
      <c r="AI70" s="80"/>
    </row>
    <row r="71" spans="1:40" x14ac:dyDescent="0.25">
      <c r="B71" s="61" t="s">
        <v>653</v>
      </c>
      <c r="D71" s="61" t="str">
        <f t="shared" si="6"/>
        <v/>
      </c>
      <c r="F71" s="65"/>
      <c r="G71" s="255"/>
      <c r="H71" s="259"/>
      <c r="I71" s="897"/>
      <c r="J71" s="897"/>
      <c r="K71" s="897"/>
      <c r="L71" s="897"/>
      <c r="M71" s="897"/>
      <c r="N71" s="897"/>
      <c r="O71" s="897"/>
      <c r="P71" s="166" t="str">
        <f t="shared" si="10"/>
        <v/>
      </c>
      <c r="Q71" s="67" t="e">
        <f>1/INDEX(Analytica!$AA$17:$AE$48,MATCH($P71,Analytica!$A$17:$A$48,0),MATCH(Q$16,Analytica!$AA$16:$AE$16,0))</f>
        <v>#N/A</v>
      </c>
      <c r="R71" s="67" t="e">
        <f t="array" ref="R71">IF($J$1,Q71*(1+INDEX(R$1:R$2,MATCH($B71,$N$1:$N$2,0)))^(R$16-Q$16),INDEX(AEA2012_ZAR2022!$AC$6:$AG$104,MATCH($G71&amp;$H71,AEA2012_ZAR2022!$A$6:$A$104&amp;AEA2012_ZAR2022!$B$6:$B$104,0),MATCH(R$16,AEA2012_ZAR2022!$AC$4:$AG$4,0)))</f>
        <v>#N/A</v>
      </c>
      <c r="S71" s="67" t="e">
        <f t="array" ref="S71">IF($J$1,R71*(1+INDEX(S$1:S$2,MATCH($B71,$N$1:$N$2,0)))^(S$16-R$16),INDEX(AEA2012_ZAR2022!$AC$6:$AG$104,MATCH($G71&amp;$H71,AEA2012_ZAR2022!$A$6:$A$104&amp;AEA2012_ZAR2022!$B$6:$B$104,0),MATCH(S$16,AEA2012_ZAR2022!$AC$4:$AG$4,0)))</f>
        <v>#N/A</v>
      </c>
      <c r="T71" s="67" t="e">
        <f t="array" ref="T71">IF($J$1,S71*(1+INDEX(T$1:T$2,MATCH($B71,$N$1:$N$2,0)))^(T$16-S$16),INDEX(AEA2012_ZAR2022!$AC$6:$AG$104,MATCH($G71&amp;$H71,AEA2012_ZAR2022!$A$6:$A$104&amp;AEA2012_ZAR2022!$B$6:$B$104,0),MATCH(T$16,AEA2012_ZAR2022!$AC$4:$AG$4,0)))</f>
        <v>#N/A</v>
      </c>
      <c r="U71" s="67" t="e">
        <f t="array" ref="U71">IF($J$1,T71*(1+INDEX(U$1:U$2,MATCH($B71,$N$1:$N$2,0)))^(U$16-T$16),INDEX(AEA2012_ZAR2022!$AC$6:$AG$104,MATCH($G71&amp;$H71,AEA2012_ZAR2022!$A$6:$A$104&amp;AEA2012_ZAR2022!$B$6:$B$104,0),MATCH(U$16,AEA2012_ZAR2022!$AC$4:$AG$4,0)))</f>
        <v>#N/A</v>
      </c>
      <c r="V71" s="67"/>
      <c r="W71" s="896" t="e">
        <f t="shared" si="8"/>
        <v>#N/A</v>
      </c>
      <c r="X71" s="896" t="e">
        <f t="shared" si="9"/>
        <v>#N/A</v>
      </c>
      <c r="AD71" s="61" t="str">
        <f t="shared" si="11"/>
        <v>-</v>
      </c>
      <c r="AE71" s="80"/>
      <c r="AF71" s="80"/>
      <c r="AG71" s="80"/>
      <c r="AH71" s="80"/>
      <c r="AI71" s="80"/>
    </row>
    <row r="72" spans="1:40" x14ac:dyDescent="0.25">
      <c r="A72" s="61" t="s">
        <v>511</v>
      </c>
      <c r="B72" s="61" t="s">
        <v>653</v>
      </c>
      <c r="C72" s="61" t="s">
        <v>724</v>
      </c>
      <c r="D72" s="61" t="str">
        <f t="shared" si="6"/>
        <v>CV1</v>
      </c>
      <c r="E72" s="61" t="s">
        <v>687</v>
      </c>
      <c r="F72" s="65"/>
      <c r="G72" s="255" t="s">
        <v>725</v>
      </c>
      <c r="H72" s="792" t="s">
        <v>687</v>
      </c>
      <c r="I72" s="897"/>
      <c r="J72" s="897"/>
      <c r="K72" s="897"/>
      <c r="L72" s="897"/>
      <c r="M72" s="897"/>
      <c r="N72" s="897"/>
      <c r="O72" s="897"/>
      <c r="P72" s="166" t="str">
        <f t="shared" si="10"/>
        <v>CV1ODS</v>
      </c>
      <c r="Q72" s="67">
        <f>1/INDEX(Analytica!$AA$17:$AE$48,MATCH($P72,Analytica!$A$17:$A$48,0),MATCH(Q$16,Analytica!$AA$16:$AE$16,0))</f>
        <v>5.8711571257638555</v>
      </c>
      <c r="R72" s="67">
        <f t="array" ref="R72">IF($J$1,Q72*(1+INDEX(R$1:R$2,MATCH($B72,$N$1:$N$2,0)))^(R$16-Q$16),INDEX(AEA2012_ZAR2022!$AC$6:$AG$104,MATCH($G72&amp;$H72,AEA2012_ZAR2022!$A$6:$A$104&amp;AEA2012_ZAR2022!$B$6:$B$104,0),MATCH(R$16,AEA2012_ZAR2022!$AC$4:$AG$4,0)))</f>
        <v>5.8535612619867843</v>
      </c>
      <c r="S72" s="67">
        <f t="array" ref="S72">IF($J$1,R72*(1+INDEX(S$1:S$2,MATCH($B72,$N$1:$N$2,0)))^(S$16-R$16),INDEX(AEA2012_ZAR2022!$AC$6:$AG$104,MATCH($G72&amp;$H72,AEA2012_ZAR2022!$A$6:$A$104&amp;AEA2012_ZAR2022!$B$6:$B$104,0),MATCH(S$16,AEA2012_ZAR2022!$AC$4:$AG$4,0)))</f>
        <v>5.539467803943408</v>
      </c>
      <c r="T72" s="67">
        <f t="array" ref="T72">IF($J$1,S72*(1+INDEX(T$1:T$2,MATCH($B72,$N$1:$N$2,0)))^(T$16-S$16),INDEX(AEA2012_ZAR2022!$AC$6:$AG$104,MATCH($G72&amp;$H72,AEA2012_ZAR2022!$A$6:$A$104&amp;AEA2012_ZAR2022!$B$6:$B$104,0),MATCH(T$16,AEA2012_ZAR2022!$AC$4:$AG$4,0)))</f>
        <v>5.0097953869748038</v>
      </c>
      <c r="U72" s="67">
        <f t="array" ref="U72">IF($J$1,T72*(1+INDEX(U$1:U$2,MATCH($B72,$N$1:$N$2,0)))^(U$16-T$16),INDEX(AEA2012_ZAR2022!$AC$6:$AG$104,MATCH($G72&amp;$H72,AEA2012_ZAR2022!$A$6:$A$104&amp;AEA2012_ZAR2022!$B$6:$B$104,0),MATCH(U$16,AEA2012_ZAR2022!$AC$4:$AG$4,0)))</f>
        <v>4.5307691474418084</v>
      </c>
      <c r="V72" s="67"/>
      <c r="W72" s="896">
        <f t="shared" si="8"/>
        <v>-9.9900033333332372E-4</v>
      </c>
      <c r="X72" s="896">
        <f t="shared" si="9"/>
        <v>-7.5326913841620409E-3</v>
      </c>
      <c r="AD72" s="61" t="str">
        <f t="shared" si="11"/>
        <v>HCV1-ODS</v>
      </c>
      <c r="AE72" s="80"/>
      <c r="AF72" s="80"/>
      <c r="AG72" s="80"/>
      <c r="AH72" s="80"/>
      <c r="AI72" s="80"/>
    </row>
    <row r="73" spans="1:40" x14ac:dyDescent="0.25">
      <c r="A73" s="61" t="s">
        <v>573</v>
      </c>
      <c r="B73" s="61" t="s">
        <v>653</v>
      </c>
      <c r="C73" s="61" t="s">
        <v>724</v>
      </c>
      <c r="D73" s="61" t="str">
        <f t="shared" si="6"/>
        <v>CV1</v>
      </c>
      <c r="E73" s="61" t="s">
        <v>687</v>
      </c>
      <c r="F73" s="65"/>
      <c r="G73" s="255" t="s">
        <v>725</v>
      </c>
      <c r="H73" s="792" t="s">
        <v>680</v>
      </c>
      <c r="I73" s="897"/>
      <c r="J73" s="897"/>
      <c r="K73" s="897"/>
      <c r="L73" s="897"/>
      <c r="M73" s="897"/>
      <c r="N73" s="897"/>
      <c r="O73" s="897"/>
      <c r="P73" s="166" t="str">
        <f t="shared" si="10"/>
        <v>CV1OGS</v>
      </c>
      <c r="Q73" s="67">
        <f>1/INDEX(Analytica!$AA$17:$AE$48,MATCH($P73,Analytica!$A$17:$A$48,0),MATCH(Q$16,Analytica!$AA$16:$AE$16,0))</f>
        <v>6.7130154689796147</v>
      </c>
      <c r="R73" s="67">
        <f t="array" ref="R73">IF($J$1,Q73*(1+INDEX(R$1:R$2,MATCH($B73,$N$1:$N$2,0)))^(R$16-Q$16),INDEX(AEA2012_ZAR2022!$AC$6:$AG$104,MATCH($G73&amp;$H73,AEA2012_ZAR2022!$A$6:$A$104&amp;AEA2012_ZAR2022!$B$6:$B$104,0),MATCH(R$16,AEA2012_ZAR2022!$AC$4:$AG$4,0)))</f>
        <v>6.6928965549060671</v>
      </c>
      <c r="S73" s="67">
        <f t="array" ref="S73">IF($J$1,R73*(1+INDEX(S$1:S$2,MATCH($B73,$N$1:$N$2,0)))^(S$16-R$16),INDEX(AEA2012_ZAR2022!$AC$6:$AG$104,MATCH($G73&amp;$H73,AEA2012_ZAR2022!$A$6:$A$104&amp;AEA2012_ZAR2022!$B$6:$B$104,0),MATCH(S$16,AEA2012_ZAR2022!$AC$4:$AG$4,0)))</f>
        <v>6.3337656038201411</v>
      </c>
      <c r="T73" s="67">
        <f t="array" ref="T73">IF($J$1,S73*(1+INDEX(T$1:T$2,MATCH($B73,$N$1:$N$2,0)))^(T$16-S$16),INDEX(AEA2012_ZAR2022!$AC$6:$AG$104,MATCH($G73&amp;$H73,AEA2012_ZAR2022!$A$6:$A$104&amp;AEA2012_ZAR2022!$B$6:$B$104,0),MATCH(T$16,AEA2012_ZAR2022!$AC$4:$AG$4,0)))</f>
        <v>5.7281440794022513</v>
      </c>
      <c r="U73" s="67">
        <f t="array" ref="U73">IF($J$1,T73*(1+INDEX(U$1:U$2,MATCH($B73,$N$1:$N$2,0)))^(U$16-T$16),INDEX(AEA2012_ZAR2022!$AC$6:$AG$104,MATCH($G73&amp;$H73,AEA2012_ZAR2022!$A$6:$A$104&amp;AEA2012_ZAR2022!$B$6:$B$104,0),MATCH(U$16,AEA2012_ZAR2022!$AC$4:$AG$4,0)))</f>
        <v>5.1804308284792056</v>
      </c>
      <c r="V73" s="67"/>
      <c r="W73" s="896">
        <f t="shared" si="8"/>
        <v>-9.9900033333334454E-4</v>
      </c>
      <c r="X73" s="896">
        <f t="shared" si="9"/>
        <v>-7.5326913841620375E-3</v>
      </c>
      <c r="AD73" s="61" t="str">
        <f t="shared" si="11"/>
        <v>HCV1-OGS</v>
      </c>
      <c r="AE73" s="80"/>
      <c r="AF73" s="80"/>
      <c r="AG73" s="80"/>
      <c r="AH73" s="80"/>
      <c r="AI73" s="80"/>
    </row>
    <row r="74" spans="1:40" x14ac:dyDescent="0.25">
      <c r="A74" s="61" t="s">
        <v>501</v>
      </c>
      <c r="B74" s="61" t="s">
        <v>653</v>
      </c>
      <c r="C74" s="61" t="s">
        <v>724</v>
      </c>
      <c r="D74" s="61" t="str">
        <f t="shared" si="6"/>
        <v>CV1</v>
      </c>
      <c r="E74" s="61" t="s">
        <v>687</v>
      </c>
      <c r="F74" s="65"/>
      <c r="G74" s="255" t="s">
        <v>725</v>
      </c>
      <c r="H74" s="792" t="s">
        <v>692</v>
      </c>
      <c r="I74" s="897"/>
      <c r="J74" s="897"/>
      <c r="K74" s="897"/>
      <c r="L74" s="897"/>
      <c r="M74" s="897"/>
      <c r="N74" s="897"/>
      <c r="O74" s="897"/>
      <c r="P74" s="166" t="str">
        <f t="shared" si="10"/>
        <v>CV1ELC</v>
      </c>
      <c r="Q74" s="67">
        <f>INDEX('Vehicle data '!$AD$20:$AD$110,MATCH($P74,'Vehicle data '!$AC$20:$AC$110,0))/INDEX('Vehicle data '!$AD$20:$AD$110,MATCH($P$72,'Vehicle data '!$AC$20:$AC$110,0))*Q$72</f>
        <v>1.7931249014758348</v>
      </c>
      <c r="R74" s="67">
        <f t="array" ref="R74">IF($J$1,Q74*(1+INDEX(R$1:R$2,MATCH($B74,$N$1:$N$2,0)))^(R$16-Q$16),INDEX(AEA2012_ZAR2022!$AC$6:$AG$104,MATCH($G74&amp;$H74,AEA2012_ZAR2022!$A$6:$A$104&amp;AEA2012_ZAR2022!$B$6:$B$104,0),MATCH(R$16,AEA2012_ZAR2022!$AC$4:$AG$4,0)))</f>
        <v>1.7877509043529869</v>
      </c>
      <c r="S74" s="67">
        <f t="array" ref="S74">IF($J$1,R74*(1+INDEX(S$1:S$2,MATCH($B74,$N$1:$N$2,0)))^(S$16-R$16),INDEX(AEA2012_ZAR2022!$AC$6:$AG$104,MATCH($G74&amp;$H74,AEA2012_ZAR2022!$A$6:$A$104&amp;AEA2012_ZAR2022!$B$6:$B$104,0),MATCH(S$16,AEA2012_ZAR2022!$AC$4:$AG$4,0)))</f>
        <v>1.6918228293681161</v>
      </c>
      <c r="T74" s="67">
        <f t="array" ref="T74">IF($J$1,S74*(1+INDEX(T$1:T$2,MATCH($B74,$N$1:$N$2,0)))^(T$16-S$16),INDEX(AEA2012_ZAR2022!$AC$6:$AG$104,MATCH($G74&amp;$H74,AEA2012_ZAR2022!$A$6:$A$104&amp;AEA2012_ZAR2022!$B$6:$B$104,0),MATCH(T$16,AEA2012_ZAR2022!$AC$4:$AG$4,0)))</f>
        <v>1.530054240971203</v>
      </c>
      <c r="U74" s="67">
        <f t="array" ref="U74">IF($J$1,T74*(1+INDEX(U$1:U$2,MATCH($B74,$N$1:$N$2,0)))^(U$16-T$16),INDEX(AEA2012_ZAR2022!$AC$6:$AG$104,MATCH($G74&amp;$H74,AEA2012_ZAR2022!$A$6:$A$104&amp;AEA2012_ZAR2022!$B$6:$B$104,0),MATCH(U$16,AEA2012_ZAR2022!$AC$4:$AG$4,0)))</f>
        <v>1.3837536293255577</v>
      </c>
      <c r="V74" s="67"/>
      <c r="W74" s="896">
        <f t="shared" si="8"/>
        <v>-9.9900033333332199E-4</v>
      </c>
      <c r="X74" s="896">
        <f t="shared" si="9"/>
        <v>-7.5326913841620409E-3</v>
      </c>
      <c r="AD74" s="61" t="str">
        <f t="shared" si="11"/>
        <v>HCV1-ELC</v>
      </c>
      <c r="AE74" s="80"/>
      <c r="AF74" s="80"/>
      <c r="AG74" s="80"/>
      <c r="AH74" s="80"/>
      <c r="AI74" s="80"/>
    </row>
    <row r="75" spans="1:40" x14ac:dyDescent="0.25">
      <c r="A75" s="61" t="s">
        <v>504</v>
      </c>
      <c r="B75" s="61" t="s">
        <v>653</v>
      </c>
      <c r="C75" s="61" t="s">
        <v>724</v>
      </c>
      <c r="D75" s="61" t="str">
        <f t="shared" si="6"/>
        <v>CV1</v>
      </c>
      <c r="E75" s="61" t="s">
        <v>687</v>
      </c>
      <c r="F75" s="65"/>
      <c r="G75" s="255" t="s">
        <v>725</v>
      </c>
      <c r="H75" s="792" t="s">
        <v>699</v>
      </c>
      <c r="I75" s="897"/>
      <c r="J75" s="897"/>
      <c r="K75" s="897"/>
      <c r="L75" s="897"/>
      <c r="M75" s="897"/>
      <c r="N75" s="897"/>
      <c r="O75" s="897"/>
      <c r="P75" s="166" t="str">
        <f t="shared" si="10"/>
        <v>CV1HGN</v>
      </c>
      <c r="Q75" s="67">
        <f>INDEX('Vehicle data '!$AD$20:$AD$110,MATCH($P75,'Vehicle data '!$AC$20:$AC$110,0))/INDEX('Vehicle data '!$AD$20:$AD$110,MATCH($P$72,'Vehicle data '!$AC$20:$AC$110,0))*Q$72</f>
        <v>2.7683331812258496</v>
      </c>
      <c r="R75" s="67">
        <f t="array" ref="R75">IF($J$1,Q75*(1+INDEX(R$1:R$2,MATCH($B75,$N$1:$N$2,0)))^(R$16-Q$16),INDEX(AEA2012_ZAR2022!$AC$6:$AG$104,MATCH($G75&amp;$H75,AEA2012_ZAR2022!$A$6:$A$104&amp;AEA2012_ZAR2022!$B$6:$B$104,0),MATCH(R$16,AEA2012_ZAR2022!$AC$4:$AG$4,0)))</f>
        <v>2.7600364839133826</v>
      </c>
      <c r="S75" s="67">
        <f t="array" ref="S75">IF($J$1,R75*(1+INDEX(S$1:S$2,MATCH($B75,$N$1:$N$2,0)))^(S$16-R$16),INDEX(AEA2012_ZAR2022!$AC$6:$AG$104,MATCH($G75&amp;$H75,AEA2012_ZAR2022!$A$6:$A$104&amp;AEA2012_ZAR2022!$B$6:$B$104,0),MATCH(S$16,AEA2012_ZAR2022!$AC$4:$AG$4,0)))</f>
        <v>2.6119369997262138</v>
      </c>
      <c r="T75" s="67">
        <f t="array" ref="T75">IF($J$1,S75*(1+INDEX(T$1:T$2,MATCH($B75,$N$1:$N$2,0)))^(T$16-S$16),INDEX(AEA2012_ZAR2022!$AC$6:$AG$104,MATCH($G75&amp;$H75,AEA2012_ZAR2022!$A$6:$A$104&amp;AEA2012_ZAR2022!$B$6:$B$104,0),MATCH(T$16,AEA2012_ZAR2022!$AC$4:$AG$4,0)))</f>
        <v>2.362189003604664</v>
      </c>
      <c r="U75" s="67">
        <f t="array" ref="U75">IF($J$1,T75*(1+INDEX(U$1:U$2,MATCH($B75,$N$1:$N$2,0)))^(U$16-T$16),INDEX(AEA2012_ZAR2022!$AC$6:$AG$104,MATCH($G75&amp;$H75,AEA2012_ZAR2022!$A$6:$A$104&amp;AEA2012_ZAR2022!$B$6:$B$104,0),MATCH(U$16,AEA2012_ZAR2022!$AC$4:$AG$4,0)))</f>
        <v>2.1363213926429658</v>
      </c>
      <c r="V75" s="67"/>
      <c r="W75" s="896">
        <f t="shared" si="8"/>
        <v>-9.990003333333222E-4</v>
      </c>
      <c r="X75" s="896">
        <f t="shared" si="9"/>
        <v>-7.5326913841620401E-3</v>
      </c>
      <c r="AD75" s="61" t="str">
        <f t="shared" si="11"/>
        <v>HCV1-HGN</v>
      </c>
      <c r="AE75" s="80"/>
      <c r="AF75" s="80"/>
      <c r="AG75" s="80"/>
      <c r="AH75" s="80"/>
      <c r="AI75" s="80"/>
    </row>
    <row r="76" spans="1:40" x14ac:dyDescent="0.25">
      <c r="A76" s="61" t="s">
        <v>509</v>
      </c>
      <c r="B76" s="61" t="s">
        <v>653</v>
      </c>
      <c r="C76" s="61" t="s">
        <v>724</v>
      </c>
      <c r="D76" s="61" t="str">
        <f t="shared" si="6"/>
        <v>CV1</v>
      </c>
      <c r="E76" s="61" t="s">
        <v>687</v>
      </c>
      <c r="F76" s="65"/>
      <c r="G76" s="255" t="s">
        <v>725</v>
      </c>
      <c r="H76" s="792" t="s">
        <v>700</v>
      </c>
      <c r="I76" s="897"/>
      <c r="J76" s="897"/>
      <c r="K76" s="897"/>
      <c r="L76" s="897"/>
      <c r="M76" s="897"/>
      <c r="N76" s="897"/>
      <c r="O76" s="897"/>
      <c r="P76" s="166" t="str">
        <f t="shared" si="10"/>
        <v>CV1GAS</v>
      </c>
      <c r="Q76" s="67">
        <f>INDEX('Vehicle data '!$AD$20:$AD$110,MATCH($P76,'Vehicle data '!$AC$20:$AC$110,0))/INDEX('Vehicle data '!$AD$20:$AD$110,MATCH($P$72,'Vehicle data '!$AC$20:$AC$110,0))*Q$72</f>
        <v>6.751830694628433</v>
      </c>
      <c r="R76" s="67">
        <f t="array" ref="R76">IF($J$1,Q76*(1+INDEX(R$1:R$2,MATCH($B76,$N$1:$N$2,0)))^(R$16-Q$16),INDEX(AEA2012_ZAR2022!$AC$6:$AG$104,MATCH($G76&amp;$H76,AEA2012_ZAR2022!$A$6:$A$104&amp;AEA2012_ZAR2022!$B$6:$B$104,0),MATCH(R$16,AEA2012_ZAR2022!$AC$4:$AG$4,0)))</f>
        <v>6.7315954512848011</v>
      </c>
      <c r="S76" s="67">
        <f t="array" ref="S76">IF($J$1,R76*(1+INDEX(S$1:S$2,MATCH($B76,$N$1:$N$2,0)))^(S$16-R$16),INDEX(AEA2012_ZAR2022!$AC$6:$AG$104,MATCH($G76&amp;$H76,AEA2012_ZAR2022!$A$6:$A$104&amp;AEA2012_ZAR2022!$B$6:$B$104,0),MATCH(S$16,AEA2012_ZAR2022!$AC$4:$AG$4,0)))</f>
        <v>6.3703879745349177</v>
      </c>
      <c r="T76" s="67">
        <f t="array" ref="T76">IF($J$1,S76*(1+INDEX(T$1:T$2,MATCH($B76,$N$1:$N$2,0)))^(T$16-S$16),INDEX(AEA2012_ZAR2022!$AC$6:$AG$104,MATCH($G76&amp;$H76,AEA2012_ZAR2022!$A$6:$A$104&amp;AEA2012_ZAR2022!$B$6:$B$104,0),MATCH(T$16,AEA2012_ZAR2022!$AC$4:$AG$4,0)))</f>
        <v>5.7612646950210227</v>
      </c>
      <c r="U76" s="67">
        <f t="array" ref="U76">IF($J$1,T76*(1+INDEX(U$1:U$2,MATCH($B76,$N$1:$N$2,0)))^(U$16-T$16),INDEX(AEA2012_ZAR2022!$AC$6:$AG$104,MATCH($G76&amp;$H76,AEA2012_ZAR2022!$A$6:$A$104&amp;AEA2012_ZAR2022!$B$6:$B$104,0),MATCH(U$16,AEA2012_ZAR2022!$AC$4:$AG$4,0)))</f>
        <v>5.2103845195580787</v>
      </c>
      <c r="V76" s="67"/>
      <c r="W76" s="896">
        <f t="shared" si="8"/>
        <v>-9.9900033333332372E-4</v>
      </c>
      <c r="X76" s="896">
        <f t="shared" si="9"/>
        <v>-7.5326913841620418E-3</v>
      </c>
      <c r="AD76" s="61" t="str">
        <f t="shared" si="11"/>
        <v>HCV1-GAS</v>
      </c>
      <c r="AE76" s="80"/>
      <c r="AF76" s="80"/>
      <c r="AG76" s="80"/>
      <c r="AH76" s="80"/>
      <c r="AI76" s="80"/>
    </row>
    <row r="77" spans="1:40" x14ac:dyDescent="0.25">
      <c r="B77" s="61" t="s">
        <v>653</v>
      </c>
      <c r="D77" s="61" t="str">
        <f t="shared" si="6"/>
        <v/>
      </c>
      <c r="F77" s="65"/>
      <c r="G77" s="255"/>
      <c r="H77" s="259"/>
      <c r="I77" s="897"/>
      <c r="J77" s="897"/>
      <c r="K77" s="897"/>
      <c r="L77" s="897"/>
      <c r="M77" s="897"/>
      <c r="N77" s="897"/>
      <c r="O77" s="897"/>
      <c r="P77" s="166" t="str">
        <f t="shared" si="10"/>
        <v/>
      </c>
      <c r="Q77" s="67" t="e">
        <f>1/INDEX(Analytica!$AA$17:$AE$48,MATCH($P77,Analytica!$A$17:$A$48,0),MATCH(Q$16,Analytica!$AA$16:$AE$16,0))</f>
        <v>#N/A</v>
      </c>
      <c r="R77" s="67" t="e">
        <f t="array" ref="R77">IF($J$1,Q77*(1+INDEX(R$1:R$2,MATCH($B77,$N$1:$N$2,0)))^(R$16-Q$16),INDEX(AEA2012_ZAR2022!$AC$6:$AG$104,MATCH($G77&amp;$H77,AEA2012_ZAR2022!$A$6:$A$104&amp;AEA2012_ZAR2022!$B$6:$B$104,0),MATCH(R$16,AEA2012_ZAR2022!$AC$4:$AG$4,0)))</f>
        <v>#N/A</v>
      </c>
      <c r="S77" s="67" t="e">
        <f t="array" ref="S77">IF($J$1,R77*(1+INDEX(S$1:S$2,MATCH($B77,$N$1:$N$2,0)))^(S$16-R$16),INDEX(AEA2012_ZAR2022!$AC$6:$AG$104,MATCH($G77&amp;$H77,AEA2012_ZAR2022!$A$6:$A$104&amp;AEA2012_ZAR2022!$B$6:$B$104,0),MATCH(S$16,AEA2012_ZAR2022!$AC$4:$AG$4,0)))</f>
        <v>#N/A</v>
      </c>
      <c r="T77" s="67" t="e">
        <f t="array" ref="T77">IF($J$1,S77*(1+INDEX(T$1:T$2,MATCH($B77,$N$1:$N$2,0)))^(T$16-S$16),INDEX(AEA2012_ZAR2022!$AC$6:$AG$104,MATCH($G77&amp;$H77,AEA2012_ZAR2022!$A$6:$A$104&amp;AEA2012_ZAR2022!$B$6:$B$104,0),MATCH(T$16,AEA2012_ZAR2022!$AC$4:$AG$4,0)))</f>
        <v>#N/A</v>
      </c>
      <c r="U77" s="67" t="e">
        <f t="array" ref="U77">IF($J$1,T77*(1+INDEX(U$1:U$2,MATCH($B77,$N$1:$N$2,0)))^(U$16-T$16),INDEX(AEA2012_ZAR2022!$AC$6:$AG$104,MATCH($G77&amp;$H77,AEA2012_ZAR2022!$A$6:$A$104&amp;AEA2012_ZAR2022!$B$6:$B$104,0),MATCH(U$16,AEA2012_ZAR2022!$AC$4:$AG$4,0)))</f>
        <v>#N/A</v>
      </c>
      <c r="V77" s="67"/>
      <c r="W77" s="896" t="e">
        <f t="shared" si="8"/>
        <v>#N/A</v>
      </c>
      <c r="X77" s="896" t="e">
        <f t="shared" si="9"/>
        <v>#N/A</v>
      </c>
      <c r="AD77" s="61" t="str">
        <f t="shared" si="11"/>
        <v>-</v>
      </c>
      <c r="AE77" s="80"/>
      <c r="AF77" s="80"/>
      <c r="AG77" s="80"/>
      <c r="AH77" s="80"/>
      <c r="AI77" s="80"/>
    </row>
    <row r="78" spans="1:40" x14ac:dyDescent="0.25">
      <c r="A78" s="61" t="s">
        <v>511</v>
      </c>
      <c r="B78" s="61" t="s">
        <v>653</v>
      </c>
      <c r="C78" s="61" t="s">
        <v>728</v>
      </c>
      <c r="D78" s="61" t="str">
        <f t="shared" si="6"/>
        <v>CV2</v>
      </c>
      <c r="E78" s="61" t="s">
        <v>687</v>
      </c>
      <c r="F78" s="65"/>
      <c r="G78" s="255" t="s">
        <v>725</v>
      </c>
      <c r="H78" s="792" t="s">
        <v>687</v>
      </c>
      <c r="I78" s="897"/>
      <c r="J78" s="897"/>
      <c r="K78" s="897"/>
      <c r="L78" s="897"/>
      <c r="M78" s="897"/>
      <c r="N78" s="897"/>
      <c r="O78" s="897"/>
      <c r="P78" s="166" t="str">
        <f t="shared" si="10"/>
        <v>CV2ODS</v>
      </c>
      <c r="Q78" s="67">
        <f>1/INDEX(Analytica!$AA$17:$AE$48,MATCH($P78,Analytica!$A$17:$A$48,0),MATCH(Q$16,Analytica!$AA$16:$AE$16,0))</f>
        <v>7.3296679530566031</v>
      </c>
      <c r="R78" s="67">
        <f t="array" ref="R78">IF($J$1,Q78*(1+INDEX(R$1:R$2,MATCH($B78,$N$1:$N$2,0)))^(R$16-Q$16),INDEX(AEA2012_ZAR2022!$AC$6:$AG$104,MATCH($G78&amp;$H78,AEA2012_ZAR2022!$A$6:$A$104&amp;AEA2012_ZAR2022!$B$6:$B$104,0),MATCH(R$16,AEA2012_ZAR2022!$AC$4:$AG$4,0)))</f>
        <v>7.3077009308716248</v>
      </c>
      <c r="S78" s="67">
        <f t="array" ref="S78">IF($J$1,R78*(1+INDEX(S$1:S$2,MATCH($B78,$N$1:$N$2,0)))^(S$16-R$16),INDEX(AEA2012_ZAR2022!$AC$6:$AG$104,MATCH($G78&amp;$H78,AEA2012_ZAR2022!$A$6:$A$104&amp;AEA2012_ZAR2022!$B$6:$B$104,0),MATCH(S$16,AEA2012_ZAR2022!$AC$4:$AG$4,0)))</f>
        <v>6.9155804843615609</v>
      </c>
      <c r="T78" s="67">
        <f t="array" ref="T78">IF($J$1,S78*(1+INDEX(T$1:T$2,MATCH($B78,$N$1:$N$2,0)))^(T$16-S$16),INDEX(AEA2012_ZAR2022!$AC$6:$AG$104,MATCH($G78&amp;$H78,AEA2012_ZAR2022!$A$6:$A$104&amp;AEA2012_ZAR2022!$B$6:$B$104,0),MATCH(T$16,AEA2012_ZAR2022!$AC$4:$AG$4,0)))</f>
        <v>6.2543270283373005</v>
      </c>
      <c r="U78" s="67">
        <f t="array" ref="U78">IF($J$1,T78*(1+INDEX(U$1:U$2,MATCH($B78,$N$1:$N$2,0)))^(U$16-T$16),INDEX(AEA2012_ZAR2022!$AC$6:$AG$104,MATCH($G78&amp;$H78,AEA2012_ZAR2022!$A$6:$A$104&amp;AEA2012_ZAR2022!$B$6:$B$104,0),MATCH(U$16,AEA2012_ZAR2022!$AC$4:$AG$4,0)))</f>
        <v>5.6563012556713366</v>
      </c>
      <c r="V78" s="67"/>
      <c r="W78" s="896">
        <f t="shared" si="8"/>
        <v>-9.9900033333332307E-4</v>
      </c>
      <c r="X78" s="896">
        <f t="shared" si="9"/>
        <v>-7.5326913841620392E-3</v>
      </c>
      <c r="AD78" s="61" t="str">
        <f t="shared" si="11"/>
        <v>HCV2-ODS</v>
      </c>
      <c r="AE78" s="80"/>
      <c r="AF78" s="80"/>
      <c r="AG78" s="80"/>
      <c r="AH78" s="80"/>
      <c r="AI78" s="80"/>
    </row>
    <row r="79" spans="1:40" x14ac:dyDescent="0.25">
      <c r="A79" s="61" t="s">
        <v>501</v>
      </c>
      <c r="B79" s="61" t="s">
        <v>653</v>
      </c>
      <c r="C79" s="61" t="s">
        <v>728</v>
      </c>
      <c r="D79" s="61" t="str">
        <f t="shared" si="6"/>
        <v>CV2</v>
      </c>
      <c r="E79" s="61" t="s">
        <v>687</v>
      </c>
      <c r="F79" s="65"/>
      <c r="G79" s="255" t="s">
        <v>725</v>
      </c>
      <c r="H79" s="792" t="s">
        <v>692</v>
      </c>
      <c r="I79" s="897"/>
      <c r="J79" s="897"/>
      <c r="K79" s="897"/>
      <c r="L79" s="897"/>
      <c r="M79" s="897"/>
      <c r="N79" s="897"/>
      <c r="O79" s="897"/>
      <c r="P79" s="166" t="str">
        <f t="shared" si="10"/>
        <v>CV2ELC</v>
      </c>
      <c r="Q79" s="67">
        <f>INDEX('Vehicle data '!$AD$20:$AD$110,MATCH($P79,'Vehicle data '!$AC$20:$AC$110,0))/INDEX('Vehicle data '!$AD$20:$AD$110,MATCH($P$78,'Vehicle data '!$AC$20:$AC$110,0))*Q$78</f>
        <v>2.2385723707684386</v>
      </c>
      <c r="R79" s="67">
        <f t="array" ref="R79">IF($J$1,Q79*(1+INDEX(R$1:R$2,MATCH($B79,$N$1:$N$2,0)))^(R$16-Q$16),INDEX(AEA2012_ZAR2022!$AC$6:$AG$104,MATCH($G79&amp;$H79,AEA2012_ZAR2022!$A$6:$A$104&amp;AEA2012_ZAR2022!$B$6:$B$104,0),MATCH(R$16,AEA2012_ZAR2022!$AC$4:$AG$4,0)))</f>
        <v>2.231863367134673</v>
      </c>
      <c r="S79" s="67">
        <f t="array" ref="S79">IF($J$1,R79*(1+INDEX(S$1:S$2,MATCH($B79,$N$1:$N$2,0)))^(S$16-R$16),INDEX(AEA2012_ZAR2022!$AC$6:$AG$104,MATCH($G79&amp;$H79,AEA2012_ZAR2022!$A$6:$A$104&amp;AEA2012_ZAR2022!$B$6:$B$104,0),MATCH(S$16,AEA2012_ZAR2022!$AC$4:$AG$4,0)))</f>
        <v>2.1121048728628065</v>
      </c>
      <c r="T79" s="67">
        <f t="array" ref="T79">IF($J$1,S79*(1+INDEX(T$1:T$2,MATCH($B79,$N$1:$N$2,0)))^(T$16-S$16),INDEX(AEA2012_ZAR2022!$AC$6:$AG$104,MATCH($G79&amp;$H79,AEA2012_ZAR2022!$A$6:$A$104&amp;AEA2012_ZAR2022!$B$6:$B$104,0),MATCH(T$16,AEA2012_ZAR2022!$AC$4:$AG$4,0)))</f>
        <v>1.9101497875558717</v>
      </c>
      <c r="U79" s="67">
        <f t="array" ref="U79">IF($J$1,T79*(1+INDEX(U$1:U$2,MATCH($B79,$N$1:$N$2,0)))^(U$16-T$16),INDEX(AEA2012_ZAR2022!$AC$6:$AG$104,MATCH($G79&amp;$H79,AEA2012_ZAR2022!$A$6:$A$104&amp;AEA2012_ZAR2022!$B$6:$B$104,0),MATCH(U$16,AEA2012_ZAR2022!$AC$4:$AG$4,0)))</f>
        <v>1.7275052284474059</v>
      </c>
      <c r="V79" s="67"/>
      <c r="W79" s="896">
        <f t="shared" si="8"/>
        <v>-9.9900033333336384E-4</v>
      </c>
      <c r="X79" s="896">
        <f t="shared" si="9"/>
        <v>-7.5326913841620427E-3</v>
      </c>
      <c r="AD79" s="61" t="str">
        <f t="shared" si="11"/>
        <v>HCV2-ELC</v>
      </c>
      <c r="AE79" s="80"/>
      <c r="AF79" s="80"/>
      <c r="AG79" s="80"/>
      <c r="AH79" s="80"/>
      <c r="AI79" s="80"/>
    </row>
    <row r="80" spans="1:40" x14ac:dyDescent="0.25">
      <c r="A80" s="61" t="s">
        <v>504</v>
      </c>
      <c r="B80" s="61" t="s">
        <v>653</v>
      </c>
      <c r="C80" s="61" t="s">
        <v>728</v>
      </c>
      <c r="D80" s="61" t="str">
        <f t="shared" si="6"/>
        <v>CV2</v>
      </c>
      <c r="E80" s="61" t="s">
        <v>687</v>
      </c>
      <c r="F80" s="65"/>
      <c r="G80" s="255" t="s">
        <v>725</v>
      </c>
      <c r="H80" s="792" t="s">
        <v>699</v>
      </c>
      <c r="I80" s="897"/>
      <c r="J80" s="897"/>
      <c r="K80" s="897"/>
      <c r="L80" s="897"/>
      <c r="M80" s="897"/>
      <c r="N80" s="897"/>
      <c r="O80" s="897"/>
      <c r="P80" s="166" t="str">
        <f t="shared" si="10"/>
        <v>CV2HGN</v>
      </c>
      <c r="Q80" s="67">
        <f>INDEX('Vehicle data '!$AD$20:$AD$110,MATCH($P80,'Vehicle data '!$AC$20:$AC$110,0))/INDEX('Vehicle data '!$AD$20:$AD$110,MATCH($P$78,'Vehicle data '!$AC$20:$AC$110,0))*Q$78</f>
        <v>3.4560415548705712</v>
      </c>
      <c r="R80" s="67">
        <f t="array" ref="R80">IF($J$1,Q80*(1+INDEX(R$1:R$2,MATCH($B80,$N$1:$N$2,0)))^(R$16-Q$16),INDEX(AEA2012_ZAR2022!$AC$6:$AG$104,MATCH($G80&amp;$H80,AEA2012_ZAR2022!$A$6:$A$104&amp;AEA2012_ZAR2022!$B$6:$B$104,0),MATCH(R$16,AEA2012_ZAR2022!$AC$4:$AG$4,0)))</f>
        <v>3.4456837948745824</v>
      </c>
      <c r="S80" s="67">
        <f t="array" ref="S80">IF($J$1,R80*(1+INDEX(S$1:S$2,MATCH($B80,$N$1:$N$2,0)))^(S$16-R$16),INDEX(AEA2012_ZAR2022!$AC$6:$AG$104,MATCH($G80&amp;$H80,AEA2012_ZAR2022!$A$6:$A$104&amp;AEA2012_ZAR2022!$B$6:$B$104,0),MATCH(S$16,AEA2012_ZAR2022!$AC$4:$AG$4,0)))</f>
        <v>3.260793487928543</v>
      </c>
      <c r="T80" s="67">
        <f t="array" ref="T80">IF($J$1,S80*(1+INDEX(T$1:T$2,MATCH($B80,$N$1:$N$2,0)))^(T$16-S$16),INDEX(AEA2012_ZAR2022!$AC$6:$AG$104,MATCH($G80&amp;$H80,AEA2012_ZAR2022!$A$6:$A$104&amp;AEA2012_ZAR2022!$B$6:$B$104,0),MATCH(T$16,AEA2012_ZAR2022!$AC$4:$AG$4,0)))</f>
        <v>2.9490031807880119</v>
      </c>
      <c r="U80" s="67">
        <f t="array" ref="U80">IF($J$1,T80*(1+INDEX(U$1:U$2,MATCH($B80,$N$1:$N$2,0)))^(U$16-T$16),INDEX(AEA2012_ZAR2022!$AC$6:$AG$104,MATCH($G80&amp;$H80,AEA2012_ZAR2022!$A$6:$A$104&amp;AEA2012_ZAR2022!$B$6:$B$104,0),MATCH(U$16,AEA2012_ZAR2022!$AC$4:$AG$4,0)))</f>
        <v>2.6670256158486261</v>
      </c>
      <c r="V80" s="67"/>
      <c r="W80" s="896">
        <f t="shared" si="8"/>
        <v>-9.9900033333334302E-4</v>
      </c>
      <c r="X80" s="896">
        <f t="shared" si="9"/>
        <v>-7.5326913841620453E-3</v>
      </c>
      <c r="AD80" s="61" t="str">
        <f t="shared" si="11"/>
        <v>HCV2-HGN</v>
      </c>
      <c r="AE80" s="80"/>
      <c r="AF80" s="80"/>
      <c r="AG80" s="80"/>
      <c r="AH80" s="80"/>
      <c r="AI80" s="80"/>
    </row>
    <row r="81" spans="1:35" x14ac:dyDescent="0.25">
      <c r="A81" s="61" t="s">
        <v>509</v>
      </c>
      <c r="B81" s="61" t="s">
        <v>653</v>
      </c>
      <c r="C81" s="61" t="s">
        <v>728</v>
      </c>
      <c r="D81" s="61" t="str">
        <f t="shared" si="6"/>
        <v>CV2</v>
      </c>
      <c r="E81" s="61" t="s">
        <v>687</v>
      </c>
      <c r="F81" s="65"/>
      <c r="G81" s="255" t="s">
        <v>725</v>
      </c>
      <c r="H81" s="792" t="s">
        <v>700</v>
      </c>
      <c r="I81" s="897"/>
      <c r="J81" s="897"/>
      <c r="K81" s="897"/>
      <c r="L81" s="897"/>
      <c r="M81" s="897"/>
      <c r="N81" s="897"/>
      <c r="O81" s="897"/>
      <c r="P81" s="166" t="str">
        <f t="shared" si="10"/>
        <v>CV2GAS</v>
      </c>
      <c r="Q81" s="67">
        <f>INDEX('Vehicle data '!$AD$20:$AD$110,MATCH($P81,'Vehicle data '!$AC$20:$AC$110,0))/INDEX('Vehicle data '!$AD$20:$AD$110,MATCH($P$78,'Vehicle data '!$AC$20:$AC$110,0))*Q$78</f>
        <v>8.4291181460150923</v>
      </c>
      <c r="R81" s="67">
        <f t="array" ref="R81">IF($J$1,Q81*(1+INDEX(R$1:R$2,MATCH($B81,$N$1:$N$2,0)))^(R$16-Q$16),INDEX(AEA2012_ZAR2022!$AC$6:$AG$104,MATCH($G81&amp;$H81,AEA2012_ZAR2022!$A$6:$A$104&amp;AEA2012_ZAR2022!$B$6:$B$104,0),MATCH(R$16,AEA2012_ZAR2022!$AC$4:$AG$4,0)))</f>
        <v>8.4038560705023677</v>
      </c>
      <c r="S81" s="67">
        <f t="array" ref="S81">IF($J$1,R81*(1+INDEX(S$1:S$2,MATCH($B81,$N$1:$N$2,0)))^(S$16-R$16),INDEX(AEA2012_ZAR2022!$AC$6:$AG$104,MATCH($G81&amp;$H81,AEA2012_ZAR2022!$A$6:$A$104&amp;AEA2012_ZAR2022!$B$6:$B$104,0),MATCH(S$16,AEA2012_ZAR2022!$AC$4:$AG$4,0)))</f>
        <v>7.9529175570157946</v>
      </c>
      <c r="T81" s="67">
        <f t="array" ref="T81">IF($J$1,S81*(1+INDEX(T$1:T$2,MATCH($B81,$N$1:$N$2,0)))^(T$16-S$16),INDEX(AEA2012_ZAR2022!$AC$6:$AG$104,MATCH($G81&amp;$H81,AEA2012_ZAR2022!$A$6:$A$104&amp;AEA2012_ZAR2022!$B$6:$B$104,0),MATCH(T$16,AEA2012_ZAR2022!$AC$4:$AG$4,0)))</f>
        <v>7.1924760825878948</v>
      </c>
      <c r="U81" s="67">
        <f t="array" ref="U81">IF($J$1,T81*(1+INDEX(U$1:U$2,MATCH($B81,$N$1:$N$2,0)))^(U$16-T$16),INDEX(AEA2012_ZAR2022!$AC$6:$AG$104,MATCH($G81&amp;$H81,AEA2012_ZAR2022!$A$6:$A$104&amp;AEA2012_ZAR2022!$B$6:$B$104,0),MATCH(U$16,AEA2012_ZAR2022!$AC$4:$AG$4,0)))</f>
        <v>6.5047464440220368</v>
      </c>
      <c r="V81" s="67"/>
      <c r="W81" s="896">
        <f t="shared" si="8"/>
        <v>-9.9900033333330399E-4</v>
      </c>
      <c r="X81" s="896">
        <f t="shared" si="9"/>
        <v>-7.5326913841620383E-3</v>
      </c>
      <c r="AD81" s="61" t="str">
        <f t="shared" si="11"/>
        <v>HCV2-GAS</v>
      </c>
      <c r="AE81" s="80"/>
      <c r="AF81" s="80"/>
      <c r="AG81" s="80"/>
      <c r="AH81" s="80"/>
      <c r="AI81" s="80"/>
    </row>
    <row r="82" spans="1:35" x14ac:dyDescent="0.25">
      <c r="B82" s="61" t="s">
        <v>653</v>
      </c>
      <c r="D82" s="61" t="str">
        <f t="shared" si="6"/>
        <v/>
      </c>
      <c r="F82" s="65"/>
      <c r="G82" s="255"/>
      <c r="I82" s="897"/>
      <c r="J82" s="897"/>
      <c r="K82" s="897"/>
      <c r="L82" s="897"/>
      <c r="M82" s="897"/>
      <c r="N82" s="897"/>
      <c r="O82" s="897"/>
      <c r="P82" s="166" t="str">
        <f t="shared" si="10"/>
        <v/>
      </c>
      <c r="Q82" s="67" t="e">
        <f>1/INDEX(Analytica!$AA$17:$AE$48,MATCH($P82,Analytica!$A$17:$A$48,0),MATCH(Q$16,Analytica!$AA$16:$AE$16,0))</f>
        <v>#N/A</v>
      </c>
      <c r="R82" s="67" t="e">
        <f t="array" ref="R82">IF($J$1,Q82*(1+INDEX(R$1:R$2,MATCH($B82,$N$1:$N$2,0)))^(R$16-Q$16),INDEX(AEA2012_ZAR2022!$AC$6:$AG$104,MATCH($G82&amp;$H82,AEA2012_ZAR2022!$A$6:$A$104&amp;AEA2012_ZAR2022!$B$6:$B$104,0),MATCH(R$16,AEA2012_ZAR2022!$AC$4:$AG$4,0)))</f>
        <v>#N/A</v>
      </c>
      <c r="S82" s="67" t="e">
        <f t="array" ref="S82">IF($J$1,R82*(1+INDEX(S$1:S$2,MATCH($B82,$N$1:$N$2,0)))^(S$16-R$16),INDEX(AEA2012_ZAR2022!$AC$6:$AG$104,MATCH($G82&amp;$H82,AEA2012_ZAR2022!$A$6:$A$104&amp;AEA2012_ZAR2022!$B$6:$B$104,0),MATCH(S$16,AEA2012_ZAR2022!$AC$4:$AG$4,0)))</f>
        <v>#N/A</v>
      </c>
      <c r="T82" s="67" t="e">
        <f t="array" ref="T82">IF($J$1,S82*(1+INDEX(T$1:T$2,MATCH($B82,$N$1:$N$2,0)))^(T$16-S$16),INDEX(AEA2012_ZAR2022!$AC$6:$AG$104,MATCH($G82&amp;$H82,AEA2012_ZAR2022!$A$6:$A$104&amp;AEA2012_ZAR2022!$B$6:$B$104,0),MATCH(T$16,AEA2012_ZAR2022!$AC$4:$AG$4,0)))</f>
        <v>#N/A</v>
      </c>
      <c r="U82" s="67" t="e">
        <f t="array" ref="U82">IF($J$1,T82*(1+INDEX(U$1:U$2,MATCH($B82,$N$1:$N$2,0)))^(U$16-T$16),INDEX(AEA2012_ZAR2022!$AC$6:$AG$104,MATCH($G82&amp;$H82,AEA2012_ZAR2022!$A$6:$A$104&amp;AEA2012_ZAR2022!$B$6:$B$104,0),MATCH(U$16,AEA2012_ZAR2022!$AC$4:$AG$4,0)))</f>
        <v>#N/A</v>
      </c>
      <c r="V82" s="67"/>
      <c r="W82" s="896" t="e">
        <f t="shared" si="8"/>
        <v>#N/A</v>
      </c>
      <c r="X82" s="896" t="e">
        <f t="shared" si="9"/>
        <v>#N/A</v>
      </c>
      <c r="AD82" s="61" t="str">
        <f t="shared" si="11"/>
        <v>-</v>
      </c>
      <c r="AE82" s="80"/>
      <c r="AF82" s="80"/>
      <c r="AG82" s="80"/>
      <c r="AH82" s="80"/>
      <c r="AI82" s="80"/>
    </row>
    <row r="83" spans="1:35" x14ac:dyDescent="0.25">
      <c r="A83" s="61" t="s">
        <v>511</v>
      </c>
      <c r="B83" s="61" t="s">
        <v>653</v>
      </c>
      <c r="C83" s="61" t="s">
        <v>731</v>
      </c>
      <c r="D83" s="61" t="str">
        <f t="shared" si="6"/>
        <v>CV3</v>
      </c>
      <c r="E83" s="61" t="s">
        <v>687</v>
      </c>
      <c r="F83" s="65"/>
      <c r="G83" s="255" t="s">
        <v>725</v>
      </c>
      <c r="H83" s="792" t="s">
        <v>687</v>
      </c>
      <c r="I83" s="897"/>
      <c r="J83" s="897"/>
      <c r="K83" s="897"/>
      <c r="L83" s="897"/>
      <c r="M83" s="897"/>
      <c r="N83" s="897"/>
      <c r="O83" s="897"/>
      <c r="P83" s="166" t="str">
        <f t="shared" si="10"/>
        <v>CV3ODS</v>
      </c>
      <c r="Q83" s="67">
        <f>1/INDEX(Analytica!$AA$17:$AE$48,MATCH($P83,Analytica!$A$17:$A$48,0),MATCH(Q$16,Analytica!$AA$16:$AE$16,0))</f>
        <v>8.3835108522496302</v>
      </c>
      <c r="R83" s="67">
        <f t="array" ref="R83">IF($J$1,Q83*(1+INDEX(R$1:R$2,MATCH($B83,$N$1:$N$2,0)))^(R$16-Q$16),INDEX(AEA2012_ZAR2022!$AC$6:$AG$104,MATCH($G83&amp;$H83,AEA2012_ZAR2022!$A$6:$A$104&amp;AEA2012_ZAR2022!$B$6:$B$104,0),MATCH(R$16,AEA2012_ZAR2022!$AC$4:$AG$4,0)))</f>
        <v>8.3583854618419267</v>
      </c>
      <c r="S83" s="67">
        <f t="array" ref="S83">IF($J$1,R83*(1+INDEX(S$1:S$2,MATCH($B83,$N$1:$N$2,0)))^(S$16-R$16),INDEX(AEA2012_ZAR2022!$AC$6:$AG$104,MATCH($G83&amp;$H83,AEA2012_ZAR2022!$A$6:$A$104&amp;AEA2012_ZAR2022!$B$6:$B$104,0),MATCH(S$16,AEA2012_ZAR2022!$AC$4:$AG$4,0)))</f>
        <v>7.909886834105972</v>
      </c>
      <c r="T83" s="67">
        <f t="array" ref="T83">IF($J$1,S83*(1+INDEX(T$1:T$2,MATCH($B83,$N$1:$N$2,0)))^(T$16-S$16),INDEX(AEA2012_ZAR2022!$AC$6:$AG$104,MATCH($G83&amp;$H83,AEA2012_ZAR2022!$A$6:$A$104&amp;AEA2012_ZAR2022!$B$6:$B$104,0),MATCH(T$16,AEA2012_ZAR2022!$AC$4:$AG$4,0)))</f>
        <v>7.1535598681135806</v>
      </c>
      <c r="U83" s="67">
        <f t="array" ref="U83">IF($J$1,T83*(1+INDEX(U$1:U$2,MATCH($B83,$N$1:$N$2,0)))^(U$16-T$16),INDEX(AEA2012_ZAR2022!$AC$6:$AG$104,MATCH($G83&amp;$H83,AEA2012_ZAR2022!$A$6:$A$104&amp;AEA2012_ZAR2022!$B$6:$B$104,0),MATCH(U$16,AEA2012_ZAR2022!$AC$4:$AG$4,0)))</f>
        <v>6.4695513172242682</v>
      </c>
      <c r="V83" s="67"/>
      <c r="W83" s="896">
        <f t="shared" si="8"/>
        <v>-9.9900033333335603E-4</v>
      </c>
      <c r="X83" s="896">
        <f t="shared" si="9"/>
        <v>-7.5326913841620409E-3</v>
      </c>
      <c r="AD83" s="61" t="str">
        <f t="shared" si="11"/>
        <v>HCV3-ODS</v>
      </c>
      <c r="AE83" s="80"/>
      <c r="AF83" s="80"/>
      <c r="AG83" s="80"/>
      <c r="AH83" s="80"/>
      <c r="AI83" s="80"/>
    </row>
    <row r="84" spans="1:35" x14ac:dyDescent="0.25">
      <c r="A84" s="61" t="s">
        <v>501</v>
      </c>
      <c r="B84" s="61" t="s">
        <v>653</v>
      </c>
      <c r="C84" s="61" t="s">
        <v>731</v>
      </c>
      <c r="D84" s="61" t="str">
        <f t="shared" si="6"/>
        <v>CV3</v>
      </c>
      <c r="E84" s="61" t="s">
        <v>687</v>
      </c>
      <c r="F84" s="65"/>
      <c r="G84" s="255" t="s">
        <v>725</v>
      </c>
      <c r="H84" s="792" t="s">
        <v>692</v>
      </c>
      <c r="I84" s="897"/>
      <c r="J84" s="897"/>
      <c r="K84" s="897"/>
      <c r="L84" s="897"/>
      <c r="M84" s="897"/>
      <c r="N84" s="897"/>
      <c r="O84" s="897"/>
      <c r="P84" s="166" t="str">
        <f t="shared" si="10"/>
        <v>CV3ELC</v>
      </c>
      <c r="Q84" s="67">
        <f>INDEX('Vehicle data '!$AD$20:$AD$110,MATCH($P84,'Vehicle data '!$AC$20:$AC$110,0))/INDEX('Vehicle data '!$AD$20:$AD$110,MATCH($P$83,'Vehicle data '!$AC$20:$AC$110,0))*Q$83</f>
        <v>2.5604291877993153</v>
      </c>
      <c r="R84" s="67">
        <f t="array" ref="R84">IF($J$1,Q84*(1+INDEX(R$1:R$2,MATCH($B84,$N$1:$N$2,0)))^(R$16-Q$16),INDEX(AEA2012_ZAR2022!$AC$6:$AG$104,MATCH($G84&amp;$H84,AEA2012_ZAR2022!$A$6:$A$104&amp;AEA2012_ZAR2022!$B$6:$B$104,0),MATCH(R$16,AEA2012_ZAR2022!$AC$4:$AG$4,0)))</f>
        <v>2.5527555789630516</v>
      </c>
      <c r="S84" s="67">
        <f t="array" ref="S84">IF($J$1,R84*(1+INDEX(S$1:S$2,MATCH($B84,$N$1:$N$2,0)))^(S$16-R$16),INDEX(AEA2012_ZAR2022!$AC$6:$AG$104,MATCH($G84&amp;$H84,AEA2012_ZAR2022!$A$6:$A$104&amp;AEA2012_ZAR2022!$B$6:$B$104,0),MATCH(S$16,AEA2012_ZAR2022!$AC$4:$AG$4,0)))</f>
        <v>2.4157784822094963</v>
      </c>
      <c r="T84" s="67">
        <f t="array" ref="T84">IF($J$1,S84*(1+INDEX(T$1:T$2,MATCH($B84,$N$1:$N$2,0)))^(T$16-S$16),INDEX(AEA2012_ZAR2022!$AC$6:$AG$104,MATCH($G84&amp;$H84,AEA2012_ZAR2022!$A$6:$A$104&amp;AEA2012_ZAR2022!$B$6:$B$104,0),MATCH(T$16,AEA2012_ZAR2022!$AC$4:$AG$4,0)))</f>
        <v>2.1847867565022443</v>
      </c>
      <c r="U84" s="67">
        <f t="array" ref="U84">IF($J$1,T84*(1+INDEX(U$1:U$2,MATCH($B84,$N$1:$N$2,0)))^(U$16-T$16),INDEX(AEA2012_ZAR2022!$AC$6:$AG$104,MATCH($G84&amp;$H84,AEA2012_ZAR2022!$A$6:$A$104&amp;AEA2012_ZAR2022!$B$6:$B$104,0),MATCH(U$16,AEA2012_ZAR2022!$AC$4:$AG$4,0)))</f>
        <v>1.9758819802972549</v>
      </c>
      <c r="V84" s="67"/>
      <c r="W84" s="896">
        <f t="shared" si="8"/>
        <v>-9.9900033333332459E-4</v>
      </c>
      <c r="X84" s="896">
        <f t="shared" si="9"/>
        <v>-7.5326913841620392E-3</v>
      </c>
      <c r="AD84" s="61" t="str">
        <f t="shared" ref="AD84:AD116" si="12">C84&amp;"-"&amp;A84</f>
        <v>HCV3-ELC</v>
      </c>
      <c r="AE84" s="80"/>
      <c r="AF84" s="80"/>
      <c r="AG84" s="80"/>
      <c r="AH84" s="80"/>
      <c r="AI84" s="80"/>
    </row>
    <row r="85" spans="1:35" x14ac:dyDescent="0.25">
      <c r="A85" s="61" t="s">
        <v>504</v>
      </c>
      <c r="B85" s="61" t="s">
        <v>653</v>
      </c>
      <c r="C85" s="61" t="s">
        <v>731</v>
      </c>
      <c r="D85" s="61" t="str">
        <f t="shared" si="6"/>
        <v>CV3</v>
      </c>
      <c r="E85" s="61" t="s">
        <v>687</v>
      </c>
      <c r="F85" s="65"/>
      <c r="G85" s="255" t="s">
        <v>725</v>
      </c>
      <c r="H85" s="792" t="s">
        <v>699</v>
      </c>
      <c r="I85" s="897"/>
      <c r="J85" s="897"/>
      <c r="K85" s="897"/>
      <c r="L85" s="897"/>
      <c r="M85" s="897"/>
      <c r="N85" s="897"/>
      <c r="O85" s="897"/>
      <c r="P85" s="166" t="str">
        <f t="shared" si="10"/>
        <v>CV3HGN</v>
      </c>
      <c r="Q85" s="67">
        <f>INDEX('Vehicle data '!$AD$20:$AD$110,MATCH($P85,'Vehicle data '!$AC$20:$AC$110,0))/INDEX('Vehicle data '!$AD$20:$AD$110,MATCH($P$83,'Vehicle data '!$AC$20:$AC$110,0))*Q$83</f>
        <v>3.9529433074796438</v>
      </c>
      <c r="R85" s="67">
        <f t="array" ref="R85">IF($J$1,Q85*(1+INDEX(R$1:R$2,MATCH($B85,$N$1:$N$2,0)))^(R$16-Q$16),INDEX(AEA2012_ZAR2022!$AC$6:$AG$104,MATCH($G85&amp;$H85,AEA2012_ZAR2022!$A$6:$A$104&amp;AEA2012_ZAR2022!$B$6:$B$104,0),MATCH(R$16,AEA2012_ZAR2022!$AC$4:$AG$4,0)))</f>
        <v>3.9410963324341841</v>
      </c>
      <c r="S85" s="67">
        <f t="array" ref="S85">IF($J$1,R85*(1+INDEX(S$1:S$2,MATCH($B85,$N$1:$N$2,0)))^(S$16-R$16),INDEX(AEA2012_ZAR2022!$AC$6:$AG$104,MATCH($G85&amp;$H85,AEA2012_ZAR2022!$A$6:$A$104&amp;AEA2012_ZAR2022!$B$6:$B$104,0),MATCH(S$16,AEA2012_ZAR2022!$AC$4:$AG$4,0)))</f>
        <v>3.7296229199023796</v>
      </c>
      <c r="T85" s="67">
        <f t="array" ref="T85">IF($J$1,S85*(1+INDEX(T$1:T$2,MATCH($B85,$N$1:$N$2,0)))^(T$16-S$16),INDEX(AEA2012_ZAR2022!$AC$6:$AG$104,MATCH($G85&amp;$H85,AEA2012_ZAR2022!$A$6:$A$104&amp;AEA2012_ZAR2022!$B$6:$B$104,0),MATCH(T$16,AEA2012_ZAR2022!$AC$4:$AG$4,0)))</f>
        <v>3.3730041153017094</v>
      </c>
      <c r="U85" s="67">
        <f t="array" ref="U85">IF($J$1,T85*(1+INDEX(U$1:U$2,MATCH($B85,$N$1:$N$2,0)))^(U$16-T$16),INDEX(AEA2012_ZAR2022!$AC$6:$AG$104,MATCH($G85&amp;$H85,AEA2012_ZAR2022!$A$6:$A$104&amp;AEA2012_ZAR2022!$B$6:$B$104,0),MATCH(U$16,AEA2012_ZAR2022!$AC$4:$AG$4,0)))</f>
        <v>3.0504844608097961</v>
      </c>
      <c r="V85" s="67"/>
      <c r="W85" s="896">
        <f t="shared" si="8"/>
        <v>-9.9900033333332719E-4</v>
      </c>
      <c r="X85" s="896">
        <f t="shared" si="9"/>
        <v>-7.5326913841620418E-3</v>
      </c>
      <c r="AD85" s="61" t="str">
        <f t="shared" si="12"/>
        <v>HCV3-HGN</v>
      </c>
      <c r="AE85" s="80"/>
      <c r="AF85" s="80"/>
      <c r="AG85" s="80"/>
      <c r="AH85" s="80"/>
      <c r="AI85" s="80"/>
    </row>
    <row r="86" spans="1:35" x14ac:dyDescent="0.25">
      <c r="A86" s="61" t="s">
        <v>509</v>
      </c>
      <c r="B86" s="61" t="s">
        <v>653</v>
      </c>
      <c r="C86" s="61" t="s">
        <v>731</v>
      </c>
      <c r="D86" s="61" t="str">
        <f t="shared" si="6"/>
        <v>CV3</v>
      </c>
      <c r="E86" s="61" t="s">
        <v>687</v>
      </c>
      <c r="F86" s="65"/>
      <c r="G86" s="255" t="s">
        <v>725</v>
      </c>
      <c r="H86" s="792" t="s">
        <v>700</v>
      </c>
      <c r="I86" s="897"/>
      <c r="J86" s="897"/>
      <c r="K86" s="897"/>
      <c r="L86" s="897"/>
      <c r="M86" s="897"/>
      <c r="N86" s="897"/>
      <c r="O86" s="897"/>
      <c r="P86" s="166" t="str">
        <f t="shared" si="10"/>
        <v>CV3GAS</v>
      </c>
      <c r="Q86" s="67">
        <f>INDEX('Vehicle data '!$AD$20:$AD$110,MATCH($P86,'Vehicle data '!$AC$20:$AC$110,0))/INDEX('Vehicle data '!$AD$20:$AD$110,MATCH($P$83,'Vehicle data '!$AC$20:$AC$110,0))*Q$83</f>
        <v>9.6410374800870748</v>
      </c>
      <c r="R86" s="67">
        <f t="array" ref="R86">IF($J$1,Q86*(1+INDEX(R$1:R$2,MATCH($B86,$N$1:$N$2,0)))^(R$16-Q$16),INDEX(AEA2012_ZAR2022!$AC$6:$AG$104,MATCH($G86&amp;$H86,AEA2012_ZAR2022!$A$6:$A$104&amp;AEA2012_ZAR2022!$B$6:$B$104,0),MATCH(R$16,AEA2012_ZAR2022!$AC$4:$AG$4,0)))</f>
        <v>9.6121432811182164</v>
      </c>
      <c r="S86" s="67">
        <f t="array" ref="S86">IF($J$1,R86*(1+INDEX(S$1:S$2,MATCH($B86,$N$1:$N$2,0)))^(S$16-R$16),INDEX(AEA2012_ZAR2022!$AC$6:$AG$104,MATCH($G86&amp;$H86,AEA2012_ZAR2022!$A$6:$A$104&amp;AEA2012_ZAR2022!$B$6:$B$104,0),MATCH(S$16,AEA2012_ZAR2022!$AC$4:$AG$4,0)))</f>
        <v>9.096369859221868</v>
      </c>
      <c r="T86" s="67">
        <f t="array" ref="T86">IF($J$1,S86*(1+INDEX(T$1:T$2,MATCH($B86,$N$1:$N$2,0)))^(T$16-S$16),INDEX(AEA2012_ZAR2022!$AC$6:$AG$104,MATCH($G86&amp;$H86,AEA2012_ZAR2022!$A$6:$A$104&amp;AEA2012_ZAR2022!$B$6:$B$104,0),MATCH(T$16,AEA2012_ZAR2022!$AC$4:$AG$4,0)))</f>
        <v>8.2265938483306176</v>
      </c>
      <c r="U86" s="67">
        <f t="array" ref="U86">IF($J$1,T86*(1+INDEX(U$1:U$2,MATCH($B86,$N$1:$N$2,0)))^(U$16-T$16),INDEX(AEA2012_ZAR2022!$AC$6:$AG$104,MATCH($G86&amp;$H86,AEA2012_ZAR2022!$A$6:$A$104&amp;AEA2012_ZAR2022!$B$6:$B$104,0),MATCH(U$16,AEA2012_ZAR2022!$AC$4:$AG$4,0)))</f>
        <v>7.4399840148079086</v>
      </c>
      <c r="V86" s="67"/>
      <c r="W86" s="896">
        <f t="shared" si="8"/>
        <v>-9.9900033333333435E-4</v>
      </c>
      <c r="X86" s="896">
        <f t="shared" si="9"/>
        <v>-7.5326913841620427E-3</v>
      </c>
      <c r="AD86" s="61" t="str">
        <f t="shared" si="12"/>
        <v>HCV3-GAS</v>
      </c>
      <c r="AE86" s="80"/>
      <c r="AF86" s="80"/>
      <c r="AG86" s="80"/>
      <c r="AH86" s="80"/>
      <c r="AI86" s="80"/>
    </row>
    <row r="87" spans="1:35" x14ac:dyDescent="0.25">
      <c r="B87" s="61" t="s">
        <v>653</v>
      </c>
      <c r="D87" s="61" t="str">
        <f t="shared" si="6"/>
        <v/>
      </c>
      <c r="F87" s="65"/>
      <c r="G87" s="255"/>
      <c r="H87" s="259"/>
      <c r="I87" s="897"/>
      <c r="J87" s="897"/>
      <c r="K87" s="897"/>
      <c r="L87" s="897"/>
      <c r="M87" s="897"/>
      <c r="N87" s="897"/>
      <c r="O87" s="897"/>
      <c r="P87" s="166" t="str">
        <f t="shared" si="10"/>
        <v/>
      </c>
      <c r="Q87" s="67" t="e">
        <f>1/INDEX(Analytica!$AA$17:$AE$48,MATCH($P87,Analytica!$A$17:$A$48,0),MATCH(Q$16,Analytica!$AA$16:$AE$16,0))</f>
        <v>#N/A</v>
      </c>
      <c r="R87" s="67" t="e">
        <f t="array" ref="R87">IF($J$1,Q87*(1+INDEX(R$1:R$2,MATCH($B87,$N$1:$N$2,0)))^(R$16-Q$16),INDEX(AEA2012_ZAR2022!$AC$6:$AG$104,MATCH($G87&amp;$H87,AEA2012_ZAR2022!$A$6:$A$104&amp;AEA2012_ZAR2022!$B$6:$B$104,0),MATCH(R$16,AEA2012_ZAR2022!$AC$4:$AG$4,0)))</f>
        <v>#N/A</v>
      </c>
      <c r="S87" s="67" t="e">
        <f t="array" ref="S87">IF($J$1,R87*(1+INDEX(S$1:S$2,MATCH($B87,$N$1:$N$2,0)))^(S$16-R$16),INDEX(AEA2012_ZAR2022!$AC$6:$AG$104,MATCH($G87&amp;$H87,AEA2012_ZAR2022!$A$6:$A$104&amp;AEA2012_ZAR2022!$B$6:$B$104,0),MATCH(S$16,AEA2012_ZAR2022!$AC$4:$AG$4,0)))</f>
        <v>#N/A</v>
      </c>
      <c r="T87" s="67" t="e">
        <f t="array" ref="T87">IF($J$1,S87*(1+INDEX(T$1:T$2,MATCH($B87,$N$1:$N$2,0)))^(T$16-S$16),INDEX(AEA2012_ZAR2022!$AC$6:$AG$104,MATCH($G87&amp;$H87,AEA2012_ZAR2022!$A$6:$A$104&amp;AEA2012_ZAR2022!$B$6:$B$104,0),MATCH(T$16,AEA2012_ZAR2022!$AC$4:$AG$4,0)))</f>
        <v>#N/A</v>
      </c>
      <c r="U87" s="67" t="e">
        <f t="array" ref="U87">IF($J$1,T87*(1+INDEX(U$1:U$2,MATCH($B87,$N$1:$N$2,0)))^(U$16-T$16),INDEX(AEA2012_ZAR2022!$AC$6:$AG$104,MATCH($G87&amp;$H87,AEA2012_ZAR2022!$A$6:$A$104&amp;AEA2012_ZAR2022!$B$6:$B$104,0),MATCH(U$16,AEA2012_ZAR2022!$AC$4:$AG$4,0)))</f>
        <v>#N/A</v>
      </c>
      <c r="V87" s="67"/>
      <c r="W87" s="896" t="e">
        <f t="shared" si="8"/>
        <v>#N/A</v>
      </c>
      <c r="X87" s="896" t="e">
        <f t="shared" si="9"/>
        <v>#N/A</v>
      </c>
      <c r="AD87" s="61" t="str">
        <f t="shared" si="12"/>
        <v>-</v>
      </c>
      <c r="AE87" s="80"/>
      <c r="AF87" s="80"/>
      <c r="AG87" s="80"/>
      <c r="AH87" s="80"/>
      <c r="AI87" s="80"/>
    </row>
    <row r="88" spans="1:35" x14ac:dyDescent="0.25">
      <c r="A88" s="61" t="s">
        <v>511</v>
      </c>
      <c r="B88" s="61" t="s">
        <v>653</v>
      </c>
      <c r="C88" s="61" t="s">
        <v>732</v>
      </c>
      <c r="D88" s="61" t="str">
        <f t="shared" si="6"/>
        <v>CV4</v>
      </c>
      <c r="E88" s="61" t="s">
        <v>687</v>
      </c>
      <c r="F88" s="65"/>
      <c r="G88" s="255" t="s">
        <v>733</v>
      </c>
      <c r="H88" s="792" t="s">
        <v>687</v>
      </c>
      <c r="I88" s="897"/>
      <c r="J88" s="897"/>
      <c r="K88" s="897"/>
      <c r="L88" s="897"/>
      <c r="M88" s="897"/>
      <c r="N88" s="897"/>
      <c r="O88" s="897"/>
      <c r="P88" s="166" t="str">
        <f t="shared" si="10"/>
        <v>CV4ODS</v>
      </c>
      <c r="Q88" s="67">
        <f>1/INDEX(Analytica!$AA$17:$AE$48,MATCH($P88,Analytica!$A$17:$A$48,0),MATCH(Q$16,Analytica!$AA$16:$AE$16,0))</f>
        <v>9.7550044464299983</v>
      </c>
      <c r="R88" s="67">
        <f t="array" ref="R88">IF($J$1,Q88*(1+INDEX(R$1:R$2,MATCH($B88,$N$1:$N$2,0)))^(R$16-Q$16),INDEX(AEA2012_ZAR2022!$AC$6:$AG$104,MATCH($G88&amp;$H88,AEA2012_ZAR2022!$A$6:$A$104&amp;AEA2012_ZAR2022!$B$6:$B$104,0),MATCH(R$16,AEA2012_ZAR2022!$AC$4:$AG$4,0)))</f>
        <v>9.725768688349044</v>
      </c>
      <c r="S88" s="67">
        <f t="array" ref="S88">IF($J$1,R88*(1+INDEX(S$1:S$2,MATCH($B88,$N$1:$N$2,0)))^(S$16-R$16),INDEX(AEA2012_ZAR2022!$AC$6:$AG$104,MATCH($G88&amp;$H88,AEA2012_ZAR2022!$A$6:$A$104&amp;AEA2012_ZAR2022!$B$6:$B$104,0),MATCH(S$16,AEA2012_ZAR2022!$AC$4:$AG$4,0)))</f>
        <v>9.203898294800501</v>
      </c>
      <c r="T88" s="67">
        <f t="array" ref="T88">IF($J$1,S88*(1+INDEX(T$1:T$2,MATCH($B88,$N$1:$N$2,0)))^(T$16-S$16),INDEX(AEA2012_ZAR2022!$AC$6:$AG$104,MATCH($G88&amp;$H88,AEA2012_ZAR2022!$A$6:$A$104&amp;AEA2012_ZAR2022!$B$6:$B$104,0),MATCH(T$16,AEA2012_ZAR2022!$AC$4:$AG$4,0)))</f>
        <v>8.3238406380216734</v>
      </c>
      <c r="U88" s="67">
        <f t="array" ref="U88">IF($J$1,T88*(1+INDEX(U$1:U$2,MATCH($B88,$N$1:$N$2,0)))^(U$16-T$16),INDEX(AEA2012_ZAR2022!$AC$6:$AG$104,MATCH($G88&amp;$H88,AEA2012_ZAR2022!$A$6:$A$104&amp;AEA2012_ZAR2022!$B$6:$B$104,0),MATCH(U$16,AEA2012_ZAR2022!$AC$4:$AG$4,0)))</f>
        <v>7.5279322682566505</v>
      </c>
      <c r="V88" s="67"/>
      <c r="W88" s="896">
        <f t="shared" si="8"/>
        <v>-9.9900033333330616E-4</v>
      </c>
      <c r="X88" s="896">
        <f t="shared" si="9"/>
        <v>-7.5326913841620392E-3</v>
      </c>
      <c r="AD88" s="61" t="str">
        <f t="shared" si="12"/>
        <v>HCV4-ODS</v>
      </c>
      <c r="AE88" s="80"/>
      <c r="AF88" s="80"/>
      <c r="AG88" s="80"/>
      <c r="AH88" s="80"/>
      <c r="AI88" s="80"/>
    </row>
    <row r="89" spans="1:35" x14ac:dyDescent="0.25">
      <c r="A89" s="61" t="s">
        <v>501</v>
      </c>
      <c r="B89" s="61" t="s">
        <v>653</v>
      </c>
      <c r="C89" s="61" t="s">
        <v>732</v>
      </c>
      <c r="D89" s="61" t="str">
        <f t="shared" ref="D89" si="13">RIGHT(C89,3)</f>
        <v>CV4</v>
      </c>
      <c r="E89" s="61" t="s">
        <v>687</v>
      </c>
      <c r="F89" s="65"/>
      <c r="G89" s="255" t="s">
        <v>733</v>
      </c>
      <c r="H89" s="792" t="s">
        <v>692</v>
      </c>
      <c r="I89" s="897"/>
      <c r="J89" s="897"/>
      <c r="K89" s="897"/>
      <c r="L89" s="897"/>
      <c r="M89" s="897"/>
      <c r="N89" s="897"/>
      <c r="O89" s="897"/>
      <c r="P89" s="166" t="str">
        <f t="shared" ref="P89" si="14">D89&amp;A89</f>
        <v>CV4ELC</v>
      </c>
      <c r="Q89" s="949">
        <f>Q$84/Q$83*Q88</f>
        <v>2.9793005045194332</v>
      </c>
      <c r="R89" s="949">
        <f t="shared" ref="R89:U89" si="15">R$84/R$83*R88</f>
        <v>2.9703715379280888</v>
      </c>
      <c r="S89" s="949">
        <f t="shared" si="15"/>
        <v>2.8109857851761322</v>
      </c>
      <c r="T89" s="949">
        <f t="shared" si="15"/>
        <v>2.5422051572178437</v>
      </c>
      <c r="U89" s="949">
        <f t="shared" si="15"/>
        <v>2.299124775182757</v>
      </c>
      <c r="V89" s="67"/>
      <c r="W89" s="896">
        <f t="shared" ref="W89" si="16">-((Q89-R89)/($R$16-$Q$16))/Q89</f>
        <v>-9.9900033333323243E-4</v>
      </c>
      <c r="X89" s="896">
        <f t="shared" ref="X89" si="17">-((R89-U89)/($U$16-$R$16))/R89</f>
        <v>-7.5326913841620392E-3</v>
      </c>
      <c r="Z89" s="950" t="s">
        <v>1437</v>
      </c>
      <c r="AA89" s="950"/>
      <c r="AD89" s="61" t="str">
        <f t="shared" si="12"/>
        <v>HCV4-ELC</v>
      </c>
      <c r="AE89" s="80"/>
      <c r="AF89" s="80"/>
      <c r="AG89" s="80"/>
      <c r="AH89" s="80"/>
      <c r="AI89" s="80"/>
    </row>
    <row r="90" spans="1:35" x14ac:dyDescent="0.25">
      <c r="A90" s="61" t="s">
        <v>504</v>
      </c>
      <c r="B90" s="61" t="s">
        <v>653</v>
      </c>
      <c r="C90" s="61" t="s">
        <v>732</v>
      </c>
      <c r="D90" s="61" t="str">
        <f t="shared" si="6"/>
        <v>CV4</v>
      </c>
      <c r="E90" s="61" t="s">
        <v>687</v>
      </c>
      <c r="F90" s="65"/>
      <c r="G90" s="255" t="s">
        <v>733</v>
      </c>
      <c r="H90" s="792" t="s">
        <v>699</v>
      </c>
      <c r="I90" s="897"/>
      <c r="J90" s="897"/>
      <c r="K90" s="897"/>
      <c r="L90" s="897"/>
      <c r="M90" s="897"/>
      <c r="N90" s="897"/>
      <c r="O90" s="897"/>
      <c r="P90" s="166" t="str">
        <f t="shared" si="10"/>
        <v>CV4HGN</v>
      </c>
      <c r="Q90" s="67">
        <f>INDEX('Vehicle data '!$AD$20:$AD$110,MATCH($P90,'Vehicle data '!$AC$20:$AC$110,0))/INDEX('Vehicle data '!$AD$20:$AD$110,MATCH($P$88,'Vehicle data '!$AC$20:$AC$110,0))*Q$88</f>
        <v>4.6238205653232871</v>
      </c>
      <c r="R90" s="67">
        <f t="array" ref="R90">IF($J$1,Q90*(1+INDEX(R$1:R$2,MATCH($B90,$N$1:$N$2,0)))^(R$16-Q$16),INDEX(AEA2012_ZAR2022!$AC$6:$AG$104,MATCH($G90&amp;$H90,AEA2012_ZAR2022!$A$6:$A$104&amp;AEA2012_ZAR2022!$B$6:$B$104,0),MATCH(R$16,AEA2012_ZAR2022!$AC$4:$AG$4,0)))</f>
        <v>4.609962970465193</v>
      </c>
      <c r="S90" s="67">
        <f t="array" ref="S90">IF($J$1,R90*(1+INDEX(S$1:S$2,MATCH($B90,$N$1:$N$2,0)))^(S$16-R$16),INDEX(AEA2012_ZAR2022!$AC$6:$AG$104,MATCH($G90&amp;$H90,AEA2012_ZAR2022!$A$6:$A$104&amp;AEA2012_ZAR2022!$B$6:$B$104,0),MATCH(S$16,AEA2012_ZAR2022!$AC$4:$AG$4,0)))</f>
        <v>4.3625991613173465</v>
      </c>
      <c r="T90" s="67">
        <f t="array" ref="T90">IF($J$1,S90*(1+INDEX(T$1:T$2,MATCH($B90,$N$1:$N$2,0)))^(T$16-S$16),INDEX(AEA2012_ZAR2022!$AC$6:$AG$104,MATCH($G90&amp;$H90,AEA2012_ZAR2022!$A$6:$A$104&amp;AEA2012_ZAR2022!$B$6:$B$104,0),MATCH(T$16,AEA2012_ZAR2022!$AC$4:$AG$4,0)))</f>
        <v>3.9454564819438511</v>
      </c>
      <c r="U90" s="67">
        <f t="array" ref="U90">IF($J$1,T90*(1+INDEX(U$1:U$2,MATCH($B90,$N$1:$N$2,0)))^(U$16-T$16),INDEX(AEA2012_ZAR2022!$AC$6:$AG$104,MATCH($G90&amp;$H90,AEA2012_ZAR2022!$A$6:$A$104&amp;AEA2012_ZAR2022!$B$6:$B$104,0),MATCH(U$16,AEA2012_ZAR2022!$AC$4:$AG$4,0)))</f>
        <v>3.568200119997317</v>
      </c>
      <c r="V90" s="67"/>
      <c r="W90" s="896">
        <f t="shared" si="8"/>
        <v>-9.9900033333330941E-4</v>
      </c>
      <c r="X90" s="896">
        <f t="shared" si="9"/>
        <v>-7.5326913841620392E-3</v>
      </c>
      <c r="AD90" s="61" t="str">
        <f t="shared" si="12"/>
        <v>HCV4-HGN</v>
      </c>
      <c r="AE90" s="80"/>
      <c r="AF90" s="80"/>
      <c r="AG90" s="80"/>
      <c r="AH90" s="80"/>
      <c r="AI90" s="80"/>
    </row>
    <row r="91" spans="1:35" x14ac:dyDescent="0.25">
      <c r="A91" s="61" t="s">
        <v>509</v>
      </c>
      <c r="B91" s="61" t="s">
        <v>653</v>
      </c>
      <c r="C91" s="61" t="s">
        <v>732</v>
      </c>
      <c r="D91" s="61" t="str">
        <f t="shared" ref="D91:D116" si="18">RIGHT(C91,3)</f>
        <v>CV4</v>
      </c>
      <c r="E91" s="61" t="s">
        <v>687</v>
      </c>
      <c r="F91" s="65"/>
      <c r="G91" s="255" t="s">
        <v>733</v>
      </c>
      <c r="H91" s="792" t="s">
        <v>700</v>
      </c>
      <c r="I91" s="897"/>
      <c r="J91" s="897"/>
      <c r="K91" s="897"/>
      <c r="L91" s="897"/>
      <c r="M91" s="897"/>
      <c r="N91" s="897"/>
      <c r="O91" s="897"/>
      <c r="P91" s="166" t="str">
        <f t="shared" si="10"/>
        <v>CV4GAS</v>
      </c>
      <c r="Q91" s="67">
        <f>INDEX('Vehicle data '!$AD$20:$AD$110,MATCH($P91,'Vehicle data '!$AC$20:$AC$110,0))/INDEX('Vehicle data '!$AD$20:$AD$110,MATCH($P$88,'Vehicle data '!$AC$20:$AC$110,0))*Q$88</f>
        <v>11.218255113394497</v>
      </c>
      <c r="R91" s="67">
        <f t="array" ref="R91">IF($J$1,Q91*(1+INDEX(R$1:R$2,MATCH($B91,$N$1:$N$2,0)))^(R$16-Q$16),INDEX(AEA2012_ZAR2022!$AC$6:$AG$104,MATCH($G91&amp;$H91,AEA2012_ZAR2022!$A$6:$A$104&amp;AEA2012_ZAR2022!$B$6:$B$104,0),MATCH(R$16,AEA2012_ZAR2022!$AC$4:$AG$4,0)))</f>
        <v>11.184633991601398</v>
      </c>
      <c r="S91" s="67">
        <f t="array" ref="S91">IF($J$1,R91*(1+INDEX(S$1:S$2,MATCH($B91,$N$1:$N$2,0)))^(S$16-R$16),INDEX(AEA2012_ZAR2022!$AC$6:$AG$104,MATCH($G91&amp;$H91,AEA2012_ZAR2022!$A$6:$A$104&amp;AEA2012_ZAR2022!$B$6:$B$104,0),MATCH(S$16,AEA2012_ZAR2022!$AC$4:$AG$4,0)))</f>
        <v>10.584483039020574</v>
      </c>
      <c r="T91" s="67">
        <f t="array" ref="T91">IF($J$1,S91*(1+INDEX(T$1:T$2,MATCH($B91,$N$1:$N$2,0)))^(T$16-S$16),INDEX(AEA2012_ZAR2022!$AC$6:$AG$104,MATCH($G91&amp;$H91,AEA2012_ZAR2022!$A$6:$A$104&amp;AEA2012_ZAR2022!$B$6:$B$104,0),MATCH(T$16,AEA2012_ZAR2022!$AC$4:$AG$4,0)))</f>
        <v>9.5724167337249213</v>
      </c>
      <c r="U91" s="67">
        <f t="array" ref="U91">IF($J$1,T91*(1+INDEX(U$1:U$2,MATCH($B91,$N$1:$N$2,0)))^(U$16-T$16),INDEX(AEA2012_ZAR2022!$AC$6:$AG$104,MATCH($G91&amp;$H91,AEA2012_ZAR2022!$A$6:$A$104&amp;AEA2012_ZAR2022!$B$6:$B$104,0),MATCH(U$16,AEA2012_ZAR2022!$AC$4:$AG$4,0)))</f>
        <v>8.6571221084951446</v>
      </c>
      <c r="V91" s="67"/>
      <c r="W91" s="896">
        <f t="shared" ref="W91:W117" si="19">-((Q91-R91)/($R$16-$Q$16))/Q91</f>
        <v>-9.9900033333333261E-4</v>
      </c>
      <c r="X91" s="896">
        <f t="shared" ref="X91:X116" si="20">-((R91-U91)/($U$16-$R$16))/R91</f>
        <v>-7.5326913841620435E-3</v>
      </c>
      <c r="AD91" s="61" t="str">
        <f t="shared" si="12"/>
        <v>HCV4-GAS</v>
      </c>
      <c r="AE91" s="80"/>
      <c r="AF91" s="80"/>
      <c r="AG91" s="80"/>
      <c r="AH91" s="80"/>
      <c r="AI91" s="80"/>
    </row>
    <row r="92" spans="1:35" x14ac:dyDescent="0.25">
      <c r="B92" s="61" t="s">
        <v>653</v>
      </c>
      <c r="D92" s="61" t="str">
        <f t="shared" si="18"/>
        <v/>
      </c>
      <c r="F92" s="65"/>
      <c r="G92" s="255"/>
      <c r="H92" s="259"/>
      <c r="I92" s="897"/>
      <c r="J92" s="897"/>
      <c r="K92" s="897"/>
      <c r="L92" s="897"/>
      <c r="M92" s="897"/>
      <c r="N92" s="897"/>
      <c r="O92" s="897"/>
      <c r="P92" s="166" t="str">
        <f t="shared" si="10"/>
        <v/>
      </c>
      <c r="Q92" s="67" t="e">
        <f>1/INDEX(Analytica!$AA$17:$AE$48,MATCH($P92,Analytica!$A$17:$A$48,0),MATCH(Q$16,Analytica!$AA$16:$AE$16,0))</f>
        <v>#N/A</v>
      </c>
      <c r="R92" s="67" t="e">
        <f t="array" ref="R92">IF($J$1,Q92*(1+INDEX(R$1:R$2,MATCH($B92,$N$1:$N$2,0)))^(R$16-Q$16),INDEX(AEA2012_ZAR2022!$AC$6:$AG$104,MATCH($G92&amp;$H92,AEA2012_ZAR2022!$A$6:$A$104&amp;AEA2012_ZAR2022!$B$6:$B$104,0),MATCH(R$16,AEA2012_ZAR2022!$AC$4:$AG$4,0)))</f>
        <v>#N/A</v>
      </c>
      <c r="S92" s="67" t="e">
        <f t="array" ref="S92">IF($J$1,R92*(1+INDEX(S$1:S$2,MATCH($B92,$N$1:$N$2,0)))^(S$16-R$16),INDEX(AEA2012_ZAR2022!$AC$6:$AG$104,MATCH($G92&amp;$H92,AEA2012_ZAR2022!$A$6:$A$104&amp;AEA2012_ZAR2022!$B$6:$B$104,0),MATCH(S$16,AEA2012_ZAR2022!$AC$4:$AG$4,0)))</f>
        <v>#N/A</v>
      </c>
      <c r="T92" s="67" t="e">
        <f t="array" ref="T92">IF($J$1,S92*(1+INDEX(T$1:T$2,MATCH($B92,$N$1:$N$2,0)))^(T$16-S$16),INDEX(AEA2012_ZAR2022!$AC$6:$AG$104,MATCH($G92&amp;$H92,AEA2012_ZAR2022!$A$6:$A$104&amp;AEA2012_ZAR2022!$B$6:$B$104,0),MATCH(T$16,AEA2012_ZAR2022!$AC$4:$AG$4,0)))</f>
        <v>#N/A</v>
      </c>
      <c r="U92" s="67" t="e">
        <f t="array" ref="U92">IF($J$1,T92*(1+INDEX(U$1:U$2,MATCH($B92,$N$1:$N$2,0)))^(U$16-T$16),INDEX(AEA2012_ZAR2022!$AC$6:$AG$104,MATCH($G92&amp;$H92,AEA2012_ZAR2022!$A$6:$A$104&amp;AEA2012_ZAR2022!$B$6:$B$104,0),MATCH(U$16,AEA2012_ZAR2022!$AC$4:$AG$4,0)))</f>
        <v>#N/A</v>
      </c>
      <c r="V92" s="67"/>
      <c r="W92" s="896" t="e">
        <f t="shared" si="19"/>
        <v>#N/A</v>
      </c>
      <c r="X92" s="896" t="e">
        <f t="shared" si="20"/>
        <v>#N/A</v>
      </c>
      <c r="AD92" s="61" t="str">
        <f t="shared" si="12"/>
        <v>-</v>
      </c>
      <c r="AE92" s="80"/>
      <c r="AF92" s="80"/>
      <c r="AG92" s="80"/>
      <c r="AH92" s="80"/>
      <c r="AI92" s="80"/>
    </row>
    <row r="93" spans="1:35" x14ac:dyDescent="0.25">
      <c r="A93" s="61" t="s">
        <v>511</v>
      </c>
      <c r="B93" s="61" t="s">
        <v>653</v>
      </c>
      <c r="C93" s="61" t="s">
        <v>734</v>
      </c>
      <c r="D93" s="61" t="str">
        <f t="shared" si="18"/>
        <v>CV5</v>
      </c>
      <c r="E93" s="61" t="s">
        <v>687</v>
      </c>
      <c r="F93" s="65"/>
      <c r="G93" s="255" t="s">
        <v>735</v>
      </c>
      <c r="H93" s="792" t="s">
        <v>687</v>
      </c>
      <c r="I93" s="897"/>
      <c r="J93" s="897"/>
      <c r="K93" s="897"/>
      <c r="L93" s="897"/>
      <c r="M93" s="897"/>
      <c r="N93" s="897"/>
      <c r="O93" s="897"/>
      <c r="P93" s="166" t="str">
        <f t="shared" ref="P93:P116" si="21">D93&amp;A93</f>
        <v>CV5ODS</v>
      </c>
      <c r="Q93" s="67">
        <f>1/INDEX(Analytica!$AA$17:$AE$48,MATCH($P93,Analytica!$A$17:$A$48,0),MATCH(Q$16,Analytica!$AA$16:$AE$16,0))</f>
        <v>10.588781032925946</v>
      </c>
      <c r="R93" s="67">
        <f t="array" ref="R93">IF($J$1,Q93*(1+INDEX(R$1:R$2,MATCH($B93,$N$1:$N$2,0)))^(R$16-Q$16),INDEX(AEA2012_ZAR2022!$AC$6:$AG$104,MATCH($G93&amp;$H93,AEA2012_ZAR2022!$A$6:$A$104&amp;AEA2012_ZAR2022!$B$6:$B$104,0),MATCH(R$16,AEA2012_ZAR2022!$AC$4:$AG$4,0)))</f>
        <v>10.557046445581486</v>
      </c>
      <c r="S93" s="67">
        <f t="array" ref="S93">IF($J$1,R93*(1+INDEX(S$1:S$2,MATCH($B93,$N$1:$N$2,0)))^(S$16-R$16),INDEX(AEA2012_ZAR2022!$AC$6:$AG$104,MATCH($G93&amp;$H93,AEA2012_ZAR2022!$A$6:$A$104&amp;AEA2012_ZAR2022!$B$6:$B$104,0),MATCH(S$16,AEA2012_ZAR2022!$AC$4:$AG$4,0)))</f>
        <v>9.9905709144632269</v>
      </c>
      <c r="T93" s="67">
        <f t="array" ref="T93">IF($J$1,S93*(1+INDEX(T$1:T$2,MATCH($B93,$N$1:$N$2,0)))^(T$16-S$16),INDEX(AEA2012_ZAR2022!$AC$6:$AG$104,MATCH($G93&amp;$H93,AEA2012_ZAR2022!$A$6:$A$104&amp;AEA2012_ZAR2022!$B$6:$B$104,0),MATCH(T$16,AEA2012_ZAR2022!$AC$4:$AG$4,0)))</f>
        <v>9.035293254144861</v>
      </c>
      <c r="U93" s="67">
        <f t="array" ref="U93">IF($J$1,T93*(1+INDEX(U$1:U$2,MATCH($B93,$N$1:$N$2,0)))^(U$16-T$16),INDEX(AEA2012_ZAR2022!$AC$6:$AG$104,MATCH($G93&amp;$H93,AEA2012_ZAR2022!$A$6:$A$104&amp;AEA2012_ZAR2022!$B$6:$B$104,0),MATCH(U$16,AEA2012_ZAR2022!$AC$4:$AG$4,0)))</f>
        <v>8.1713572614965813</v>
      </c>
      <c r="V93" s="67"/>
      <c r="W93" s="896">
        <f t="shared" si="19"/>
        <v>-9.9900033333331288E-4</v>
      </c>
      <c r="X93" s="896">
        <f t="shared" si="20"/>
        <v>-7.5326913841620409E-3</v>
      </c>
      <c r="AD93" s="61" t="str">
        <f t="shared" si="12"/>
        <v>HCV5-ODS</v>
      </c>
      <c r="AE93" s="80"/>
      <c r="AF93" s="80"/>
      <c r="AG93" s="80"/>
      <c r="AH93" s="80"/>
      <c r="AI93" s="80"/>
    </row>
    <row r="94" spans="1:35" x14ac:dyDescent="0.25">
      <c r="A94" s="61" t="s">
        <v>501</v>
      </c>
      <c r="B94" s="61" t="s">
        <v>653</v>
      </c>
      <c r="C94" s="61" t="s">
        <v>734</v>
      </c>
      <c r="D94" s="61" t="str">
        <f t="shared" si="18"/>
        <v>CV5</v>
      </c>
      <c r="E94" s="61" t="s">
        <v>687</v>
      </c>
      <c r="F94" s="65"/>
      <c r="G94" s="255" t="s">
        <v>735</v>
      </c>
      <c r="H94" s="792" t="s">
        <v>692</v>
      </c>
      <c r="I94" s="897"/>
      <c r="J94" s="897"/>
      <c r="K94" s="897"/>
      <c r="L94" s="897"/>
      <c r="M94" s="897"/>
      <c r="N94" s="897"/>
      <c r="O94" s="897"/>
      <c r="P94" s="166" t="str">
        <f t="shared" si="21"/>
        <v>CV5ELC</v>
      </c>
      <c r="Q94" s="949">
        <f>Q$84/Q$83*Q93</f>
        <v>3.23394631410827</v>
      </c>
      <c r="R94" s="949">
        <f t="shared" ref="R94" si="22">R$84/R$83*R93</f>
        <v>3.2242541737709418</v>
      </c>
      <c r="S94" s="949">
        <f t="shared" ref="S94" si="23">S$84/S$83*S93</f>
        <v>3.0512454534852034</v>
      </c>
      <c r="T94" s="949">
        <f t="shared" ref="T94" si="24">T$84/T$83*T93</f>
        <v>2.7594916945841281</v>
      </c>
      <c r="U94" s="949">
        <f t="shared" ref="U94" si="25">U$84/U$83*U93</f>
        <v>2.4956348247175555</v>
      </c>
      <c r="V94" s="67"/>
      <c r="W94" s="896">
        <f t="shared" si="19"/>
        <v>-9.9900033333327537E-4</v>
      </c>
      <c r="X94" s="896">
        <f t="shared" si="20"/>
        <v>-7.5326913841620427E-3</v>
      </c>
      <c r="AD94" s="61" t="str">
        <f t="shared" si="12"/>
        <v>HCV5-ELC</v>
      </c>
      <c r="AE94" s="80"/>
      <c r="AF94" s="80"/>
      <c r="AG94" s="80"/>
      <c r="AH94" s="80"/>
      <c r="AI94" s="80"/>
    </row>
    <row r="95" spans="1:35" x14ac:dyDescent="0.25">
      <c r="A95" s="61" t="s">
        <v>504</v>
      </c>
      <c r="B95" s="61" t="s">
        <v>653</v>
      </c>
      <c r="C95" s="61" t="s">
        <v>734</v>
      </c>
      <c r="D95" s="61" t="str">
        <f t="shared" si="18"/>
        <v>CV5</v>
      </c>
      <c r="E95" s="61" t="s">
        <v>687</v>
      </c>
      <c r="F95" s="65"/>
      <c r="G95" s="255" t="s">
        <v>735</v>
      </c>
      <c r="H95" s="792" t="s">
        <v>699</v>
      </c>
      <c r="I95" s="897"/>
      <c r="J95" s="897"/>
      <c r="K95" s="897"/>
      <c r="L95" s="897"/>
      <c r="M95" s="897"/>
      <c r="N95" s="897"/>
      <c r="O95" s="897"/>
      <c r="P95" s="166" t="str">
        <f t="shared" si="21"/>
        <v>CV5HGN</v>
      </c>
      <c r="Q95" s="67">
        <f>INDEX('Vehicle data '!$AD$20:$AD$110,MATCH($P95,'Vehicle data '!$AC$20:$AC$110,0))/INDEX('Vehicle data '!$AD$20:$AD$110,MATCH($P$93,'Vehicle data '!$AC$20:$AC$110,0))*Q$93</f>
        <v>5.0190262619168848</v>
      </c>
      <c r="R95" s="67">
        <f t="array" ref="R95">IF($J$1,Q95*(1+INDEX(R$1:R$2,MATCH($B95,$N$1:$N$2,0)))^(R$16-Q$16),INDEX(AEA2012_ZAR2022!$AC$6:$AG$104,MATCH($G95&amp;$H95,AEA2012_ZAR2022!$A$6:$A$104&amp;AEA2012_ZAR2022!$B$6:$B$104,0),MATCH(R$16,AEA2012_ZAR2022!$AC$4:$AG$4,0)))</f>
        <v>5.0039842351908934</v>
      </c>
      <c r="S95" s="67">
        <f t="array" ref="S95">IF($J$1,R95*(1+INDEX(S$1:S$2,MATCH($B95,$N$1:$N$2,0)))^(S$16-R$16),INDEX(AEA2012_ZAR2022!$AC$6:$AG$104,MATCH($G95&amp;$H95,AEA2012_ZAR2022!$A$6:$A$104&amp;AEA2012_ZAR2022!$B$6:$B$104,0),MATCH(S$16,AEA2012_ZAR2022!$AC$4:$AG$4,0)))</f>
        <v>4.7354778265141038</v>
      </c>
      <c r="T95" s="67">
        <f t="array" ref="T95">IF($J$1,S95*(1+INDEX(T$1:T$2,MATCH($B95,$N$1:$N$2,0)))^(T$16-S$16),INDEX(AEA2012_ZAR2022!$AC$6:$AG$104,MATCH($G95&amp;$H95,AEA2012_ZAR2022!$A$6:$A$104&amp;AEA2012_ZAR2022!$B$6:$B$104,0),MATCH(T$16,AEA2012_ZAR2022!$AC$4:$AG$4,0)))</f>
        <v>4.2826812629010078</v>
      </c>
      <c r="U95" s="67">
        <f t="array" ref="U95">IF($J$1,T95*(1+INDEX(U$1:U$2,MATCH($B95,$N$1:$N$2,0)))^(U$16-T$16),INDEX(AEA2012_ZAR2022!$AC$6:$AG$104,MATCH($G95&amp;$H95,AEA2012_ZAR2022!$A$6:$A$104&amp;AEA2012_ZAR2022!$B$6:$B$104,0),MATCH(U$16,AEA2012_ZAR2022!$AC$4:$AG$4,0)))</f>
        <v>3.8731801671437398</v>
      </c>
      <c r="V95" s="67"/>
      <c r="W95" s="896">
        <f t="shared" si="19"/>
        <v>-9.9900033333335018E-4</v>
      </c>
      <c r="X95" s="896">
        <f t="shared" si="20"/>
        <v>-7.5326913841620401E-3</v>
      </c>
      <c r="AD95" s="61" t="str">
        <f t="shared" si="12"/>
        <v>HCV5-HGN</v>
      </c>
      <c r="AE95" s="80"/>
      <c r="AF95" s="80"/>
      <c r="AG95" s="80"/>
      <c r="AH95" s="80"/>
      <c r="AI95" s="80"/>
    </row>
    <row r="96" spans="1:35" x14ac:dyDescent="0.25">
      <c r="A96" s="61" t="s">
        <v>509</v>
      </c>
      <c r="B96" s="61" t="s">
        <v>653</v>
      </c>
      <c r="C96" s="61" t="s">
        <v>734</v>
      </c>
      <c r="D96" s="61" t="str">
        <f t="shared" si="18"/>
        <v>CV5</v>
      </c>
      <c r="E96" s="61" t="s">
        <v>687</v>
      </c>
      <c r="F96" s="65"/>
      <c r="G96" s="255" t="s">
        <v>735</v>
      </c>
      <c r="H96" s="792" t="s">
        <v>700</v>
      </c>
      <c r="I96" s="897"/>
      <c r="J96" s="897"/>
      <c r="K96" s="897"/>
      <c r="L96" s="897"/>
      <c r="M96" s="897"/>
      <c r="N96" s="897"/>
      <c r="O96" s="897"/>
      <c r="P96" s="166" t="str">
        <f t="shared" si="21"/>
        <v>CV5GAS</v>
      </c>
      <c r="Q96" s="67">
        <f>INDEX('Vehicle data '!$AD$20:$AD$110,MATCH($P96,'Vehicle data '!$AC$20:$AC$110,0))/INDEX('Vehicle data '!$AD$20:$AD$110,MATCH($P$93,'Vehicle data '!$AC$20:$AC$110,0))*Q$93</f>
        <v>12.177098187864836</v>
      </c>
      <c r="R96" s="67">
        <f t="array" ref="R96">IF($J$1,Q96*(1+INDEX(R$1:R$2,MATCH($B96,$N$1:$N$2,0)))^(R$16-Q$16),INDEX(AEA2012_ZAR2022!$AC$6:$AG$104,MATCH($G96&amp;$H96,AEA2012_ZAR2022!$A$6:$A$104&amp;AEA2012_ZAR2022!$B$6:$B$104,0),MATCH(R$16,AEA2012_ZAR2022!$AC$4:$AG$4,0)))</f>
        <v>12.140603412418706</v>
      </c>
      <c r="S96" s="67">
        <f t="array" ref="S96">IF($J$1,R96*(1+INDEX(S$1:S$2,MATCH($B96,$N$1:$N$2,0)))^(S$16-R$16),INDEX(AEA2012_ZAR2022!$AC$6:$AG$104,MATCH($G96&amp;$H96,AEA2012_ZAR2022!$A$6:$A$104&amp;AEA2012_ZAR2022!$B$6:$B$104,0),MATCH(S$16,AEA2012_ZAR2022!$AC$4:$AG$4,0)))</f>
        <v>11.489156551632709</v>
      </c>
      <c r="T96" s="67">
        <f t="array" ref="T96">IF($J$1,S96*(1+INDEX(T$1:T$2,MATCH($B96,$N$1:$N$2,0)))^(T$16-S$16),INDEX(AEA2012_ZAR2022!$AC$6:$AG$104,MATCH($G96&amp;$H96,AEA2012_ZAR2022!$A$6:$A$104&amp;AEA2012_ZAR2022!$B$6:$B$104,0),MATCH(T$16,AEA2012_ZAR2022!$AC$4:$AG$4,0)))</f>
        <v>10.390587242266587</v>
      </c>
      <c r="U96" s="67">
        <f t="array" ref="U96">IF($J$1,T96*(1+INDEX(U$1:U$2,MATCH($B96,$N$1:$N$2,0)))^(U$16-T$16),INDEX(AEA2012_ZAR2022!$AC$6:$AG$104,MATCH($G96&amp;$H96,AEA2012_ZAR2022!$A$6:$A$104&amp;AEA2012_ZAR2022!$B$6:$B$104,0),MATCH(U$16,AEA2012_ZAR2022!$AC$4:$AG$4,0)))</f>
        <v>9.3970608507210649</v>
      </c>
      <c r="V96" s="67"/>
      <c r="W96" s="896">
        <f t="shared" si="19"/>
        <v>-9.9900033333335191E-4</v>
      </c>
      <c r="X96" s="896">
        <f t="shared" si="20"/>
        <v>-7.5326913841620444E-3</v>
      </c>
      <c r="AD96" s="61" t="str">
        <f t="shared" si="12"/>
        <v>HCV5-GAS</v>
      </c>
      <c r="AE96" s="80"/>
      <c r="AF96" s="80"/>
      <c r="AG96" s="80"/>
      <c r="AH96" s="80"/>
      <c r="AI96" s="80"/>
    </row>
    <row r="97" spans="1:38" x14ac:dyDescent="0.25">
      <c r="B97" s="61" t="s">
        <v>653</v>
      </c>
      <c r="D97" s="61" t="str">
        <f t="shared" si="18"/>
        <v/>
      </c>
      <c r="F97" s="65"/>
      <c r="G97" s="255"/>
      <c r="I97" s="897"/>
      <c r="J97" s="897"/>
      <c r="K97" s="897"/>
      <c r="L97" s="897"/>
      <c r="M97" s="897"/>
      <c r="N97" s="897"/>
      <c r="O97" s="897"/>
      <c r="P97" s="166" t="str">
        <f t="shared" si="21"/>
        <v/>
      </c>
      <c r="Q97" s="67" t="e">
        <f>1/INDEX(Analytica!$AA$17:$AE$48,MATCH($P97,Analytica!$A$17:$A$48,0),MATCH(Q$16,Analytica!$AA$16:$AE$16,0))</f>
        <v>#N/A</v>
      </c>
      <c r="R97" s="67" t="e">
        <f t="array" ref="R97">IF($J$1,Q97*(1+INDEX(R$1:R$2,MATCH($B97,$N$1:$N$2,0)))^(R$16-Q$16),INDEX(AEA2012_ZAR2022!$AC$6:$AG$104,MATCH($G97&amp;$H97,AEA2012_ZAR2022!$A$6:$A$104&amp;AEA2012_ZAR2022!$B$6:$B$104,0),MATCH(R$16,AEA2012_ZAR2022!$AC$4:$AG$4,0)))</f>
        <v>#N/A</v>
      </c>
      <c r="S97" s="67" t="e">
        <f t="array" ref="S97">IF($J$1,R97*(1+INDEX(S$1:S$2,MATCH($B97,$N$1:$N$2,0)))^(S$16-R$16),INDEX(AEA2012_ZAR2022!$AC$6:$AG$104,MATCH($G97&amp;$H97,AEA2012_ZAR2022!$A$6:$A$104&amp;AEA2012_ZAR2022!$B$6:$B$104,0),MATCH(S$16,AEA2012_ZAR2022!$AC$4:$AG$4,0)))</f>
        <v>#N/A</v>
      </c>
      <c r="T97" s="67" t="e">
        <f t="array" ref="T97">IF($J$1,S97*(1+INDEX(T$1:T$2,MATCH($B97,$N$1:$N$2,0)))^(T$16-S$16),INDEX(AEA2012_ZAR2022!$AC$6:$AG$104,MATCH($G97&amp;$H97,AEA2012_ZAR2022!$A$6:$A$104&amp;AEA2012_ZAR2022!$B$6:$B$104,0),MATCH(T$16,AEA2012_ZAR2022!$AC$4:$AG$4,0)))</f>
        <v>#N/A</v>
      </c>
      <c r="U97" s="67" t="e">
        <f t="array" ref="U97">IF($J$1,T97*(1+INDEX(U$1:U$2,MATCH($B97,$N$1:$N$2,0)))^(U$16-T$16),INDEX(AEA2012_ZAR2022!$AC$6:$AG$104,MATCH($G97&amp;$H97,AEA2012_ZAR2022!$A$6:$A$104&amp;AEA2012_ZAR2022!$B$6:$B$104,0),MATCH(U$16,AEA2012_ZAR2022!$AC$4:$AG$4,0)))</f>
        <v>#N/A</v>
      </c>
      <c r="V97" s="67"/>
      <c r="W97" s="896" t="e">
        <f t="shared" si="19"/>
        <v>#N/A</v>
      </c>
      <c r="X97" s="896" t="e">
        <f t="shared" si="20"/>
        <v>#N/A</v>
      </c>
      <c r="AD97" s="61" t="str">
        <f t="shared" si="12"/>
        <v>-</v>
      </c>
      <c r="AE97" s="80"/>
      <c r="AF97" s="80"/>
      <c r="AG97" s="80"/>
      <c r="AH97" s="80"/>
      <c r="AI97" s="80"/>
    </row>
    <row r="98" spans="1:38" x14ac:dyDescent="0.25">
      <c r="A98" s="61" t="s">
        <v>511</v>
      </c>
      <c r="B98" s="61" t="s">
        <v>653</v>
      </c>
      <c r="C98" s="61" t="s">
        <v>741</v>
      </c>
      <c r="D98" s="61" t="str">
        <f t="shared" si="18"/>
        <v>CV6</v>
      </c>
      <c r="E98" s="61" t="s">
        <v>687</v>
      </c>
      <c r="F98" s="65"/>
      <c r="G98" s="255" t="s">
        <v>735</v>
      </c>
      <c r="H98" s="792" t="s">
        <v>687</v>
      </c>
      <c r="I98" s="897"/>
      <c r="J98" s="897"/>
      <c r="K98" s="897"/>
      <c r="L98" s="897"/>
      <c r="M98" s="897"/>
      <c r="N98" s="897"/>
      <c r="O98" s="897"/>
      <c r="P98" s="166" t="str">
        <f t="shared" si="21"/>
        <v>CV6ODS</v>
      </c>
      <c r="Q98" s="67">
        <f>1/INDEX(Analytica!$AA$17:$AE$48,MATCH($P98,Analytica!$A$17:$A$48,0),MATCH(Q$16,Analytica!$AA$16:$AE$16,0))</f>
        <v>15.351533031153163</v>
      </c>
      <c r="R98" s="67">
        <f t="array" ref="R98">IF($J$1,Q98*(1+INDEX(R$1:R$2,MATCH($B98,$N$1:$N$2,0)))^(R$16-Q$16),INDEX(AEA2012_ZAR2022!$AC$6:$AG$104,MATCH($G98&amp;$H98,AEA2012_ZAR2022!$A$6:$A$104&amp;AEA2012_ZAR2022!$B$6:$B$104,0),MATCH(R$16,AEA2012_ZAR2022!$AC$4:$AG$4,0)))</f>
        <v>15.305524471307264</v>
      </c>
      <c r="S98" s="67">
        <f t="array" ref="S98">IF($J$1,R98*(1+INDEX(S$1:S$2,MATCH($B98,$N$1:$N$2,0)))^(S$16-R$16),INDEX(AEA2012_ZAR2022!$AC$6:$AG$104,MATCH($G98&amp;$H98,AEA2012_ZAR2022!$A$6:$A$104&amp;AEA2012_ZAR2022!$B$6:$B$104,0),MATCH(S$16,AEA2012_ZAR2022!$AC$4:$AG$4,0)))</f>
        <v>14.484252617610334</v>
      </c>
      <c r="T98" s="67">
        <f t="array" ref="T98">IF($J$1,S98*(1+INDEX(T$1:T$2,MATCH($B98,$N$1:$N$2,0)))^(T$16-S$16),INDEX(AEA2012_ZAR2022!$AC$6:$AG$104,MATCH($G98&amp;$H98,AEA2012_ZAR2022!$A$6:$A$104&amp;AEA2012_ZAR2022!$B$6:$B$104,0),MATCH(T$16,AEA2012_ZAR2022!$AC$4:$AG$4,0)))</f>
        <v>13.099298437266139</v>
      </c>
      <c r="U98" s="67">
        <f t="array" ref="U98">IF($J$1,T98*(1+INDEX(U$1:U$2,MATCH($B98,$N$1:$N$2,0)))^(U$16-T$16),INDEX(AEA2012_ZAR2022!$AC$6:$AG$104,MATCH($G98&amp;$H98,AEA2012_ZAR2022!$A$6:$A$104&amp;AEA2012_ZAR2022!$B$6:$B$104,0),MATCH(U$16,AEA2012_ZAR2022!$AC$4:$AG$4,0)))</f>
        <v>11.846770701854338</v>
      </c>
      <c r="V98" s="67"/>
      <c r="W98" s="896">
        <f t="shared" si="19"/>
        <v>-9.9900033333335169E-4</v>
      </c>
      <c r="X98" s="896">
        <f t="shared" si="20"/>
        <v>-7.5326913841620435E-3</v>
      </c>
      <c r="AD98" s="61" t="str">
        <f t="shared" si="12"/>
        <v>HCV6-ODS</v>
      </c>
      <c r="AE98" s="80"/>
      <c r="AF98" s="80"/>
      <c r="AG98" s="80"/>
      <c r="AH98" s="80"/>
      <c r="AI98" s="80"/>
    </row>
    <row r="99" spans="1:38" x14ac:dyDescent="0.25">
      <c r="A99" s="61" t="s">
        <v>501</v>
      </c>
      <c r="B99" s="61" t="s">
        <v>653</v>
      </c>
      <c r="C99" s="61" t="s">
        <v>741</v>
      </c>
      <c r="D99" s="61" t="str">
        <f t="shared" ref="D99" si="26">RIGHT(C99,3)</f>
        <v>CV6</v>
      </c>
      <c r="E99" s="61" t="s">
        <v>687</v>
      </c>
      <c r="F99" s="65"/>
      <c r="G99" s="255" t="s">
        <v>735</v>
      </c>
      <c r="H99" s="792" t="s">
        <v>692</v>
      </c>
      <c r="I99" s="897"/>
      <c r="J99" s="897"/>
      <c r="K99" s="897"/>
      <c r="L99" s="897"/>
      <c r="M99" s="897"/>
      <c r="N99" s="897"/>
      <c r="O99" s="897"/>
      <c r="P99" s="166" t="str">
        <f t="shared" ref="P99" si="27">D99&amp;A99</f>
        <v>CV6ELC</v>
      </c>
      <c r="Q99" s="949">
        <f>Q$84/Q$83*Q98</f>
        <v>4.6885504108201097</v>
      </c>
      <c r="R99" s="949">
        <f t="shared" ref="R99" si="28">R$84/R$83*R98</f>
        <v>4.6744988205503324</v>
      </c>
      <c r="S99" s="949">
        <f t="shared" ref="S99" si="29">S$84/S$83*S98</f>
        <v>4.4236721129354191</v>
      </c>
      <c r="T99" s="949">
        <f t="shared" ref="T99" si="30">T$84/T$83*T98</f>
        <v>4.0006897646551156</v>
      </c>
      <c r="U99" s="949">
        <f t="shared" ref="U99" si="31">U$84/U$83*U98</f>
        <v>3.6181521108252785</v>
      </c>
      <c r="V99" s="67"/>
      <c r="W99" s="896">
        <f t="shared" ref="W99" si="32">-((Q99-R99)/($R$16-$Q$16))/Q99</f>
        <v>-9.9900033333326474E-4</v>
      </c>
      <c r="X99" s="896">
        <f t="shared" ref="X99" si="33">-((R99-U99)/($U$16-$R$16))/R99</f>
        <v>-7.5326913841620444E-3</v>
      </c>
      <c r="AD99" s="61" t="str">
        <f t="shared" si="12"/>
        <v>HCV6-ELC</v>
      </c>
      <c r="AE99" s="80"/>
      <c r="AF99" s="80"/>
      <c r="AG99" s="80"/>
      <c r="AH99" s="80"/>
      <c r="AI99" s="80"/>
    </row>
    <row r="100" spans="1:38" x14ac:dyDescent="0.25">
      <c r="A100" s="61" t="s">
        <v>504</v>
      </c>
      <c r="B100" s="61" t="s">
        <v>653</v>
      </c>
      <c r="C100" s="61" t="s">
        <v>741</v>
      </c>
      <c r="D100" s="61" t="str">
        <f t="shared" si="18"/>
        <v>CV6</v>
      </c>
      <c r="E100" s="61" t="s">
        <v>687</v>
      </c>
      <c r="F100" s="65"/>
      <c r="G100" s="255" t="s">
        <v>735</v>
      </c>
      <c r="H100" s="792" t="s">
        <v>699</v>
      </c>
      <c r="I100" s="897"/>
      <c r="J100" s="897"/>
      <c r="K100" s="897"/>
      <c r="L100" s="897"/>
      <c r="M100" s="897"/>
      <c r="N100" s="897"/>
      <c r="O100" s="897"/>
      <c r="P100" s="166" t="str">
        <f t="shared" si="21"/>
        <v>CV6HGN</v>
      </c>
      <c r="Q100" s="67">
        <f>INDEX('Vehicle data '!$AD$20:$AD$110,MATCH($P100,'Vehicle data '!$AC$20:$AC$110,0))/INDEX('Vehicle data '!$AD$20:$AD$110,MATCH($P$98,'Vehicle data '!$AC$20:$AC$110,0))*Q$98</f>
        <v>7.2765455442373499</v>
      </c>
      <c r="R100" s="67">
        <f t="array" ref="R100">IF($J$1,Q100*(1+INDEX(R$1:R$2,MATCH($B100,$N$1:$N$2,0)))^(R$16-Q$16),INDEX(AEA2012_ZAR2022!$AC$6:$AG$104,MATCH($G100&amp;$H100,AEA2012_ZAR2022!$A$6:$A$104&amp;AEA2012_ZAR2022!$B$6:$B$104,0),MATCH(R$16,AEA2012_ZAR2022!$AC$4:$AG$4,0)))</f>
        <v>7.2547377299647247</v>
      </c>
      <c r="S100" s="67">
        <f t="array" ref="S100">IF($J$1,R100*(1+INDEX(S$1:S$2,MATCH($B100,$N$1:$N$2,0)))^(S$16-R$16),INDEX(AEA2012_ZAR2022!$AC$6:$AG$104,MATCH($G100&amp;$H100,AEA2012_ZAR2022!$A$6:$A$104&amp;AEA2012_ZAR2022!$B$6:$B$104,0),MATCH(S$16,AEA2012_ZAR2022!$AC$4:$AG$4,0)))</f>
        <v>6.865459210646903</v>
      </c>
      <c r="T100" s="67">
        <f t="array" ref="T100">IF($J$1,S100*(1+INDEX(T$1:T$2,MATCH($B100,$N$1:$N$2,0)))^(T$16-S$16),INDEX(AEA2012_ZAR2022!$AC$6:$AG$104,MATCH($G100&amp;$H100,AEA2012_ZAR2022!$A$6:$A$104&amp;AEA2012_ZAR2022!$B$6:$B$104,0),MATCH(T$16,AEA2012_ZAR2022!$AC$4:$AG$4,0)))</f>
        <v>6.2089982468131542</v>
      </c>
      <c r="U100" s="67">
        <f t="array" ref="U100">IF($J$1,T100*(1+INDEX(U$1:U$2,MATCH($B100,$N$1:$N$2,0)))^(U$16-T$16),INDEX(AEA2012_ZAR2022!$AC$6:$AG$104,MATCH($G100&amp;$H100,AEA2012_ZAR2022!$A$6:$A$104&amp;AEA2012_ZAR2022!$B$6:$B$104,0),MATCH(U$16,AEA2012_ZAR2022!$AC$4:$AG$4,0)))</f>
        <v>5.6153067181789087</v>
      </c>
      <c r="V100" s="67"/>
      <c r="W100" s="896">
        <f t="shared" si="19"/>
        <v>-9.9900033333334953E-4</v>
      </c>
      <c r="X100" s="896">
        <f t="shared" si="20"/>
        <v>-7.5326913841620357E-3</v>
      </c>
      <c r="AD100" s="61" t="str">
        <f t="shared" si="12"/>
        <v>HCV6-HGN</v>
      </c>
      <c r="AE100" s="80"/>
      <c r="AF100" s="80"/>
      <c r="AG100" s="80"/>
      <c r="AH100" s="80"/>
      <c r="AI100" s="80"/>
    </row>
    <row r="101" spans="1:38" x14ac:dyDescent="0.25">
      <c r="A101" s="61" t="s">
        <v>509</v>
      </c>
      <c r="B101" s="61" t="s">
        <v>653</v>
      </c>
      <c r="C101" s="61" t="s">
        <v>741</v>
      </c>
      <c r="D101" s="61" t="str">
        <f t="shared" si="18"/>
        <v>CV6</v>
      </c>
      <c r="E101" s="61" t="s">
        <v>687</v>
      </c>
      <c r="F101" s="65"/>
      <c r="G101" s="255" t="s">
        <v>735</v>
      </c>
      <c r="H101" s="792" t="s">
        <v>700</v>
      </c>
      <c r="I101" s="897"/>
      <c r="J101" s="897"/>
      <c r="K101" s="897"/>
      <c r="L101" s="897"/>
      <c r="M101" s="897"/>
      <c r="N101" s="897"/>
      <c r="O101" s="897"/>
      <c r="P101" s="166" t="str">
        <f t="shared" si="21"/>
        <v>CV6GAS</v>
      </c>
      <c r="Q101" s="67">
        <f>INDEX('Vehicle data '!$AD$20:$AD$110,MATCH($P101,'Vehicle data '!$AC$20:$AC$110,0))/INDEX('Vehicle data '!$AD$20:$AD$110,MATCH($P$98,'Vehicle data '!$AC$20:$AC$110,0))*Q$98</f>
        <v>17.654262985826136</v>
      </c>
      <c r="R101" s="67">
        <f t="array" ref="R101">IF($J$1,Q101*(1+INDEX(R$1:R$2,MATCH($B101,$N$1:$N$2,0)))^(R$16-Q$16),INDEX(AEA2012_ZAR2022!$AC$6:$AG$104,MATCH($G101&amp;$H101,AEA2012_ZAR2022!$A$6:$A$104&amp;AEA2012_ZAR2022!$B$6:$B$104,0),MATCH(R$16,AEA2012_ZAR2022!$AC$4:$AG$4,0)))</f>
        <v>17.601353142003351</v>
      </c>
      <c r="S101" s="67">
        <f t="array" ref="S101">IF($J$1,R101*(1+INDEX(S$1:S$2,MATCH($B101,$N$1:$N$2,0)))^(S$16-R$16),INDEX(AEA2012_ZAR2022!$AC$6:$AG$104,MATCH($G101&amp;$H101,AEA2012_ZAR2022!$A$6:$A$104&amp;AEA2012_ZAR2022!$B$6:$B$104,0),MATCH(S$16,AEA2012_ZAR2022!$AC$4:$AG$4,0)))</f>
        <v>16.656890510251884</v>
      </c>
      <c r="T101" s="67">
        <f t="array" ref="T101">IF($J$1,S101*(1+INDEX(T$1:T$2,MATCH($B101,$N$1:$N$2,0)))^(T$16-S$16),INDEX(AEA2012_ZAR2022!$AC$6:$AG$104,MATCH($G101&amp;$H101,AEA2012_ZAR2022!$A$6:$A$104&amp;AEA2012_ZAR2022!$B$6:$B$104,0),MATCH(T$16,AEA2012_ZAR2022!$AC$4:$AG$4,0)))</f>
        <v>15.06419320285606</v>
      </c>
      <c r="U101" s="67">
        <f t="array" ref="U101">IF($J$1,T101*(1+INDEX(U$1:U$2,MATCH($B101,$N$1:$N$2,0)))^(U$16-T$16),INDEX(AEA2012_ZAR2022!$AC$6:$AG$104,MATCH($G101&amp;$H101,AEA2012_ZAR2022!$A$6:$A$104&amp;AEA2012_ZAR2022!$B$6:$B$104,0),MATCH(U$16,AEA2012_ZAR2022!$AC$4:$AG$4,0)))</f>
        <v>13.623786307132489</v>
      </c>
      <c r="V101" s="67"/>
      <c r="W101" s="896">
        <f t="shared" si="19"/>
        <v>-9.9900033333336362E-4</v>
      </c>
      <c r="X101" s="896">
        <f t="shared" si="20"/>
        <v>-7.5326913841620383E-3</v>
      </c>
      <c r="AD101" s="61" t="str">
        <f t="shared" si="12"/>
        <v>HCV6-GAS</v>
      </c>
      <c r="AE101" s="80"/>
      <c r="AF101" s="80"/>
      <c r="AG101" s="80"/>
      <c r="AH101" s="80"/>
      <c r="AI101" s="80"/>
    </row>
    <row r="102" spans="1:38" x14ac:dyDescent="0.25">
      <c r="B102" s="61" t="s">
        <v>653</v>
      </c>
      <c r="D102" s="61" t="str">
        <f t="shared" si="18"/>
        <v/>
      </c>
      <c r="F102" s="65"/>
      <c r="G102" s="255"/>
      <c r="I102" s="897"/>
      <c r="J102" s="897"/>
      <c r="K102" s="897"/>
      <c r="L102" s="897"/>
      <c r="M102" s="897"/>
      <c r="N102" s="897"/>
      <c r="O102" s="897"/>
      <c r="P102" s="166" t="str">
        <f t="shared" si="21"/>
        <v/>
      </c>
      <c r="Q102" s="67" t="e">
        <f>1/INDEX(Analytica!$AA$17:$AE$48,MATCH($P102,Analytica!$A$17:$A$48,0),MATCH(Q$16,Analytica!$AA$16:$AE$16,0))</f>
        <v>#N/A</v>
      </c>
      <c r="R102" s="67" t="e">
        <f t="array" ref="R102">IF($J$1,Q102*(1+INDEX(R$1:R$2,MATCH($B102,$N$1:$N$2,0)))^(R$16-Q$16),INDEX(AEA2012_ZAR2022!$AC$6:$AG$104,MATCH($G102&amp;$H102,AEA2012_ZAR2022!$A$6:$A$104&amp;AEA2012_ZAR2022!$B$6:$B$104,0),MATCH(R$16,AEA2012_ZAR2022!$AC$4:$AG$4,0)))</f>
        <v>#N/A</v>
      </c>
      <c r="S102" s="67" t="e">
        <f t="array" ref="S102">IF($J$1,R102*(1+INDEX(S$1:S$2,MATCH($B102,$N$1:$N$2,0)))^(S$16-R$16),INDEX(AEA2012_ZAR2022!$AC$6:$AG$104,MATCH($G102&amp;$H102,AEA2012_ZAR2022!$A$6:$A$104&amp;AEA2012_ZAR2022!$B$6:$B$104,0),MATCH(S$16,AEA2012_ZAR2022!$AC$4:$AG$4,0)))</f>
        <v>#N/A</v>
      </c>
      <c r="T102" s="67" t="e">
        <f t="array" ref="T102">IF($J$1,S102*(1+INDEX(T$1:T$2,MATCH($B102,$N$1:$N$2,0)))^(T$16-S$16),INDEX(AEA2012_ZAR2022!$AC$6:$AG$104,MATCH($G102&amp;$H102,AEA2012_ZAR2022!$A$6:$A$104&amp;AEA2012_ZAR2022!$B$6:$B$104,0),MATCH(T$16,AEA2012_ZAR2022!$AC$4:$AG$4,0)))</f>
        <v>#N/A</v>
      </c>
      <c r="U102" s="67" t="e">
        <f t="array" ref="U102">IF($J$1,T102*(1+INDEX(U$1:U$2,MATCH($B102,$N$1:$N$2,0)))^(U$16-T$16),INDEX(AEA2012_ZAR2022!$AC$6:$AG$104,MATCH($G102&amp;$H102,AEA2012_ZAR2022!$A$6:$A$104&amp;AEA2012_ZAR2022!$B$6:$B$104,0),MATCH(U$16,AEA2012_ZAR2022!$AC$4:$AG$4,0)))</f>
        <v>#N/A</v>
      </c>
      <c r="V102" s="67"/>
      <c r="W102" s="896" t="e">
        <f t="shared" si="19"/>
        <v>#N/A</v>
      </c>
      <c r="X102" s="896" t="e">
        <f t="shared" si="20"/>
        <v>#N/A</v>
      </c>
      <c r="AD102" s="61" t="str">
        <f t="shared" si="12"/>
        <v>-</v>
      </c>
      <c r="AE102" s="80"/>
      <c r="AF102" s="80"/>
      <c r="AG102" s="80"/>
      <c r="AH102" s="80"/>
      <c r="AI102" s="80"/>
    </row>
    <row r="103" spans="1:38" x14ac:dyDescent="0.25">
      <c r="A103" s="61" t="s">
        <v>511</v>
      </c>
      <c r="B103" s="61" t="s">
        <v>653</v>
      </c>
      <c r="C103" s="61" t="s">
        <v>746</v>
      </c>
      <c r="D103" s="61" t="str">
        <f t="shared" si="18"/>
        <v>CV7</v>
      </c>
      <c r="E103" s="61" t="s">
        <v>687</v>
      </c>
      <c r="F103" s="65"/>
      <c r="G103" s="255" t="s">
        <v>747</v>
      </c>
      <c r="H103" s="792" t="s">
        <v>687</v>
      </c>
      <c r="I103" s="897"/>
      <c r="J103" s="897"/>
      <c r="K103" s="897"/>
      <c r="L103" s="897"/>
      <c r="M103" s="897"/>
      <c r="N103" s="897"/>
      <c r="O103" s="897"/>
      <c r="P103" s="166" t="str">
        <f t="shared" si="21"/>
        <v>CV7ODS</v>
      </c>
      <c r="Q103" s="67">
        <f>1/INDEX(Analytica!$AA$17:$AE$48,MATCH($P103,Analytica!$A$17:$A$48,0),MATCH(Q$16,Analytica!$AA$16:$AE$16,0))</f>
        <v>14.221141864653497</v>
      </c>
      <c r="R103" s="67">
        <f t="array" ref="R103">IF($J$1,Q103*(1+INDEX(R$1:R$2,MATCH($B103,$N$1:$N$2,0)))^(R$16-Q$16),INDEX(AEA2012_ZAR2022!$AC$6:$AG$104,MATCH($G103&amp;$H103,AEA2012_ZAR2022!$A$6:$A$104&amp;AEA2012_ZAR2022!$B$6:$B$104,0),MATCH(R$16,AEA2012_ZAR2022!$AC$4:$AG$4,0)))</f>
        <v>14.178521088263988</v>
      </c>
      <c r="S103" s="67">
        <f t="array" ref="S103">IF($J$1,R103*(1+INDEX(S$1:S$2,MATCH($B103,$N$1:$N$2,0)))^(S$16-R$16),INDEX(AEA2012_ZAR2022!$AC$6:$AG$104,MATCH($G103&amp;$H103,AEA2012_ZAR2022!$A$6:$A$104&amp;AEA2012_ZAR2022!$B$6:$B$104,0),MATCH(S$16,AEA2012_ZAR2022!$AC$4:$AG$4,0)))</f>
        <v>13.417722572756142</v>
      </c>
      <c r="T103" s="67">
        <f t="array" ref="T103">IF($J$1,S103*(1+INDEX(T$1:T$2,MATCH($B103,$N$1:$N$2,0)))^(T$16-S$16),INDEX(AEA2012_ZAR2022!$AC$6:$AG$104,MATCH($G103&amp;$H103,AEA2012_ZAR2022!$A$6:$A$104&amp;AEA2012_ZAR2022!$B$6:$B$104,0),MATCH(T$16,AEA2012_ZAR2022!$AC$4:$AG$4,0)))</f>
        <v>12.134747782241671</v>
      </c>
      <c r="U103" s="67">
        <f t="array" ref="U103">IF($J$1,T103*(1+INDEX(U$1:U$2,MATCH($B103,$N$1:$N$2,0)))^(U$16-T$16),INDEX(AEA2012_ZAR2022!$AC$6:$AG$104,MATCH($G103&amp;$H103,AEA2012_ZAR2022!$A$6:$A$104&amp;AEA2012_ZAR2022!$B$6:$B$104,0),MATCH(U$16,AEA2012_ZAR2022!$AC$4:$AG$4,0)))</f>
        <v>10.974448379012209</v>
      </c>
      <c r="V103" s="67"/>
      <c r="W103" s="896">
        <f t="shared" si="19"/>
        <v>-9.9900033333333717E-4</v>
      </c>
      <c r="X103" s="896">
        <f t="shared" si="20"/>
        <v>-7.5326913841620427E-3</v>
      </c>
      <c r="AD103" s="61" t="str">
        <f t="shared" si="12"/>
        <v>HCV7-ODS</v>
      </c>
      <c r="AE103" s="80"/>
      <c r="AF103" s="80"/>
      <c r="AG103" s="80"/>
      <c r="AH103" s="80"/>
      <c r="AI103" s="80"/>
    </row>
    <row r="104" spans="1:38" x14ac:dyDescent="0.25">
      <c r="A104" s="61" t="s">
        <v>501</v>
      </c>
      <c r="B104" s="61" t="s">
        <v>653</v>
      </c>
      <c r="C104" s="61" t="s">
        <v>746</v>
      </c>
      <c r="D104" s="61" t="str">
        <f t="shared" si="18"/>
        <v>CV7</v>
      </c>
      <c r="E104" s="61" t="s">
        <v>687</v>
      </c>
      <c r="F104" s="65"/>
      <c r="G104" s="255" t="s">
        <v>747</v>
      </c>
      <c r="H104" s="792" t="s">
        <v>692</v>
      </c>
      <c r="I104" s="897"/>
      <c r="J104" s="897"/>
      <c r="K104" s="897"/>
      <c r="L104" s="897"/>
      <c r="M104" s="897"/>
      <c r="N104" s="897"/>
      <c r="O104" s="897"/>
      <c r="P104" s="166" t="str">
        <f t="shared" si="21"/>
        <v>CV7ELC</v>
      </c>
      <c r="Q104" s="949">
        <f>Q$84/Q$83*Q103</f>
        <v>4.3433147944602153</v>
      </c>
      <c r="R104" s="949">
        <f t="shared" ref="R104" si="34">R$84/R$83*R103</f>
        <v>4.3302978756779043</v>
      </c>
      <c r="S104" s="949">
        <f t="shared" ref="S104" si="35">S$84/S$83*S103</f>
        <v>4.0979404827584496</v>
      </c>
      <c r="T104" s="949">
        <f t="shared" ref="T104" si="36">T$84/T$83*T103</f>
        <v>3.7061039170596679</v>
      </c>
      <c r="U104" s="949">
        <f t="shared" ref="U104" si="37">U$84/U$83*U103</f>
        <v>3.3517339507086801</v>
      </c>
      <c r="V104" s="67"/>
      <c r="W104" s="896">
        <f t="shared" si="19"/>
        <v>-9.9900033333325498E-4</v>
      </c>
      <c r="X104" s="896">
        <f t="shared" si="20"/>
        <v>-7.5326913841620409E-3</v>
      </c>
      <c r="AD104" s="61" t="str">
        <f t="shared" si="12"/>
        <v>HCV7-ELC</v>
      </c>
      <c r="AE104" s="80"/>
      <c r="AF104" s="80"/>
      <c r="AG104" s="80"/>
      <c r="AH104" s="80"/>
      <c r="AI104" s="80"/>
    </row>
    <row r="105" spans="1:38" ht="16.5" customHeight="1" x14ac:dyDescent="0.25">
      <c r="A105" s="61" t="s">
        <v>504</v>
      </c>
      <c r="B105" s="61" t="s">
        <v>653</v>
      </c>
      <c r="C105" s="61" t="s">
        <v>746</v>
      </c>
      <c r="D105" s="61" t="str">
        <f t="shared" si="18"/>
        <v>CV7</v>
      </c>
      <c r="E105" s="61" t="s">
        <v>687</v>
      </c>
      <c r="F105" s="65"/>
      <c r="G105" s="255" t="s">
        <v>747</v>
      </c>
      <c r="H105" s="792" t="s">
        <v>699</v>
      </c>
      <c r="I105" s="897"/>
      <c r="J105" s="897"/>
      <c r="K105" s="897"/>
      <c r="L105" s="897"/>
      <c r="M105" s="897"/>
      <c r="N105" s="897"/>
      <c r="O105" s="897"/>
      <c r="P105" s="166" t="str">
        <f t="shared" si="21"/>
        <v>CV7HGN</v>
      </c>
      <c r="Q105" s="67">
        <f>INDEX('Vehicle data '!$AD$20:$AD$110,MATCH($P105,'Vehicle data '!$AC$20:$AC$110,0))/INDEX('Vehicle data '!$AD$20:$AD$110,MATCH($P$103,'Vehicle data '!$AC$20:$AC$110,0))*Q$103</f>
        <v>6.7545932970199489</v>
      </c>
      <c r="R105" s="67">
        <f t="array" ref="R105">IF($J$1,Q105*(1+INDEX(R$1:R$2,MATCH($B105,$N$1:$N$2,0)))^(R$16-Q$16),INDEX(AEA2012_ZAR2022!$AC$6:$AG$104,MATCH($G105&amp;$H105,AEA2012_ZAR2022!$A$6:$A$104&amp;AEA2012_ZAR2022!$B$6:$B$104,0),MATCH(R$16,AEA2012_ZAR2022!$AC$4:$AG$4,0)))</f>
        <v>6.7343497741541869</v>
      </c>
      <c r="S105" s="67">
        <f t="array" ref="S105">IF($J$1,R105*(1+INDEX(S$1:S$2,MATCH($B105,$N$1:$N$2,0)))^(S$16-R$16),INDEX(AEA2012_ZAR2022!$AC$6:$AG$104,MATCH($G105&amp;$H105,AEA2012_ZAR2022!$A$6:$A$104&amp;AEA2012_ZAR2022!$B$6:$B$104,0),MATCH(S$16,AEA2012_ZAR2022!$AC$4:$AG$4,0)))</f>
        <v>6.3729945045042395</v>
      </c>
      <c r="T105" s="67">
        <f t="array" ref="T105">IF($J$1,S105*(1+INDEX(T$1:T$2,MATCH($B105,$N$1:$N$2,0)))^(T$16-S$16),INDEX(AEA2012_ZAR2022!$AC$6:$AG$104,MATCH($G105&amp;$H105,AEA2012_ZAR2022!$A$6:$A$104&amp;AEA2012_ZAR2022!$B$6:$B$104,0),MATCH(T$16,AEA2012_ZAR2022!$AC$4:$AG$4,0)))</f>
        <v>5.7636219940032509</v>
      </c>
      <c r="U105" s="67">
        <f t="array" ref="U105">IF($J$1,T105*(1+INDEX(U$1:U$2,MATCH($B105,$N$1:$N$2,0)))^(U$16-T$16),INDEX(AEA2012_ZAR2022!$AC$6:$AG$104,MATCH($G105&amp;$H105,AEA2012_ZAR2022!$A$6:$A$104&amp;AEA2012_ZAR2022!$B$6:$B$104,0),MATCH(U$16,AEA2012_ZAR2022!$AC$4:$AG$4,0)))</f>
        <v>5.2125164185030419</v>
      </c>
      <c r="V105" s="67"/>
      <c r="W105" s="896">
        <f t="shared" si="19"/>
        <v>-9.9900033333333066E-4</v>
      </c>
      <c r="X105" s="896">
        <f t="shared" si="20"/>
        <v>-7.5326913841620418E-3</v>
      </c>
      <c r="AD105" s="61" t="str">
        <f t="shared" si="12"/>
        <v>HCV7-HGN</v>
      </c>
      <c r="AE105" s="80"/>
      <c r="AF105" s="80"/>
      <c r="AG105" s="80"/>
      <c r="AH105" s="80"/>
      <c r="AI105" s="80"/>
    </row>
    <row r="106" spans="1:38" x14ac:dyDescent="0.25">
      <c r="A106" s="61" t="s">
        <v>509</v>
      </c>
      <c r="B106" s="61" t="s">
        <v>653</v>
      </c>
      <c r="C106" s="61" t="s">
        <v>746</v>
      </c>
      <c r="D106" s="61" t="str">
        <f t="shared" si="18"/>
        <v>CV7</v>
      </c>
      <c r="E106" s="61" t="s">
        <v>687</v>
      </c>
      <c r="F106" s="65"/>
      <c r="G106" s="255" t="s">
        <v>747</v>
      </c>
      <c r="H106" s="792" t="s">
        <v>700</v>
      </c>
      <c r="I106" s="897"/>
      <c r="J106" s="897"/>
      <c r="K106" s="897"/>
      <c r="L106" s="897"/>
      <c r="M106" s="897"/>
      <c r="N106" s="897"/>
      <c r="O106" s="897"/>
      <c r="P106" s="166" t="str">
        <f t="shared" si="21"/>
        <v>CV7GAS</v>
      </c>
      <c r="Q106" s="67">
        <f>INDEX('Vehicle data '!$AD$20:$AD$110,MATCH($P106,'Vehicle data '!$AC$20:$AC$110,0))/INDEX('Vehicle data '!$AD$20:$AD$110,MATCH($P$103,'Vehicle data '!$AC$20:$AC$110,0))*Q$103</f>
        <v>16.354313144351519</v>
      </c>
      <c r="R106" s="67">
        <f t="array" ref="R106">IF($J$1,Q106*(1+INDEX(R$1:R$2,MATCH($B106,$N$1:$N$2,0)))^(R$16-Q$16),INDEX(AEA2012_ZAR2022!$AC$6:$AG$104,MATCH($G106&amp;$H106,AEA2012_ZAR2022!$A$6:$A$104&amp;AEA2012_ZAR2022!$B$6:$B$104,0),MATCH(R$16,AEA2012_ZAR2022!$AC$4:$AG$4,0)))</f>
        <v>16.305299251503584</v>
      </c>
      <c r="S106" s="67">
        <f t="array" ref="S106">IF($J$1,R106*(1+INDEX(S$1:S$2,MATCH($B106,$N$1:$N$2,0)))^(S$16-R$16),INDEX(AEA2012_ZAR2022!$AC$6:$AG$104,MATCH($G106&amp;$H106,AEA2012_ZAR2022!$A$6:$A$104&amp;AEA2012_ZAR2022!$B$6:$B$104,0),MATCH(S$16,AEA2012_ZAR2022!$AC$4:$AG$4,0)))</f>
        <v>15.430380958669563</v>
      </c>
      <c r="T106" s="67">
        <f t="array" ref="T106">IF($J$1,S106*(1+INDEX(T$1:T$2,MATCH($B106,$N$1:$N$2,0)))^(T$16-S$16),INDEX(AEA2012_ZAR2022!$AC$6:$AG$104,MATCH($G106&amp;$H106,AEA2012_ZAR2022!$A$6:$A$104&amp;AEA2012_ZAR2022!$B$6:$B$104,0),MATCH(T$16,AEA2012_ZAR2022!$AC$4:$AG$4,0)))</f>
        <v>13.954959949577923</v>
      </c>
      <c r="U106" s="67">
        <f t="array" ref="U106">IF($J$1,T106*(1+INDEX(U$1:U$2,MATCH($B106,$N$1:$N$2,0)))^(U$16-T$16),INDEX(AEA2012_ZAR2022!$AC$6:$AG$104,MATCH($G106&amp;$H106,AEA2012_ZAR2022!$A$6:$A$104&amp;AEA2012_ZAR2022!$B$6:$B$104,0),MATCH(U$16,AEA2012_ZAR2022!$AC$4:$AG$4,0)))</f>
        <v>12.620615635864041</v>
      </c>
      <c r="V106" s="67"/>
      <c r="W106" s="896">
        <f t="shared" si="19"/>
        <v>-9.9900033333333391E-4</v>
      </c>
      <c r="X106" s="896">
        <f t="shared" si="20"/>
        <v>-7.5326913841620366E-3</v>
      </c>
      <c r="AD106" s="61" t="str">
        <f t="shared" si="12"/>
        <v>HCV7-GAS</v>
      </c>
      <c r="AE106" s="80"/>
      <c r="AF106" s="80"/>
      <c r="AG106" s="80"/>
      <c r="AH106" s="80"/>
      <c r="AI106" s="80"/>
    </row>
    <row r="107" spans="1:38" x14ac:dyDescent="0.25">
      <c r="B107" s="61" t="s">
        <v>653</v>
      </c>
      <c r="D107" s="61" t="str">
        <f t="shared" si="18"/>
        <v/>
      </c>
      <c r="F107" s="65"/>
      <c r="G107" s="255"/>
      <c r="I107" s="897"/>
      <c r="J107" s="897"/>
      <c r="K107" s="897"/>
      <c r="L107" s="897"/>
      <c r="M107" s="897"/>
      <c r="N107" s="897"/>
      <c r="O107" s="897"/>
      <c r="P107" s="166" t="str">
        <f t="shared" si="21"/>
        <v/>
      </c>
      <c r="Q107" s="67" t="e">
        <f>INDEX('Vehicle data '!$AD$20:$AD$110,MATCH($P107,'Vehicle data '!$AC$20:$AC$110,0))/INDEX('Vehicle data '!$AD$20:$AD$110,MATCH($P$103,'Vehicle data '!$AC$20:$AC$110,0))*Q$103</f>
        <v>#N/A</v>
      </c>
      <c r="R107" s="67" t="e">
        <f t="array" ref="R107">IF($J$1,Q107*(1+INDEX(R$1:R$2,MATCH($B107,$N$1:$N$2,0)))^(R$16-Q$16),INDEX(AEA2012_ZAR2022!$AC$6:$AG$104,MATCH($G107&amp;$H107,AEA2012_ZAR2022!$A$6:$A$104&amp;AEA2012_ZAR2022!$B$6:$B$104,0),MATCH(R$16,AEA2012_ZAR2022!$AC$4:$AG$4,0)))</f>
        <v>#N/A</v>
      </c>
      <c r="S107" s="67" t="e">
        <f t="array" ref="S107">IF($J$1,R107*(1+INDEX(S$1:S$2,MATCH($B107,$N$1:$N$2,0)))^(S$16-R$16),INDEX(AEA2012_ZAR2022!$AC$6:$AG$104,MATCH($G107&amp;$H107,AEA2012_ZAR2022!$A$6:$A$104&amp;AEA2012_ZAR2022!$B$6:$B$104,0),MATCH(S$16,AEA2012_ZAR2022!$AC$4:$AG$4,0)))</f>
        <v>#N/A</v>
      </c>
      <c r="T107" s="67" t="e">
        <f t="array" ref="T107">IF($J$1,S107*(1+INDEX(T$1:T$2,MATCH($B107,$N$1:$N$2,0)))^(T$16-S$16),INDEX(AEA2012_ZAR2022!$AC$6:$AG$104,MATCH($G107&amp;$H107,AEA2012_ZAR2022!$A$6:$A$104&amp;AEA2012_ZAR2022!$B$6:$B$104,0),MATCH(T$16,AEA2012_ZAR2022!$AC$4:$AG$4,0)))</f>
        <v>#N/A</v>
      </c>
      <c r="U107" s="67" t="e">
        <f t="array" ref="U107">IF($J$1,T107*(1+INDEX(U$1:U$2,MATCH($B107,$N$1:$N$2,0)))^(U$16-T$16),INDEX(AEA2012_ZAR2022!$AC$6:$AG$104,MATCH($G107&amp;$H107,AEA2012_ZAR2022!$A$6:$A$104&amp;AEA2012_ZAR2022!$B$6:$B$104,0),MATCH(U$16,AEA2012_ZAR2022!$AC$4:$AG$4,0)))</f>
        <v>#N/A</v>
      </c>
      <c r="V107" s="67"/>
      <c r="W107" s="896" t="e">
        <f t="shared" si="19"/>
        <v>#N/A</v>
      </c>
      <c r="X107" s="896" t="e">
        <f t="shared" si="20"/>
        <v>#N/A</v>
      </c>
      <c r="AD107" s="61" t="str">
        <f t="shared" si="12"/>
        <v>-</v>
      </c>
      <c r="AE107" s="80"/>
      <c r="AF107" s="80"/>
      <c r="AG107" s="80"/>
      <c r="AH107" s="80"/>
      <c r="AI107" s="80"/>
    </row>
    <row r="108" spans="1:38" x14ac:dyDescent="0.25">
      <c r="A108" s="61" t="s">
        <v>511</v>
      </c>
      <c r="B108" s="61" t="s">
        <v>653</v>
      </c>
      <c r="C108" s="61" t="s">
        <v>750</v>
      </c>
      <c r="D108" s="61" t="str">
        <f t="shared" si="18"/>
        <v>CV8</v>
      </c>
      <c r="E108" s="61" t="s">
        <v>687</v>
      </c>
      <c r="F108" s="65"/>
      <c r="G108" s="255" t="s">
        <v>747</v>
      </c>
      <c r="H108" s="792" t="s">
        <v>687</v>
      </c>
      <c r="I108" s="897"/>
      <c r="J108" s="897"/>
      <c r="K108" s="897"/>
      <c r="L108" s="897"/>
      <c r="M108" s="897"/>
      <c r="N108" s="897"/>
      <c r="O108" s="897"/>
      <c r="P108" s="166" t="str">
        <f t="shared" si="21"/>
        <v>CV8ODS</v>
      </c>
      <c r="Q108" s="67">
        <f>1/INDEX(Analytica!$AA$17:$AE$48,MATCH($P108,Analytica!$A$17:$A$48,0),MATCH(Q$16,Analytica!$AA$16:$AE$16,0))</f>
        <v>14.452202013338351</v>
      </c>
      <c r="R108" s="67">
        <f t="array" ref="R108">IF($J$1,Q108*(1+INDEX(R$1:R$2,MATCH($B108,$N$1:$N$2,0)))^(R$16-Q$16),INDEX(AEA2012_ZAR2022!$AC$6:$AG$104,MATCH($G108&amp;$H108,AEA2012_ZAR2022!$A$6:$A$104&amp;AEA2012_ZAR2022!$B$6:$B$104,0),MATCH(R$16,AEA2012_ZAR2022!$AC$4:$AG$4,0)))</f>
        <v>14.408888749452174</v>
      </c>
      <c r="S108" s="67">
        <f t="array" ref="S108">IF($J$1,R108*(1+INDEX(S$1:S$2,MATCH($B108,$N$1:$N$2,0)))^(S$16-R$16),INDEX(AEA2012_ZAR2022!$AC$6:$AG$104,MATCH($G108&amp;$H108,AEA2012_ZAR2022!$A$6:$A$104&amp;AEA2012_ZAR2022!$B$6:$B$104,0),MATCH(S$16,AEA2012_ZAR2022!$AC$4:$AG$4,0)))</f>
        <v>13.63572904524475</v>
      </c>
      <c r="T108" s="67">
        <f t="array" ref="T108">IF($J$1,S108*(1+INDEX(T$1:T$2,MATCH($B108,$N$1:$N$2,0)))^(T$16-S$16),INDEX(AEA2012_ZAR2022!$AC$6:$AG$104,MATCH($G108&amp;$H108,AEA2012_ZAR2022!$A$6:$A$104&amp;AEA2012_ZAR2022!$B$6:$B$104,0),MATCH(T$16,AEA2012_ZAR2022!$AC$4:$AG$4,0)))</f>
        <v>12.331908928196269</v>
      </c>
      <c r="U108" s="67">
        <f t="array" ref="U108">IF($J$1,T108*(1+INDEX(U$1:U$2,MATCH($B108,$N$1:$N$2,0)))^(U$16-T$16),INDEX(AEA2012_ZAR2022!$AC$6:$AG$104,MATCH($G108&amp;$H108,AEA2012_ZAR2022!$A$6:$A$104&amp;AEA2012_ZAR2022!$B$6:$B$104,0),MATCH(U$16,AEA2012_ZAR2022!$AC$4:$AG$4,0)))</f>
        <v>11.152757385301742</v>
      </c>
      <c r="V108" s="67"/>
      <c r="W108" s="896">
        <f t="shared" si="19"/>
        <v>-9.990003333333183E-4</v>
      </c>
      <c r="X108" s="896">
        <f t="shared" si="20"/>
        <v>-7.5326913841620401E-3</v>
      </c>
      <c r="AD108" s="61" t="str">
        <f t="shared" si="12"/>
        <v>HCV8-ODS</v>
      </c>
      <c r="AE108" s="80"/>
      <c r="AF108" s="80"/>
      <c r="AG108" s="80"/>
      <c r="AH108" s="80"/>
      <c r="AI108" s="80"/>
    </row>
    <row r="109" spans="1:38" x14ac:dyDescent="0.25">
      <c r="A109" s="61" t="s">
        <v>501</v>
      </c>
      <c r="B109" s="61" t="s">
        <v>653</v>
      </c>
      <c r="C109" s="61" t="s">
        <v>750</v>
      </c>
      <c r="D109" s="61" t="str">
        <f t="shared" ref="D109" si="38">RIGHT(C109,3)</f>
        <v>CV8</v>
      </c>
      <c r="E109" s="61" t="s">
        <v>687</v>
      </c>
      <c r="F109" s="65"/>
      <c r="G109" s="255" t="s">
        <v>747</v>
      </c>
      <c r="H109" s="792" t="s">
        <v>692</v>
      </c>
      <c r="I109" s="897"/>
      <c r="J109" s="897"/>
      <c r="K109" s="897"/>
      <c r="L109" s="897"/>
      <c r="M109" s="897"/>
      <c r="N109" s="897"/>
      <c r="O109" s="897"/>
      <c r="P109" s="166" t="str">
        <f t="shared" ref="P109" si="39">D109&amp;A109</f>
        <v>CV8ELC</v>
      </c>
      <c r="Q109" s="949">
        <f>Q$84/Q$83*Q108</f>
        <v>4.4138834570714414</v>
      </c>
      <c r="R109" s="949">
        <f t="shared" ref="R109" si="40">R$84/R$83*R108</f>
        <v>4.4006550439367151</v>
      </c>
      <c r="S109" s="949">
        <f t="shared" ref="S109" si="41">S$84/S$83*S108</f>
        <v>4.1645223892086829</v>
      </c>
      <c r="T109" s="949">
        <f t="shared" ref="T109" si="42">T$84/T$83*T108</f>
        <v>3.7663193997731721</v>
      </c>
      <c r="U109" s="949">
        <f t="shared" ref="U109" si="43">U$84/U$83*U108</f>
        <v>3.406191753912776</v>
      </c>
      <c r="V109" s="67"/>
      <c r="W109" s="896">
        <f t="shared" ref="W109" si="44">-((Q109-R109)/($R$16-$Q$16))/Q109</f>
        <v>-9.9900033333330746E-4</v>
      </c>
      <c r="X109" s="896">
        <f t="shared" ref="X109" si="45">-((R109-U109)/($U$16-$R$16))/R109</f>
        <v>-7.5326913841620366E-3</v>
      </c>
      <c r="AD109" s="61" t="str">
        <f t="shared" si="12"/>
        <v>HCV8-ELC</v>
      </c>
      <c r="AE109" s="80"/>
      <c r="AF109" s="80"/>
      <c r="AG109" s="80"/>
      <c r="AH109" s="80"/>
      <c r="AI109" s="80"/>
    </row>
    <row r="110" spans="1:38" x14ac:dyDescent="0.25">
      <c r="A110" s="61" t="s">
        <v>504</v>
      </c>
      <c r="B110" s="61" t="s">
        <v>653</v>
      </c>
      <c r="C110" s="61" t="s">
        <v>750</v>
      </c>
      <c r="D110" s="61" t="str">
        <f t="shared" si="18"/>
        <v>CV8</v>
      </c>
      <c r="E110" s="61" t="s">
        <v>687</v>
      </c>
      <c r="F110" s="65"/>
      <c r="G110" s="255" t="s">
        <v>747</v>
      </c>
      <c r="H110" s="792" t="s">
        <v>699</v>
      </c>
      <c r="I110" s="897"/>
      <c r="J110" s="897"/>
      <c r="K110" s="897"/>
      <c r="L110" s="897"/>
      <c r="M110" s="897"/>
      <c r="N110" s="897"/>
      <c r="O110" s="897"/>
      <c r="P110" s="166" t="str">
        <f t="shared" si="21"/>
        <v>CV8HGN</v>
      </c>
      <c r="Q110" s="67">
        <f>INDEX('Vehicle data '!$AD$20:$AD$110,MATCH($P110,'Vehicle data '!$AC$20:$AC$110,0))/INDEX('Vehicle data '!$AD$20:$AD$110,MATCH($P$108,'Vehicle data '!$AC$20:$AC$110,0))*Q$108</f>
        <v>6.8643395710089807</v>
      </c>
      <c r="R110" s="67">
        <f t="array" ref="R110">IF($J$1,Q110*(1+INDEX(R$1:R$2,MATCH($B110,$N$1:$N$2,0)))^(R$16-Q$16),INDEX(AEA2012_ZAR2022!$AC$6:$AG$104,MATCH($G110&amp;$H110,AEA2012_ZAR2022!$A$6:$A$104&amp;AEA2012_ZAR2022!$B$6:$B$104,0),MATCH(R$16,AEA2012_ZAR2022!$AC$4:$AG$4,0)))</f>
        <v>6.8437671384503274</v>
      </c>
      <c r="S110" s="67">
        <f t="array" ref="S110">IF($J$1,R110*(1+INDEX(S$1:S$2,MATCH($B110,$N$1:$N$2,0)))^(S$16-R$16),INDEX(AEA2012_ZAR2022!$AC$6:$AG$104,MATCH($G110&amp;$H110,AEA2012_ZAR2022!$A$6:$A$104&amp;AEA2012_ZAR2022!$B$6:$B$104,0),MATCH(S$16,AEA2012_ZAR2022!$AC$4:$AG$4,0)))</f>
        <v>6.4765406945214075</v>
      </c>
      <c r="T110" s="67">
        <f t="array" ref="T110">IF($J$1,S110*(1+INDEX(T$1:T$2,MATCH($B110,$N$1:$N$2,0)))^(T$16-S$16),INDEX(AEA2012_ZAR2022!$AC$6:$AG$104,MATCH($G110&amp;$H110,AEA2012_ZAR2022!$A$6:$A$104&amp;AEA2012_ZAR2022!$B$6:$B$104,0),MATCH(T$16,AEA2012_ZAR2022!$AC$4:$AG$4,0)))</f>
        <v>5.857267312190233</v>
      </c>
      <c r="U110" s="67">
        <f t="array" ref="U110">IF($J$1,T110*(1+INDEX(U$1:U$2,MATCH($B110,$N$1:$N$2,0)))^(U$16-T$16),INDEX(AEA2012_ZAR2022!$AC$6:$AG$104,MATCH($G110&amp;$H110,AEA2012_ZAR2022!$A$6:$A$104&amp;AEA2012_ZAR2022!$B$6:$B$104,0),MATCH(U$16,AEA2012_ZAR2022!$AC$4:$AG$4,0)))</f>
        <v>5.2972075656798445</v>
      </c>
      <c r="V110" s="67"/>
      <c r="W110" s="896">
        <f t="shared" si="19"/>
        <v>-9.9900033333332784E-4</v>
      </c>
      <c r="X110" s="896">
        <f t="shared" si="20"/>
        <v>-7.5326913841620418E-3</v>
      </c>
      <c r="AD110" s="61" t="str">
        <f t="shared" si="12"/>
        <v>HCV8-HGN</v>
      </c>
      <c r="AE110" s="80"/>
      <c r="AF110" s="80"/>
      <c r="AG110" s="80"/>
      <c r="AH110" s="80"/>
      <c r="AI110" s="80"/>
    </row>
    <row r="111" spans="1:38" x14ac:dyDescent="0.25">
      <c r="A111" s="61" t="s">
        <v>509</v>
      </c>
      <c r="B111" s="61" t="s">
        <v>653</v>
      </c>
      <c r="C111" s="61" t="s">
        <v>750</v>
      </c>
      <c r="D111" s="61" t="str">
        <f t="shared" si="18"/>
        <v>CV8</v>
      </c>
      <c r="E111" s="61" t="s">
        <v>687</v>
      </c>
      <c r="F111" s="65"/>
      <c r="G111" s="255" t="s">
        <v>747</v>
      </c>
      <c r="H111" s="792" t="s">
        <v>700</v>
      </c>
      <c r="I111" s="897"/>
      <c r="J111" s="897"/>
      <c r="K111" s="897"/>
      <c r="L111" s="897"/>
      <c r="M111" s="897"/>
      <c r="N111" s="897"/>
      <c r="O111" s="897"/>
      <c r="P111" s="166" t="str">
        <f t="shared" si="21"/>
        <v>CV8GAS</v>
      </c>
      <c r="Q111" s="67">
        <f>INDEX('Vehicle data '!$AD$20:$AD$110,MATCH($P111,'Vehicle data '!$AC$20:$AC$110,0))/INDEX('Vehicle data '!$AD$20:$AD$110,MATCH($P$108,'Vehicle data '!$AC$20:$AC$110,0))*Q$108</f>
        <v>16.620032315339103</v>
      </c>
      <c r="R111" s="67">
        <f t="array" ref="R111">IF($J$1,Q111*(1+INDEX(R$1:R$2,MATCH($B111,$N$1:$N$2,0)))^(R$16-Q$16),INDEX(AEA2012_ZAR2022!$AC$6:$AG$104,MATCH($G111&amp;$H111,AEA2012_ZAR2022!$A$6:$A$104&amp;AEA2012_ZAR2022!$B$6:$B$104,0),MATCH(R$16,AEA2012_ZAR2022!$AC$4:$AG$4,0)))</f>
        <v>16.570222061869998</v>
      </c>
      <c r="S111" s="67">
        <f t="array" ref="S111">IF($J$1,R111*(1+INDEX(S$1:S$2,MATCH($B111,$N$1:$N$2,0)))^(S$16-R$16),INDEX(AEA2012_ZAR2022!$AC$6:$AG$104,MATCH($G111&amp;$H111,AEA2012_ZAR2022!$A$6:$A$104&amp;AEA2012_ZAR2022!$B$6:$B$104,0),MATCH(S$16,AEA2012_ZAR2022!$AC$4:$AG$4,0)))</f>
        <v>15.681088402031461</v>
      </c>
      <c r="T111" s="67">
        <f t="array" ref="T111">IF($J$1,S111*(1+INDEX(T$1:T$2,MATCH($B111,$N$1:$N$2,0)))^(T$16-S$16),INDEX(AEA2012_ZAR2022!$AC$6:$AG$104,MATCH($G111&amp;$H111,AEA2012_ZAR2022!$A$6:$A$104&amp;AEA2012_ZAR2022!$B$6:$B$104,0),MATCH(T$16,AEA2012_ZAR2022!$AC$4:$AG$4,0)))</f>
        <v>14.181695267425708</v>
      </c>
      <c r="U111" s="67">
        <f t="array" ref="U111">IF($J$1,T111*(1+INDEX(U$1:U$2,MATCH($B111,$N$1:$N$2,0)))^(U$16-T$16),INDEX(AEA2012_ZAR2022!$AC$6:$AG$104,MATCH($G111&amp;$H111,AEA2012_ZAR2022!$A$6:$A$104&amp;AEA2012_ZAR2022!$B$6:$B$104,0),MATCH(U$16,AEA2012_ZAR2022!$AC$4:$AG$4,0)))</f>
        <v>12.825670993097001</v>
      </c>
      <c r="V111" s="67"/>
      <c r="W111" s="896">
        <f t="shared" si="19"/>
        <v>-9.9900033333334692E-4</v>
      </c>
      <c r="X111" s="896">
        <f t="shared" si="20"/>
        <v>-7.5326913841620409E-3</v>
      </c>
      <c r="AD111" s="61" t="str">
        <f t="shared" si="12"/>
        <v>HCV8-GAS</v>
      </c>
      <c r="AE111" s="80"/>
      <c r="AF111" s="80"/>
      <c r="AG111" s="80"/>
      <c r="AH111" s="80"/>
      <c r="AI111" s="80"/>
    </row>
    <row r="112" spans="1:38" x14ac:dyDescent="0.25">
      <c r="B112" s="61" t="s">
        <v>653</v>
      </c>
      <c r="C112"/>
      <c r="D112" s="61" t="str">
        <f t="shared" si="18"/>
        <v/>
      </c>
      <c r="E112"/>
      <c r="F112" s="65"/>
      <c r="G112"/>
      <c r="H112"/>
      <c r="I112" s="897"/>
      <c r="J112" s="897"/>
      <c r="K112" s="897"/>
      <c r="L112" s="897"/>
      <c r="M112" s="897"/>
      <c r="N112" s="897"/>
      <c r="O112" s="897"/>
      <c r="P112" s="166" t="str">
        <f t="shared" si="21"/>
        <v/>
      </c>
      <c r="Q112" s="67" t="e">
        <f>1/INDEX(Analytica!$AA$17:$AE$48,MATCH($P112,Analytica!$A$17:$A$48,0),MATCH(Q$16,Analytica!$AA$16:$AE$16,0))</f>
        <v>#N/A</v>
      </c>
      <c r="R112" s="67" t="e">
        <f t="array" ref="R112">IF($J$1,Q112*(1+INDEX(R$1:R$2,MATCH($B112,$N$1:$N$2,0)))^(R$16-Q$16),INDEX(AEA2012_ZAR2022!$AC$6:$AG$104,MATCH($G112&amp;$H112,AEA2012_ZAR2022!$A$6:$A$104&amp;AEA2012_ZAR2022!$B$6:$B$104,0),MATCH(R$16,AEA2012_ZAR2022!$AC$4:$AG$4,0)))</f>
        <v>#N/A</v>
      </c>
      <c r="S112" s="67" t="e">
        <f t="array" ref="S112">IF($J$1,R112*(1+INDEX(S$1:S$2,MATCH($B112,$N$1:$N$2,0)))^(S$16-R$16),INDEX(AEA2012_ZAR2022!$AC$6:$AG$104,MATCH($G112&amp;$H112,AEA2012_ZAR2022!$A$6:$A$104&amp;AEA2012_ZAR2022!$B$6:$B$104,0),MATCH(S$16,AEA2012_ZAR2022!$AC$4:$AG$4,0)))</f>
        <v>#N/A</v>
      </c>
      <c r="T112" s="67" t="e">
        <f t="array" ref="T112">IF($J$1,S112*(1+INDEX(T$1:T$2,MATCH($B112,$N$1:$N$2,0)))^(T$16-S$16),INDEX(AEA2012_ZAR2022!$AC$6:$AG$104,MATCH($G112&amp;$H112,AEA2012_ZAR2022!$A$6:$A$104&amp;AEA2012_ZAR2022!$B$6:$B$104,0),MATCH(T$16,AEA2012_ZAR2022!$AC$4:$AG$4,0)))</f>
        <v>#N/A</v>
      </c>
      <c r="U112" s="67" t="e">
        <f t="array" ref="U112">IF($J$1,T112*(1+INDEX(U$1:U$2,MATCH($B112,$N$1:$N$2,0)))^(U$16-T$16),INDEX(AEA2012_ZAR2022!$AC$6:$AG$104,MATCH($G112&amp;$H112,AEA2012_ZAR2022!$A$6:$A$104&amp;AEA2012_ZAR2022!$B$6:$B$104,0),MATCH(U$16,AEA2012_ZAR2022!$AC$4:$AG$4,0)))</f>
        <v>#N/A</v>
      </c>
      <c r="V112" s="67"/>
      <c r="W112" s="896" t="e">
        <f t="shared" si="19"/>
        <v>#N/A</v>
      </c>
      <c r="X112" s="896" t="e">
        <f t="shared" si="20"/>
        <v>#N/A</v>
      </c>
      <c r="Y112"/>
      <c r="AB112"/>
      <c r="AC112"/>
      <c r="AD112" s="61" t="str">
        <f t="shared" si="12"/>
        <v>-</v>
      </c>
      <c r="AE112" s="80"/>
      <c r="AF112" s="80"/>
      <c r="AG112" s="80"/>
      <c r="AH112" s="80"/>
      <c r="AI112" s="80"/>
      <c r="AL112"/>
    </row>
    <row r="113" spans="1:38" x14ac:dyDescent="0.25">
      <c r="A113" s="61" t="s">
        <v>511</v>
      </c>
      <c r="B113" s="61" t="s">
        <v>653</v>
      </c>
      <c r="C113" s="61" t="s">
        <v>757</v>
      </c>
      <c r="D113" s="61" t="str">
        <f t="shared" si="18"/>
        <v>CV9</v>
      </c>
      <c r="E113" s="61" t="s">
        <v>687</v>
      </c>
      <c r="F113" s="65"/>
      <c r="G113" s="255" t="s">
        <v>747</v>
      </c>
      <c r="H113" s="792" t="s">
        <v>687</v>
      </c>
      <c r="I113" s="897"/>
      <c r="J113" s="897"/>
      <c r="K113" s="897"/>
      <c r="L113" s="897"/>
      <c r="M113" s="897"/>
      <c r="N113" s="897"/>
      <c r="O113" s="897"/>
      <c r="P113" s="166" t="str">
        <f t="shared" si="21"/>
        <v>CV9ODS</v>
      </c>
      <c r="Q113" s="67">
        <f>1/INDEX(Analytica!$AA$17:$AE$48,MATCH($P113,Analytica!$A$17:$A$48,0),MATCH(Q$16,Analytica!$AA$16:$AE$16,0))</f>
        <v>18.392034419546842</v>
      </c>
      <c r="R113" s="67">
        <f t="array" ref="R113">IF($J$1,Q113*(1+INDEX(R$1:R$2,MATCH($B113,$N$1:$N$2,0)))^(R$16-Q$16),INDEX(AEA2012_ZAR2022!$AC$6:$AG$104,MATCH($G113&amp;$H113,AEA2012_ZAR2022!$A$6:$A$104&amp;AEA2012_ZAR2022!$B$6:$B$104,0),MATCH(R$16,AEA2012_ZAR2022!$AC$4:$AG$4,0)))</f>
        <v>18.336913473999427</v>
      </c>
      <c r="S113" s="67">
        <f t="array" ref="S113">IF($J$1,R113*(1+INDEX(S$1:S$2,MATCH($B113,$N$1:$N$2,0)))^(S$16-R$16),INDEX(AEA2012_ZAR2022!$AC$6:$AG$104,MATCH($G113&amp;$H113,AEA2012_ZAR2022!$A$6:$A$104&amp;AEA2012_ZAR2022!$B$6:$B$104,0),MATCH(S$16,AEA2012_ZAR2022!$AC$4:$AG$4,0)))</f>
        <v>17.352981760447015</v>
      </c>
      <c r="T113" s="67">
        <f t="array" ref="T113">IF($J$1,S113*(1+INDEX(T$1:T$2,MATCH($B113,$N$1:$N$2,0)))^(T$16-S$16),INDEX(AEA2012_ZAR2022!$AC$6:$AG$104,MATCH($G113&amp;$H113,AEA2012_ZAR2022!$A$6:$A$104&amp;AEA2012_ZAR2022!$B$6:$B$104,0),MATCH(T$16,AEA2012_ZAR2022!$AC$4:$AG$4,0)))</f>
        <v>15.693725652103005</v>
      </c>
      <c r="U113" s="67">
        <f t="array" ref="U113">IF($J$1,T113*(1+INDEX(U$1:U$2,MATCH($B113,$N$1:$N$2,0)))^(U$16-T$16),INDEX(AEA2012_ZAR2022!$AC$6:$AG$104,MATCH($G113&amp;$H113,AEA2012_ZAR2022!$A$6:$A$104&amp;AEA2012_ZAR2022!$B$6:$B$104,0),MATCH(U$16,AEA2012_ZAR2022!$AC$4:$AG$4,0)))</f>
        <v>14.193124169867817</v>
      </c>
      <c r="V113" s="67"/>
      <c r="W113" s="896">
        <f t="shared" si="19"/>
        <v>-9.9900033333331136E-4</v>
      </c>
      <c r="X113" s="896">
        <f t="shared" si="20"/>
        <v>-7.5326913841620418E-3</v>
      </c>
      <c r="Y113"/>
      <c r="AB113"/>
      <c r="AC113"/>
      <c r="AD113" s="61" t="str">
        <f t="shared" si="12"/>
        <v>HCV9-ODS</v>
      </c>
      <c r="AE113" s="80"/>
      <c r="AF113" s="80"/>
      <c r="AG113" s="80"/>
      <c r="AH113" s="80"/>
      <c r="AI113" s="80"/>
      <c r="AL113"/>
    </row>
    <row r="114" spans="1:38" x14ac:dyDescent="0.25">
      <c r="A114" s="61" t="s">
        <v>501</v>
      </c>
      <c r="B114" s="61" t="s">
        <v>653</v>
      </c>
      <c r="C114" s="61" t="s">
        <v>757</v>
      </c>
      <c r="D114" s="61" t="str">
        <f t="shared" si="18"/>
        <v>CV9</v>
      </c>
      <c r="E114" s="61" t="s">
        <v>687</v>
      </c>
      <c r="F114" s="65"/>
      <c r="G114" s="255" t="s">
        <v>747</v>
      </c>
      <c r="H114" s="792" t="s">
        <v>692</v>
      </c>
      <c r="I114" s="897"/>
      <c r="J114" s="897"/>
      <c r="K114" s="897"/>
      <c r="L114" s="897"/>
      <c r="M114" s="897"/>
      <c r="N114" s="897"/>
      <c r="O114" s="897"/>
      <c r="P114" s="166" t="str">
        <f t="shared" si="21"/>
        <v>CV9ELC</v>
      </c>
      <c r="Q114" s="949">
        <f>Q$84/Q$83*Q113</f>
        <v>5.6171576062528557</v>
      </c>
      <c r="R114" s="949">
        <f t="shared" ref="R114" si="46">R$84/R$83*R113</f>
        <v>5.6003229792897598</v>
      </c>
      <c r="S114" s="949">
        <f t="shared" ref="S114" si="47">S$84/S$83*S113</f>
        <v>5.2998179137413599</v>
      </c>
      <c r="T114" s="949">
        <f t="shared" ref="T114" si="48">T$84/T$83*T113</f>
        <v>4.7930603219982437</v>
      </c>
      <c r="U114" s="949">
        <f t="shared" ref="U114" si="49">U$84/U$83*U113</f>
        <v>4.3347578396511395</v>
      </c>
      <c r="V114" s="67"/>
      <c r="W114" s="896">
        <f t="shared" si="19"/>
        <v>-9.9900033333324349E-4</v>
      </c>
      <c r="X114" s="896">
        <f t="shared" si="20"/>
        <v>-7.5326913841620427E-3</v>
      </c>
      <c r="AD114" s="61" t="str">
        <f t="shared" si="12"/>
        <v>HCV9-ELC</v>
      </c>
      <c r="AE114" s="80"/>
      <c r="AF114" s="80"/>
      <c r="AG114" s="80"/>
      <c r="AH114" s="80"/>
      <c r="AI114" s="80"/>
    </row>
    <row r="115" spans="1:38" x14ac:dyDescent="0.25">
      <c r="A115" s="61" t="s">
        <v>504</v>
      </c>
      <c r="B115" s="61" t="s">
        <v>653</v>
      </c>
      <c r="C115" s="61" t="s">
        <v>757</v>
      </c>
      <c r="D115" s="61" t="str">
        <f t="shared" si="18"/>
        <v>CV9</v>
      </c>
      <c r="E115" s="61" t="s">
        <v>687</v>
      </c>
      <c r="F115" s="65"/>
      <c r="G115" s="255" t="s">
        <v>747</v>
      </c>
      <c r="H115" s="792" t="s">
        <v>699</v>
      </c>
      <c r="I115" s="897"/>
      <c r="J115" s="897"/>
      <c r="K115" s="897"/>
      <c r="L115" s="897"/>
      <c r="M115" s="897"/>
      <c r="N115" s="897"/>
      <c r="O115" s="897"/>
      <c r="P115" s="166" t="str">
        <f t="shared" si="21"/>
        <v>CV9HGN</v>
      </c>
      <c r="Q115" s="67">
        <f>INDEX('Vehicle data '!$AD$20:$AD$110,MATCH($P115,'Vehicle data '!$AC$20:$AC$110,0))/INDEX('Vehicle data '!$AD$20:$AD$110,MATCH($P$113,'Vehicle data '!$AC$20:$AC$110,0))*Q$113</f>
        <v>8.7356355481978181</v>
      </c>
      <c r="R115" s="67">
        <f t="array" ref="R115">IF($J$1,Q115*(1+INDEX(R$1:R$2,MATCH($B115,$N$1:$N$2,0)))^(R$16-Q$16),INDEX(AEA2012_ZAR2022!$AC$6:$AG$104,MATCH($G115&amp;$H115,AEA2012_ZAR2022!$A$6:$A$104&amp;AEA2012_ZAR2022!$B$6:$B$104,0),MATCH(R$16,AEA2012_ZAR2022!$AC$4:$AG$4,0)))</f>
        <v>8.7094548397242342</v>
      </c>
      <c r="S115" s="67">
        <f t="array" ref="S115">IF($J$1,R115*(1+INDEX(S$1:S$2,MATCH($B115,$N$1:$N$2,0)))^(S$16-R$16),INDEX(AEA2012_ZAR2022!$AC$6:$AG$104,MATCH($G115&amp;$H115,AEA2012_ZAR2022!$A$6:$A$104&amp;AEA2012_ZAR2022!$B$6:$B$104,0),MATCH(S$16,AEA2012_ZAR2022!$AC$4:$AG$4,0)))</f>
        <v>8.2421183473146353</v>
      </c>
      <c r="T115" s="67">
        <f t="array" ref="T115">IF($J$1,S115*(1+INDEX(T$1:T$2,MATCH($B115,$N$1:$N$2,0)))^(T$16-S$16),INDEX(AEA2012_ZAR2022!$AC$6:$AG$104,MATCH($G115&amp;$H115,AEA2012_ZAR2022!$A$6:$A$104&amp;AEA2012_ZAR2022!$B$6:$B$104,0),MATCH(T$16,AEA2012_ZAR2022!$AC$4:$AG$4,0)))</f>
        <v>7.4540240934125466</v>
      </c>
      <c r="U115" s="67">
        <f t="array" ref="U115">IF($J$1,T115*(1+INDEX(U$1:U$2,MATCH($B115,$N$1:$N$2,0)))^(U$16-T$16),INDEX(AEA2012_ZAR2022!$AC$6:$AG$104,MATCH($G115&amp;$H115,AEA2012_ZAR2022!$A$6:$A$104&amp;AEA2012_ZAR2022!$B$6:$B$104,0),MATCH(U$16,AEA2012_ZAR2022!$AC$4:$AG$4,0)))</f>
        <v>6.7412857767660599</v>
      </c>
      <c r="V115" s="67"/>
      <c r="W115" s="896">
        <f t="shared" si="19"/>
        <v>-9.9900033333331353E-4</v>
      </c>
      <c r="X115" s="896">
        <f t="shared" si="20"/>
        <v>-7.5326913841620427E-3</v>
      </c>
      <c r="Y115"/>
      <c r="AB115"/>
      <c r="AC115"/>
      <c r="AD115" s="61" t="str">
        <f t="shared" si="12"/>
        <v>HCV9-HGN</v>
      </c>
      <c r="AE115" s="80"/>
      <c r="AF115" s="80"/>
      <c r="AG115" s="80"/>
      <c r="AH115" s="80"/>
      <c r="AI115" s="80"/>
      <c r="AL115"/>
    </row>
    <row r="116" spans="1:38" x14ac:dyDescent="0.25">
      <c r="A116" s="61" t="s">
        <v>509</v>
      </c>
      <c r="B116" s="61" t="s">
        <v>653</v>
      </c>
      <c r="C116" s="61" t="s">
        <v>757</v>
      </c>
      <c r="D116" s="61" t="str">
        <f t="shared" si="18"/>
        <v>CV9</v>
      </c>
      <c r="E116" s="61" t="s">
        <v>687</v>
      </c>
      <c r="F116" s="65"/>
      <c r="G116" s="255" t="s">
        <v>747</v>
      </c>
      <c r="H116" s="792" t="s">
        <v>700</v>
      </c>
      <c r="I116" s="897"/>
      <c r="J116" s="897"/>
      <c r="K116" s="897"/>
      <c r="L116" s="897"/>
      <c r="M116" s="897"/>
      <c r="N116" s="897"/>
      <c r="O116" s="897"/>
      <c r="P116" s="166" t="str">
        <f t="shared" si="21"/>
        <v>CV9GAS</v>
      </c>
      <c r="Q116" s="67">
        <f>INDEX('Vehicle data '!$AD$20:$AD$110,MATCH($P116,'Vehicle data '!$AC$20:$AC$110,0))/INDEX('Vehicle data '!$AD$20:$AD$110,MATCH($P$113,'Vehicle data '!$AC$20:$AC$110,0))*Q$113</f>
        <v>21.150839582478866</v>
      </c>
      <c r="R116" s="67">
        <f t="array" ref="R116">IF($J$1,Q116*(1+INDEX(R$1:R$2,MATCH($B116,$N$1:$N$2,0)))^(R$16-Q$16),INDEX(AEA2012_ZAR2022!$AC$6:$AG$104,MATCH($G116&amp;$H116,AEA2012_ZAR2022!$A$6:$A$104&amp;AEA2012_ZAR2022!$B$6:$B$104,0),MATCH(R$16,AEA2012_ZAR2022!$AC$4:$AG$4,0)))</f>
        <v>21.087450495099336</v>
      </c>
      <c r="S116" s="67">
        <f t="array" ref="S116">IF($J$1,R116*(1+INDEX(S$1:S$2,MATCH($B116,$N$1:$N$2,0)))^(S$16-R$16),INDEX(AEA2012_ZAR2022!$AC$6:$AG$104,MATCH($G116&amp;$H116,AEA2012_ZAR2022!$A$6:$A$104&amp;AEA2012_ZAR2022!$B$6:$B$104,0),MATCH(S$16,AEA2012_ZAR2022!$AC$4:$AG$4,0)))</f>
        <v>19.955929024514063</v>
      </c>
      <c r="T116" s="67">
        <f t="array" ref="T116">IF($J$1,S116*(1+INDEX(T$1:T$2,MATCH($B116,$N$1:$N$2,0)))^(T$16-S$16),INDEX(AEA2012_ZAR2022!$AC$6:$AG$104,MATCH($G116&amp;$H116,AEA2012_ZAR2022!$A$6:$A$104&amp;AEA2012_ZAR2022!$B$6:$B$104,0),MATCH(T$16,AEA2012_ZAR2022!$AC$4:$AG$4,0)))</f>
        <v>18.047784499918453</v>
      </c>
      <c r="U116" s="67">
        <f t="array" ref="U116">IF($J$1,T116*(1+INDEX(U$1:U$2,MATCH($B116,$N$1:$N$2,0)))^(U$16-T$16),INDEX(AEA2012_ZAR2022!$AC$6:$AG$104,MATCH($G116&amp;$H116,AEA2012_ZAR2022!$A$6:$A$104&amp;AEA2012_ZAR2022!$B$6:$B$104,0),MATCH(U$16,AEA2012_ZAR2022!$AC$4:$AG$4,0)))</f>
        <v>16.322092795347988</v>
      </c>
      <c r="V116" s="67"/>
      <c r="W116" s="896">
        <f t="shared" si="19"/>
        <v>-9.9900033333335625E-4</v>
      </c>
      <c r="X116" s="896">
        <f t="shared" si="20"/>
        <v>-7.5326913841620383E-3</v>
      </c>
      <c r="AD116" s="61" t="str">
        <f t="shared" si="12"/>
        <v>HCV9-GAS</v>
      </c>
      <c r="AE116" s="80"/>
      <c r="AF116" s="80"/>
      <c r="AG116" s="80"/>
      <c r="AH116" s="80"/>
      <c r="AI116" s="80"/>
    </row>
    <row r="117" spans="1:38" x14ac:dyDescent="0.25">
      <c r="A117"/>
      <c r="B117"/>
      <c r="C117"/>
      <c r="D117"/>
      <c r="E117"/>
      <c r="F117"/>
      <c r="G117"/>
      <c r="H117"/>
      <c r="I117"/>
      <c r="J117"/>
      <c r="K117"/>
      <c r="L117"/>
      <c r="M117"/>
      <c r="N117"/>
      <c r="O117"/>
      <c r="P117"/>
      <c r="Q117"/>
      <c r="W117" s="256" t="e">
        <f t="shared" si="19"/>
        <v>#DIV/0!</v>
      </c>
      <c r="X117" s="256"/>
    </row>
    <row r="118" spans="1:38" x14ac:dyDescent="0.25">
      <c r="A118"/>
      <c r="B118"/>
      <c r="C118"/>
      <c r="D118"/>
      <c r="E118"/>
      <c r="F118"/>
      <c r="G118"/>
      <c r="H118"/>
      <c r="I118"/>
      <c r="J118"/>
      <c r="K118"/>
      <c r="L118"/>
      <c r="M118"/>
      <c r="N118"/>
      <c r="O118"/>
      <c r="P118"/>
      <c r="Q118"/>
      <c r="W118" s="256"/>
      <c r="X118" s="256"/>
    </row>
    <row r="119" spans="1:38" x14ac:dyDescent="0.25">
      <c r="A119"/>
      <c r="B119"/>
      <c r="C119"/>
      <c r="D119"/>
      <c r="E119"/>
      <c r="F119"/>
      <c r="G119"/>
      <c r="H119"/>
      <c r="W119" s="256"/>
      <c r="X119" s="256"/>
    </row>
    <row r="120" spans="1:38" x14ac:dyDescent="0.25">
      <c r="A120"/>
      <c r="B120"/>
      <c r="C120"/>
      <c r="D120"/>
      <c r="E120"/>
      <c r="F120"/>
      <c r="G120"/>
      <c r="H120"/>
      <c r="I120"/>
      <c r="J120"/>
      <c r="K120"/>
      <c r="L120"/>
      <c r="M120"/>
      <c r="N120"/>
      <c r="O120"/>
      <c r="P120"/>
      <c r="Q120"/>
      <c r="W120" s="256"/>
      <c r="X120" s="256"/>
    </row>
    <row r="121" spans="1:38" x14ac:dyDescent="0.25">
      <c r="A121"/>
      <c r="B121"/>
      <c r="C121"/>
      <c r="D121"/>
      <c r="E121"/>
      <c r="F121"/>
      <c r="G121"/>
      <c r="H121"/>
      <c r="I121"/>
      <c r="J121"/>
      <c r="K121"/>
      <c r="L121"/>
      <c r="M121"/>
      <c r="N121"/>
      <c r="O121"/>
      <c r="P121"/>
      <c r="Q121"/>
      <c r="W121" s="256"/>
      <c r="X121" s="256"/>
    </row>
    <row r="122" spans="1:38" x14ac:dyDescent="0.25">
      <c r="A122"/>
      <c r="B122"/>
      <c r="C122"/>
      <c r="D122"/>
      <c r="E122"/>
      <c r="F122"/>
      <c r="G122"/>
      <c r="H122"/>
      <c r="I122"/>
      <c r="J122"/>
      <c r="K122"/>
      <c r="L122"/>
      <c r="M122"/>
      <c r="N122"/>
      <c r="O122"/>
      <c r="P122"/>
      <c r="Q122"/>
      <c r="W122" s="256"/>
      <c r="X122" s="256"/>
    </row>
    <row r="123" spans="1:38" x14ac:dyDescent="0.25">
      <c r="A123"/>
      <c r="B123"/>
      <c r="C123"/>
      <c r="D123"/>
      <c r="E123"/>
      <c r="F123"/>
      <c r="G123"/>
      <c r="H123"/>
      <c r="I123"/>
      <c r="J123"/>
      <c r="K123"/>
      <c r="L123"/>
      <c r="M123"/>
      <c r="N123"/>
      <c r="O123"/>
      <c r="P123"/>
      <c r="Q123"/>
      <c r="W123" s="256"/>
      <c r="X123" s="256"/>
    </row>
    <row r="124" spans="1:38" x14ac:dyDescent="0.25">
      <c r="A124"/>
      <c r="B124"/>
      <c r="C124"/>
      <c r="D124"/>
      <c r="E124"/>
      <c r="F124"/>
      <c r="G124"/>
      <c r="H124"/>
      <c r="I124"/>
      <c r="J124"/>
      <c r="K124"/>
      <c r="L124"/>
      <c r="M124"/>
      <c r="N124"/>
      <c r="O124"/>
      <c r="P124"/>
      <c r="Q124"/>
      <c r="W124" s="256"/>
      <c r="X124" s="256"/>
    </row>
    <row r="125" spans="1:38" x14ac:dyDescent="0.25">
      <c r="A125"/>
      <c r="B125"/>
      <c r="C125"/>
      <c r="D125"/>
      <c r="E125"/>
      <c r="F125"/>
      <c r="G125"/>
      <c r="H125"/>
      <c r="I125"/>
      <c r="J125"/>
      <c r="K125"/>
      <c r="L125"/>
      <c r="M125"/>
      <c r="N125"/>
      <c r="O125"/>
      <c r="P125"/>
      <c r="Q125"/>
      <c r="W125" s="256"/>
      <c r="X125" s="256"/>
    </row>
    <row r="126" spans="1:38" x14ac:dyDescent="0.25">
      <c r="A126"/>
      <c r="B126"/>
      <c r="C126"/>
      <c r="D126"/>
      <c r="E126"/>
      <c r="F126"/>
      <c r="G126"/>
      <c r="H126"/>
      <c r="I126"/>
      <c r="J126"/>
      <c r="K126"/>
      <c r="L126"/>
      <c r="M126"/>
      <c r="N126"/>
      <c r="O126"/>
      <c r="P126"/>
      <c r="Q126"/>
      <c r="W126" s="256"/>
      <c r="X126" s="256"/>
    </row>
    <row r="127" spans="1:38" x14ac:dyDescent="0.25">
      <c r="A127"/>
      <c r="B127"/>
      <c r="C127"/>
      <c r="D127"/>
      <c r="E127"/>
      <c r="F127"/>
      <c r="G127"/>
      <c r="H127"/>
      <c r="I127"/>
      <c r="J127"/>
      <c r="K127"/>
      <c r="L127"/>
      <c r="M127"/>
      <c r="N127"/>
      <c r="O127"/>
      <c r="P127"/>
      <c r="Q127"/>
      <c r="W127" s="256"/>
      <c r="X127" s="256"/>
    </row>
    <row r="128" spans="1:38" x14ac:dyDescent="0.25">
      <c r="A128"/>
      <c r="B128"/>
      <c r="C128"/>
      <c r="D128"/>
      <c r="E128"/>
      <c r="F128"/>
      <c r="G128"/>
      <c r="H128"/>
      <c r="I128"/>
      <c r="J128"/>
      <c r="K128"/>
      <c r="L128"/>
      <c r="M128"/>
      <c r="N128"/>
      <c r="O128"/>
      <c r="P128"/>
      <c r="Q128"/>
      <c r="W128" s="256"/>
      <c r="X128" s="256"/>
    </row>
    <row r="129" spans="1:24" x14ac:dyDescent="0.25">
      <c r="A129"/>
      <c r="B129"/>
      <c r="C129"/>
      <c r="D129"/>
      <c r="E129"/>
      <c r="F129"/>
      <c r="G129"/>
      <c r="H129"/>
      <c r="I129"/>
      <c r="J129"/>
      <c r="K129"/>
      <c r="L129"/>
      <c r="M129"/>
      <c r="N129"/>
      <c r="O129"/>
      <c r="P129"/>
      <c r="Q129"/>
      <c r="W129" s="256"/>
      <c r="X129" s="256"/>
    </row>
    <row r="130" spans="1:24" x14ac:dyDescent="0.25">
      <c r="A130"/>
      <c r="B130"/>
      <c r="C130"/>
      <c r="D130"/>
      <c r="E130"/>
      <c r="F130"/>
      <c r="G130"/>
      <c r="H130"/>
      <c r="I130"/>
      <c r="J130"/>
      <c r="K130"/>
      <c r="L130"/>
      <c r="M130"/>
      <c r="N130"/>
      <c r="O130"/>
      <c r="P130"/>
      <c r="Q130"/>
      <c r="W130" s="256"/>
      <c r="X130" s="256"/>
    </row>
    <row r="131" spans="1:24" x14ac:dyDescent="0.25">
      <c r="A131"/>
      <c r="B131"/>
      <c r="C131"/>
      <c r="D131"/>
      <c r="E131"/>
      <c r="F131"/>
      <c r="G131"/>
      <c r="H131"/>
      <c r="I131"/>
      <c r="J131"/>
      <c r="K131"/>
      <c r="L131"/>
      <c r="M131"/>
      <c r="N131"/>
      <c r="O131"/>
      <c r="P131"/>
      <c r="Q131"/>
      <c r="W131" s="256"/>
      <c r="X131" s="256"/>
    </row>
    <row r="132" spans="1:24" x14ac:dyDescent="0.25">
      <c r="A132"/>
      <c r="B132"/>
      <c r="C132"/>
      <c r="D132"/>
      <c r="E132"/>
      <c r="F132"/>
      <c r="G132"/>
      <c r="H132"/>
      <c r="I132"/>
      <c r="J132"/>
      <c r="K132"/>
      <c r="L132"/>
      <c r="M132"/>
      <c r="N132"/>
      <c r="O132"/>
      <c r="P132"/>
      <c r="Q132"/>
      <c r="W132" s="256"/>
      <c r="X132" s="256"/>
    </row>
    <row r="133" spans="1:24" x14ac:dyDescent="0.25">
      <c r="A133"/>
      <c r="B133"/>
      <c r="C133"/>
      <c r="D133"/>
      <c r="E133"/>
      <c r="F133"/>
      <c r="G133"/>
      <c r="H133"/>
      <c r="I133"/>
      <c r="J133"/>
      <c r="K133"/>
      <c r="L133"/>
      <c r="M133"/>
      <c r="N133"/>
      <c r="O133"/>
      <c r="P133"/>
      <c r="Q133"/>
      <c r="W133" s="256"/>
      <c r="X133" s="256"/>
    </row>
    <row r="134" spans="1:24" x14ac:dyDescent="0.25">
      <c r="A134"/>
      <c r="B134"/>
      <c r="C134"/>
      <c r="D134"/>
      <c r="E134"/>
      <c r="F134"/>
      <c r="G134"/>
      <c r="H134"/>
      <c r="I134"/>
      <c r="J134"/>
      <c r="K134"/>
      <c r="L134"/>
      <c r="M134"/>
      <c r="N134"/>
      <c r="O134"/>
      <c r="P134"/>
      <c r="Q134"/>
      <c r="W134" s="256"/>
      <c r="X134" s="256"/>
    </row>
    <row r="135" spans="1:24" x14ac:dyDescent="0.25">
      <c r="A135"/>
      <c r="B135"/>
      <c r="C135"/>
      <c r="D135"/>
      <c r="E135"/>
      <c r="F135"/>
      <c r="G135"/>
      <c r="H135"/>
      <c r="I135"/>
      <c r="J135"/>
      <c r="K135"/>
      <c r="L135"/>
      <c r="M135"/>
      <c r="N135"/>
      <c r="O135"/>
      <c r="P135"/>
      <c r="Q135"/>
      <c r="W135" s="256"/>
      <c r="X135" s="256"/>
    </row>
    <row r="136" spans="1:24" x14ac:dyDescent="0.25">
      <c r="A136"/>
      <c r="B136"/>
      <c r="C136"/>
      <c r="D136"/>
      <c r="E136"/>
      <c r="F136"/>
      <c r="G136"/>
      <c r="H136"/>
      <c r="I136"/>
      <c r="J136"/>
      <c r="K136"/>
      <c r="L136"/>
      <c r="M136"/>
      <c r="N136"/>
      <c r="O136"/>
      <c r="P136"/>
      <c r="Q136"/>
      <c r="W136" s="256"/>
      <c r="X136" s="256"/>
    </row>
    <row r="137" spans="1:24" x14ac:dyDescent="0.25">
      <c r="A137"/>
      <c r="B137"/>
      <c r="C137"/>
      <c r="D137"/>
      <c r="E137"/>
      <c r="F137"/>
      <c r="G137"/>
      <c r="H137"/>
      <c r="I137"/>
      <c r="J137"/>
      <c r="K137"/>
      <c r="L137"/>
      <c r="M137"/>
      <c r="N137"/>
      <c r="O137"/>
      <c r="P137"/>
      <c r="Q137"/>
      <c r="W137" s="256"/>
      <c r="X137" s="256"/>
    </row>
    <row r="138" spans="1:24" x14ac:dyDescent="0.25">
      <c r="A138"/>
      <c r="B138"/>
      <c r="C138"/>
      <c r="D138"/>
      <c r="E138"/>
      <c r="F138"/>
      <c r="G138"/>
      <c r="H138"/>
      <c r="I138"/>
      <c r="J138"/>
      <c r="K138"/>
      <c r="L138"/>
      <c r="M138"/>
      <c r="N138"/>
      <c r="O138"/>
      <c r="P138"/>
      <c r="Q138"/>
      <c r="W138" s="256"/>
      <c r="X138" s="256"/>
    </row>
    <row r="139" spans="1:24" x14ac:dyDescent="0.25">
      <c r="A139"/>
      <c r="B139"/>
      <c r="C139"/>
      <c r="D139"/>
      <c r="E139"/>
      <c r="F139"/>
      <c r="G139"/>
      <c r="H139"/>
      <c r="I139"/>
      <c r="J139"/>
      <c r="K139"/>
      <c r="L139"/>
      <c r="M139"/>
      <c r="N139"/>
      <c r="O139"/>
      <c r="P139"/>
      <c r="Q139"/>
      <c r="W139" s="256"/>
      <c r="X139" s="256"/>
    </row>
    <row r="140" spans="1:24" x14ac:dyDescent="0.25">
      <c r="A140"/>
      <c r="B140"/>
      <c r="C140"/>
      <c r="D140"/>
      <c r="E140"/>
      <c r="F140"/>
      <c r="G140"/>
      <c r="H140"/>
      <c r="I140"/>
      <c r="J140"/>
      <c r="K140"/>
      <c r="L140"/>
      <c r="M140"/>
      <c r="N140"/>
      <c r="O140"/>
      <c r="P140"/>
      <c r="Q140"/>
      <c r="W140" s="256"/>
      <c r="X140" s="256"/>
    </row>
    <row r="141" spans="1:24" x14ac:dyDescent="0.25">
      <c r="A141"/>
      <c r="B141"/>
      <c r="C141"/>
      <c r="D141"/>
      <c r="E141"/>
      <c r="F141"/>
      <c r="G141"/>
      <c r="H141"/>
      <c r="I141"/>
      <c r="J141"/>
      <c r="K141"/>
      <c r="L141"/>
      <c r="M141"/>
      <c r="N141"/>
      <c r="O141"/>
      <c r="P141"/>
      <c r="Q141"/>
      <c r="W141" s="256"/>
      <c r="X141" s="256"/>
    </row>
    <row r="142" spans="1:24" x14ac:dyDescent="0.25">
      <c r="A142"/>
      <c r="B142"/>
      <c r="C142"/>
      <c r="D142"/>
      <c r="E142"/>
      <c r="F142"/>
      <c r="G142"/>
      <c r="H142"/>
      <c r="I142"/>
      <c r="J142"/>
      <c r="K142"/>
      <c r="L142"/>
      <c r="M142"/>
      <c r="N142"/>
      <c r="O142"/>
      <c r="P142"/>
      <c r="Q142"/>
      <c r="W142" s="256"/>
      <c r="X142" s="256"/>
    </row>
    <row r="143" spans="1:24" x14ac:dyDescent="0.25">
      <c r="A143"/>
      <c r="B143"/>
      <c r="C143"/>
      <c r="D143"/>
      <c r="E143"/>
      <c r="F143"/>
      <c r="G143"/>
      <c r="H143"/>
      <c r="I143"/>
      <c r="J143"/>
      <c r="K143"/>
      <c r="L143"/>
      <c r="M143"/>
      <c r="N143"/>
      <c r="O143"/>
      <c r="P143"/>
      <c r="Q143"/>
      <c r="W143" s="256"/>
      <c r="X143" s="256"/>
    </row>
    <row r="144" spans="1:24" x14ac:dyDescent="0.25">
      <c r="A144"/>
      <c r="B144"/>
      <c r="C144"/>
      <c r="D144"/>
      <c r="E144"/>
      <c r="F144"/>
      <c r="G144"/>
      <c r="H144"/>
      <c r="I144"/>
      <c r="J144"/>
      <c r="K144"/>
      <c r="L144"/>
      <c r="M144"/>
      <c r="N144"/>
      <c r="O144"/>
      <c r="P144"/>
      <c r="Q144"/>
      <c r="W144" s="256"/>
      <c r="X144" s="256"/>
    </row>
    <row r="145" spans="1:24" x14ac:dyDescent="0.25">
      <c r="A145"/>
      <c r="B145"/>
      <c r="C145"/>
      <c r="D145"/>
      <c r="E145"/>
      <c r="F145"/>
      <c r="G145"/>
      <c r="H145"/>
      <c r="I145"/>
      <c r="J145"/>
      <c r="K145"/>
      <c r="L145"/>
      <c r="M145"/>
      <c r="N145"/>
      <c r="O145"/>
      <c r="P145"/>
      <c r="Q145"/>
      <c r="W145" s="256"/>
      <c r="X145" s="256"/>
    </row>
    <row r="146" spans="1:24" x14ac:dyDescent="0.25">
      <c r="A146"/>
      <c r="B146"/>
      <c r="C146"/>
      <c r="D146"/>
      <c r="E146"/>
      <c r="F146"/>
      <c r="G146"/>
      <c r="H146"/>
      <c r="I146"/>
      <c r="J146"/>
      <c r="K146"/>
      <c r="L146"/>
      <c r="M146"/>
      <c r="N146"/>
      <c r="O146"/>
      <c r="P146"/>
      <c r="Q146"/>
      <c r="W146" s="256"/>
      <c r="X146" s="256"/>
    </row>
    <row r="147" spans="1:24" x14ac:dyDescent="0.25">
      <c r="A147"/>
      <c r="B147"/>
      <c r="C147"/>
      <c r="D147"/>
      <c r="E147"/>
      <c r="F147"/>
      <c r="G147"/>
      <c r="H147"/>
      <c r="I147"/>
      <c r="J147"/>
      <c r="K147"/>
      <c r="L147"/>
      <c r="M147"/>
      <c r="N147"/>
      <c r="O147"/>
      <c r="P147"/>
      <c r="Q147"/>
      <c r="W147" s="256"/>
      <c r="X147" s="256"/>
    </row>
    <row r="148" spans="1:24" x14ac:dyDescent="0.25">
      <c r="A148"/>
      <c r="B148"/>
      <c r="C148"/>
      <c r="D148"/>
      <c r="E148"/>
      <c r="F148"/>
      <c r="G148"/>
      <c r="H148"/>
      <c r="I148"/>
      <c r="J148"/>
      <c r="K148"/>
      <c r="L148"/>
      <c r="M148"/>
      <c r="N148"/>
      <c r="O148"/>
      <c r="P148"/>
      <c r="Q148"/>
      <c r="W148" s="256"/>
      <c r="X148" s="256"/>
    </row>
    <row r="149" spans="1:24" x14ac:dyDescent="0.25">
      <c r="A149"/>
      <c r="B149"/>
      <c r="C149"/>
      <c r="D149"/>
      <c r="E149"/>
      <c r="F149"/>
      <c r="G149"/>
      <c r="H149"/>
      <c r="I149"/>
      <c r="J149"/>
      <c r="K149"/>
      <c r="L149"/>
      <c r="M149"/>
      <c r="N149"/>
      <c r="O149"/>
      <c r="P149"/>
      <c r="Q149"/>
      <c r="W149" s="256"/>
      <c r="X149" s="256"/>
    </row>
    <row r="150" spans="1:24" x14ac:dyDescent="0.25">
      <c r="A150"/>
      <c r="B150"/>
      <c r="C150"/>
      <c r="D150"/>
      <c r="E150"/>
      <c r="F150"/>
      <c r="G150"/>
      <c r="H150"/>
      <c r="I150"/>
      <c r="J150"/>
      <c r="K150"/>
      <c r="L150"/>
      <c r="M150"/>
      <c r="N150"/>
      <c r="O150"/>
      <c r="P150"/>
      <c r="Q150"/>
      <c r="W150" s="256"/>
      <c r="X150" s="256"/>
    </row>
    <row r="151" spans="1:24" x14ac:dyDescent="0.25">
      <c r="A151"/>
      <c r="B151"/>
      <c r="C151"/>
      <c r="D151"/>
      <c r="E151"/>
      <c r="F151"/>
      <c r="G151"/>
      <c r="H151"/>
      <c r="I151"/>
      <c r="J151"/>
      <c r="K151"/>
      <c r="L151"/>
      <c r="M151"/>
      <c r="N151"/>
      <c r="O151"/>
      <c r="P151"/>
      <c r="Q151"/>
      <c r="W151" s="256"/>
      <c r="X151" s="256"/>
    </row>
    <row r="152" spans="1:24" x14ac:dyDescent="0.25">
      <c r="A152"/>
      <c r="B152"/>
      <c r="C152"/>
      <c r="D152"/>
      <c r="E152"/>
      <c r="F152"/>
      <c r="G152"/>
      <c r="H152"/>
      <c r="I152"/>
      <c r="J152"/>
      <c r="K152"/>
      <c r="L152"/>
      <c r="M152"/>
      <c r="N152"/>
      <c r="O152"/>
      <c r="P152"/>
      <c r="Q152"/>
    </row>
    <row r="153" spans="1:24" x14ac:dyDescent="0.25">
      <c r="A153"/>
      <c r="B153"/>
      <c r="C153"/>
      <c r="D153"/>
      <c r="E153"/>
      <c r="F153"/>
      <c r="G153"/>
      <c r="H153"/>
      <c r="I153"/>
      <c r="J153"/>
      <c r="K153"/>
      <c r="L153"/>
      <c r="M153"/>
      <c r="N153"/>
      <c r="O153"/>
      <c r="P153"/>
      <c r="Q153"/>
    </row>
    <row r="154" spans="1:24" x14ac:dyDescent="0.25">
      <c r="A154"/>
      <c r="B154"/>
      <c r="C154"/>
      <c r="D154"/>
      <c r="E154"/>
      <c r="F154"/>
      <c r="G154"/>
      <c r="H154"/>
      <c r="I154"/>
      <c r="J154"/>
      <c r="K154"/>
      <c r="L154"/>
      <c r="M154"/>
      <c r="N154"/>
      <c r="O154"/>
      <c r="P154"/>
      <c r="Q154"/>
    </row>
    <row r="155" spans="1:24" x14ac:dyDescent="0.25">
      <c r="A155"/>
      <c r="B155"/>
      <c r="C155"/>
      <c r="D155"/>
      <c r="E155"/>
      <c r="F155"/>
      <c r="Q155"/>
    </row>
    <row r="156" spans="1:24" x14ac:dyDescent="0.25">
      <c r="A156"/>
      <c r="B156"/>
      <c r="C156"/>
      <c r="D156"/>
      <c r="E156"/>
      <c r="F156"/>
      <c r="Q156"/>
    </row>
    <row r="157" spans="1:24" x14ac:dyDescent="0.25">
      <c r="A157"/>
      <c r="B157"/>
      <c r="C157"/>
      <c r="D157"/>
      <c r="E157"/>
      <c r="F157"/>
      <c r="Q157"/>
    </row>
    <row r="158" spans="1:24" x14ac:dyDescent="0.25">
      <c r="A158"/>
      <c r="B158"/>
      <c r="C158"/>
      <c r="D158"/>
      <c r="E158"/>
      <c r="F158"/>
      <c r="Q158"/>
    </row>
    <row r="159" spans="1:24" x14ac:dyDescent="0.25">
      <c r="A159"/>
      <c r="B159"/>
      <c r="C159"/>
      <c r="D159"/>
      <c r="E159"/>
      <c r="F159"/>
      <c r="Q159"/>
    </row>
    <row r="160" spans="1:24" x14ac:dyDescent="0.25">
      <c r="A160"/>
      <c r="B160"/>
      <c r="C160"/>
      <c r="D160"/>
      <c r="E160"/>
      <c r="F160"/>
      <c r="Q160"/>
    </row>
    <row r="161" spans="1:17" x14ac:dyDescent="0.25">
      <c r="A161"/>
      <c r="B161"/>
      <c r="C161"/>
      <c r="D161"/>
      <c r="E161"/>
      <c r="F161"/>
      <c r="Q161"/>
    </row>
    <row r="162" spans="1:17" x14ac:dyDescent="0.25">
      <c r="A162"/>
      <c r="B162"/>
      <c r="C162"/>
      <c r="D162"/>
      <c r="E162"/>
      <c r="F162"/>
      <c r="Q162"/>
    </row>
    <row r="163" spans="1:17" x14ac:dyDescent="0.25">
      <c r="A163"/>
      <c r="B163"/>
      <c r="C163"/>
      <c r="D163"/>
      <c r="E163"/>
      <c r="F163"/>
      <c r="Q163"/>
    </row>
    <row r="164" spans="1:17" x14ac:dyDescent="0.25">
      <c r="A164"/>
      <c r="B164"/>
      <c r="C164"/>
      <c r="D164"/>
      <c r="E164"/>
      <c r="F164"/>
      <c r="Q164"/>
    </row>
    <row r="165" spans="1:17" x14ac:dyDescent="0.25">
      <c r="A165"/>
      <c r="B165"/>
      <c r="C165"/>
      <c r="D165"/>
      <c r="E165"/>
      <c r="F165"/>
      <c r="Q165"/>
    </row>
    <row r="166" spans="1:17" x14ac:dyDescent="0.25">
      <c r="A166"/>
      <c r="B166"/>
      <c r="C166"/>
      <c r="D166"/>
      <c r="E166"/>
      <c r="F166"/>
      <c r="Q166"/>
    </row>
    <row r="167" spans="1:17" x14ac:dyDescent="0.25">
      <c r="A167"/>
      <c r="B167"/>
      <c r="C167"/>
      <c r="D167"/>
      <c r="E167"/>
      <c r="F167"/>
      <c r="Q167"/>
    </row>
    <row r="168" spans="1:17" x14ac:dyDescent="0.25">
      <c r="A168"/>
      <c r="B168"/>
      <c r="C168"/>
      <c r="D168"/>
      <c r="E168"/>
      <c r="F168"/>
      <c r="Q168"/>
    </row>
    <row r="169" spans="1:17" x14ac:dyDescent="0.25">
      <c r="A169"/>
      <c r="B169"/>
      <c r="C169"/>
      <c r="D169"/>
      <c r="E169"/>
      <c r="F169"/>
      <c r="Q169"/>
    </row>
    <row r="170" spans="1:17" x14ac:dyDescent="0.25">
      <c r="A170"/>
      <c r="B170"/>
      <c r="C170"/>
      <c r="D170"/>
      <c r="E170"/>
      <c r="F170"/>
      <c r="Q170"/>
    </row>
    <row r="171" spans="1:17" x14ac:dyDescent="0.25">
      <c r="A171"/>
      <c r="B171"/>
      <c r="C171"/>
      <c r="D171"/>
      <c r="E171"/>
      <c r="F171"/>
      <c r="Q171"/>
    </row>
    <row r="172" spans="1:17" x14ac:dyDescent="0.25">
      <c r="A172"/>
      <c r="B172"/>
      <c r="C172"/>
      <c r="D172"/>
      <c r="E172"/>
      <c r="F172"/>
      <c r="Q172"/>
    </row>
    <row r="173" spans="1:17" x14ac:dyDescent="0.25">
      <c r="A173"/>
      <c r="B173"/>
      <c r="C173"/>
      <c r="D173"/>
      <c r="E173"/>
      <c r="F173"/>
      <c r="Q173"/>
    </row>
    <row r="174" spans="1:17" x14ac:dyDescent="0.25">
      <c r="A174"/>
      <c r="B174"/>
      <c r="C174"/>
      <c r="D174"/>
      <c r="E174"/>
      <c r="F174"/>
      <c r="Q174"/>
    </row>
    <row r="175" spans="1:17" x14ac:dyDescent="0.25">
      <c r="A175"/>
      <c r="B175"/>
      <c r="C175"/>
      <c r="D175"/>
      <c r="E175"/>
      <c r="F175"/>
      <c r="Q175"/>
    </row>
    <row r="176" spans="1:17" x14ac:dyDescent="0.25">
      <c r="A176"/>
      <c r="B176"/>
      <c r="C176"/>
      <c r="D176"/>
      <c r="E176"/>
      <c r="F176"/>
      <c r="Q176"/>
    </row>
    <row r="177" spans="1:17" x14ac:dyDescent="0.25">
      <c r="A177"/>
      <c r="B177"/>
      <c r="C177"/>
      <c r="D177"/>
      <c r="E177"/>
      <c r="F177"/>
      <c r="Q177"/>
    </row>
    <row r="178" spans="1:17" x14ac:dyDescent="0.25">
      <c r="A178"/>
      <c r="B178"/>
      <c r="C178"/>
      <c r="D178"/>
      <c r="E178"/>
      <c r="F178"/>
      <c r="Q178"/>
    </row>
    <row r="179" spans="1:17" x14ac:dyDescent="0.25">
      <c r="A179"/>
      <c r="B179"/>
      <c r="C179"/>
      <c r="D179"/>
      <c r="E179"/>
      <c r="F179"/>
      <c r="Q179"/>
    </row>
    <row r="180" spans="1:17" x14ac:dyDescent="0.25">
      <c r="A180"/>
      <c r="B180"/>
      <c r="C180"/>
      <c r="D180"/>
      <c r="E180"/>
      <c r="F180"/>
      <c r="Q180"/>
    </row>
    <row r="181" spans="1:17" x14ac:dyDescent="0.25">
      <c r="A181"/>
      <c r="B181"/>
      <c r="C181"/>
      <c r="D181"/>
      <c r="E181"/>
      <c r="F181"/>
      <c r="Q181"/>
    </row>
    <row r="182" spans="1:17" x14ac:dyDescent="0.25">
      <c r="A182"/>
      <c r="B182"/>
      <c r="C182"/>
      <c r="D182"/>
      <c r="E182"/>
      <c r="F182"/>
      <c r="Q182"/>
    </row>
    <row r="183" spans="1:17" x14ac:dyDescent="0.25">
      <c r="A183"/>
      <c r="B183"/>
      <c r="C183"/>
      <c r="D183"/>
      <c r="E183"/>
      <c r="F183"/>
      <c r="Q183"/>
    </row>
    <row r="184" spans="1:17" x14ac:dyDescent="0.25">
      <c r="A184"/>
      <c r="B184"/>
      <c r="C184"/>
      <c r="D184"/>
      <c r="E184"/>
      <c r="F184"/>
      <c r="Q184"/>
    </row>
    <row r="185" spans="1:17" x14ac:dyDescent="0.25">
      <c r="A185"/>
      <c r="B185"/>
      <c r="C185"/>
      <c r="D185"/>
      <c r="E185"/>
      <c r="F185"/>
      <c r="Q185"/>
    </row>
    <row r="186" spans="1:17" x14ac:dyDescent="0.25">
      <c r="A186"/>
      <c r="B186"/>
      <c r="C186"/>
      <c r="D186"/>
      <c r="E186"/>
      <c r="F186"/>
      <c r="Q186"/>
    </row>
    <row r="187" spans="1:17" x14ac:dyDescent="0.25">
      <c r="A187"/>
      <c r="B187"/>
      <c r="C187"/>
      <c r="D187"/>
      <c r="E187"/>
      <c r="F187"/>
      <c r="Q187"/>
    </row>
    <row r="188" spans="1:17" x14ac:dyDescent="0.25">
      <c r="A188"/>
      <c r="B188"/>
      <c r="C188"/>
      <c r="D188"/>
      <c r="E188"/>
      <c r="F188"/>
      <c r="Q188"/>
    </row>
    <row r="189" spans="1:17" x14ac:dyDescent="0.25">
      <c r="A189"/>
      <c r="B189"/>
      <c r="C189"/>
      <c r="D189"/>
      <c r="E189"/>
      <c r="F189"/>
      <c r="Q189"/>
    </row>
    <row r="190" spans="1:17" x14ac:dyDescent="0.25">
      <c r="A190"/>
      <c r="B190"/>
      <c r="C190"/>
      <c r="D190"/>
      <c r="E190"/>
      <c r="F190"/>
      <c r="Q190"/>
    </row>
    <row r="191" spans="1:17" x14ac:dyDescent="0.25">
      <c r="A191"/>
      <c r="B191"/>
      <c r="C191"/>
      <c r="D191"/>
      <c r="E191"/>
      <c r="F191"/>
      <c r="Q191"/>
    </row>
    <row r="192" spans="1:17" x14ac:dyDescent="0.25">
      <c r="A192"/>
      <c r="B192"/>
      <c r="C192"/>
      <c r="D192"/>
      <c r="E192"/>
      <c r="F192"/>
      <c r="Q192"/>
    </row>
    <row r="193" spans="1:17" x14ac:dyDescent="0.25">
      <c r="A193"/>
      <c r="B193"/>
      <c r="C193"/>
      <c r="D193"/>
      <c r="E193"/>
      <c r="F193"/>
      <c r="Q193"/>
    </row>
    <row r="194" spans="1:17" x14ac:dyDescent="0.25">
      <c r="A194"/>
      <c r="B194"/>
      <c r="C194"/>
      <c r="D194"/>
      <c r="E194"/>
      <c r="F194"/>
      <c r="Q194"/>
    </row>
    <row r="195" spans="1:17" x14ac:dyDescent="0.25">
      <c r="A195"/>
      <c r="B195"/>
      <c r="C195"/>
      <c r="D195"/>
      <c r="E195"/>
      <c r="F195"/>
      <c r="Q195"/>
    </row>
    <row r="196" spans="1:17" x14ac:dyDescent="0.25">
      <c r="A196"/>
      <c r="B196"/>
      <c r="C196"/>
      <c r="D196"/>
      <c r="E196"/>
      <c r="F196"/>
      <c r="Q196"/>
    </row>
    <row r="197" spans="1:17" x14ac:dyDescent="0.25">
      <c r="A197"/>
      <c r="B197"/>
      <c r="C197"/>
      <c r="D197"/>
      <c r="E197"/>
      <c r="F197"/>
      <c r="Q197"/>
    </row>
    <row r="198" spans="1:17" x14ac:dyDescent="0.25">
      <c r="A198"/>
      <c r="B198"/>
      <c r="C198"/>
      <c r="D198"/>
      <c r="E198"/>
      <c r="F198"/>
      <c r="Q198"/>
    </row>
    <row r="199" spans="1:17" x14ac:dyDescent="0.25">
      <c r="A199"/>
      <c r="B199"/>
      <c r="C199"/>
      <c r="D199"/>
      <c r="E199"/>
      <c r="F199"/>
      <c r="Q199"/>
    </row>
    <row r="200" spans="1:17" x14ac:dyDescent="0.25">
      <c r="A200"/>
      <c r="B200"/>
      <c r="C200"/>
      <c r="D200"/>
      <c r="E200"/>
      <c r="F200"/>
      <c r="Q200"/>
    </row>
    <row r="201" spans="1:17" x14ac:dyDescent="0.25">
      <c r="A201"/>
      <c r="B201"/>
      <c r="C201"/>
      <c r="D201"/>
      <c r="E201"/>
      <c r="F201"/>
      <c r="Q201"/>
    </row>
    <row r="202" spans="1:17" x14ac:dyDescent="0.25">
      <c r="A202"/>
      <c r="B202"/>
      <c r="C202"/>
      <c r="D202"/>
      <c r="E202"/>
      <c r="F202"/>
      <c r="Q202"/>
    </row>
    <row r="203" spans="1:17" x14ac:dyDescent="0.25">
      <c r="A203"/>
      <c r="B203"/>
      <c r="C203"/>
      <c r="D203"/>
      <c r="E203"/>
      <c r="F203"/>
      <c r="Q203"/>
    </row>
    <row r="204" spans="1:17" x14ac:dyDescent="0.25">
      <c r="A204"/>
      <c r="B204"/>
      <c r="C204"/>
      <c r="D204"/>
      <c r="E204"/>
      <c r="F204"/>
      <c r="Q204"/>
    </row>
    <row r="205" spans="1:17" x14ac:dyDescent="0.25">
      <c r="A205"/>
      <c r="B205"/>
      <c r="C205"/>
      <c r="D205"/>
      <c r="E205"/>
      <c r="F205"/>
      <c r="Q205"/>
    </row>
    <row r="206" spans="1:17" x14ac:dyDescent="0.25">
      <c r="A206"/>
      <c r="B206"/>
      <c r="C206"/>
      <c r="D206"/>
      <c r="E206"/>
      <c r="F206"/>
      <c r="Q206"/>
    </row>
    <row r="207" spans="1:17" x14ac:dyDescent="0.25">
      <c r="A207"/>
      <c r="B207"/>
      <c r="C207"/>
      <c r="D207"/>
      <c r="E207"/>
      <c r="F207"/>
      <c r="Q207"/>
    </row>
    <row r="208" spans="1:17" x14ac:dyDescent="0.25">
      <c r="A208"/>
      <c r="B208"/>
      <c r="C208"/>
      <c r="D208"/>
      <c r="E208"/>
      <c r="F208"/>
      <c r="Q208"/>
    </row>
    <row r="209" spans="1:17" x14ac:dyDescent="0.25">
      <c r="A209"/>
      <c r="B209"/>
      <c r="C209"/>
      <c r="D209"/>
      <c r="E209"/>
      <c r="F209"/>
      <c r="Q209"/>
    </row>
    <row r="210" spans="1:17" x14ac:dyDescent="0.25">
      <c r="A210"/>
      <c r="B210"/>
      <c r="C210"/>
      <c r="D210"/>
      <c r="E210"/>
      <c r="F210"/>
      <c r="Q210"/>
    </row>
    <row r="211" spans="1:17" x14ac:dyDescent="0.25">
      <c r="A211"/>
      <c r="B211"/>
      <c r="C211"/>
      <c r="D211"/>
      <c r="E211"/>
      <c r="F211"/>
      <c r="Q211"/>
    </row>
    <row r="212" spans="1:17" x14ac:dyDescent="0.25">
      <c r="A212"/>
      <c r="B212"/>
      <c r="C212"/>
      <c r="D212"/>
      <c r="E212"/>
      <c r="F212"/>
      <c r="Q212"/>
    </row>
    <row r="213" spans="1:17" x14ac:dyDescent="0.25">
      <c r="A213"/>
      <c r="B213"/>
      <c r="C213"/>
      <c r="D213"/>
      <c r="E213"/>
      <c r="F213"/>
      <c r="Q213"/>
    </row>
    <row r="214" spans="1:17" x14ac:dyDescent="0.25">
      <c r="A214"/>
      <c r="B214"/>
      <c r="C214"/>
      <c r="D214"/>
      <c r="E214"/>
      <c r="F214"/>
      <c r="Q214"/>
    </row>
    <row r="215" spans="1:17" x14ac:dyDescent="0.25">
      <c r="A215"/>
      <c r="B215"/>
      <c r="C215"/>
      <c r="D215"/>
      <c r="E215"/>
      <c r="F215"/>
      <c r="Q215"/>
    </row>
    <row r="216" spans="1:17" x14ac:dyDescent="0.25">
      <c r="A216"/>
      <c r="B216"/>
      <c r="C216"/>
      <c r="D216"/>
      <c r="E216"/>
      <c r="F216"/>
      <c r="Q216"/>
    </row>
    <row r="217" spans="1:17" x14ac:dyDescent="0.25">
      <c r="A217"/>
      <c r="B217"/>
      <c r="C217"/>
      <c r="D217"/>
      <c r="E217"/>
      <c r="F217"/>
      <c r="Q217"/>
    </row>
    <row r="218" spans="1:17" x14ac:dyDescent="0.25">
      <c r="A218"/>
      <c r="B218"/>
      <c r="C218"/>
      <c r="D218"/>
      <c r="E218"/>
      <c r="F218"/>
      <c r="Q218"/>
    </row>
    <row r="219" spans="1:17" x14ac:dyDescent="0.25">
      <c r="A219"/>
      <c r="B219"/>
      <c r="C219"/>
      <c r="D219"/>
      <c r="E219"/>
      <c r="F219"/>
      <c r="Q219"/>
    </row>
    <row r="220" spans="1:17" x14ac:dyDescent="0.25">
      <c r="A220"/>
      <c r="B220"/>
      <c r="C220"/>
      <c r="D220"/>
      <c r="E220"/>
      <c r="F220"/>
      <c r="Q220"/>
    </row>
    <row r="221" spans="1:17" x14ac:dyDescent="0.25">
      <c r="A221"/>
      <c r="B221"/>
      <c r="C221"/>
      <c r="D221"/>
      <c r="E221"/>
      <c r="F221"/>
      <c r="Q221"/>
    </row>
    <row r="222" spans="1:17" x14ac:dyDescent="0.25">
      <c r="A222"/>
      <c r="B222"/>
      <c r="C222"/>
      <c r="D222"/>
      <c r="E222"/>
      <c r="F222"/>
      <c r="Q222"/>
    </row>
    <row r="223" spans="1:17" x14ac:dyDescent="0.25">
      <c r="A223"/>
      <c r="B223"/>
      <c r="C223"/>
      <c r="D223"/>
      <c r="E223"/>
      <c r="F223"/>
      <c r="Q223"/>
    </row>
    <row r="224" spans="1:17" x14ac:dyDescent="0.25">
      <c r="A224"/>
      <c r="B224"/>
      <c r="C224"/>
      <c r="D224"/>
      <c r="E224"/>
      <c r="F224"/>
      <c r="Q224"/>
    </row>
    <row r="225" spans="1:17" x14ac:dyDescent="0.25">
      <c r="A225"/>
      <c r="B225"/>
      <c r="C225"/>
      <c r="D225"/>
      <c r="E225"/>
      <c r="F225"/>
      <c r="Q225"/>
    </row>
    <row r="226" spans="1:17" x14ac:dyDescent="0.25">
      <c r="A226"/>
      <c r="B226"/>
      <c r="C226"/>
      <c r="D226"/>
      <c r="E226"/>
      <c r="F226"/>
      <c r="Q226"/>
    </row>
    <row r="227" spans="1:17" x14ac:dyDescent="0.25">
      <c r="A227"/>
      <c r="B227"/>
      <c r="C227"/>
      <c r="D227"/>
      <c r="E227"/>
      <c r="F227"/>
      <c r="Q227"/>
    </row>
    <row r="228" spans="1:17" x14ac:dyDescent="0.25">
      <c r="A228"/>
      <c r="B228"/>
      <c r="C228"/>
      <c r="D228"/>
      <c r="E228"/>
      <c r="F228"/>
      <c r="Q228"/>
    </row>
    <row r="229" spans="1:17" x14ac:dyDescent="0.25">
      <c r="A229"/>
      <c r="B229"/>
      <c r="C229"/>
      <c r="D229"/>
      <c r="E229"/>
      <c r="F229"/>
      <c r="Q229"/>
    </row>
    <row r="230" spans="1:17" x14ac:dyDescent="0.25">
      <c r="A230"/>
      <c r="B230"/>
      <c r="C230"/>
      <c r="D230"/>
      <c r="E230"/>
      <c r="F230"/>
      <c r="Q230"/>
    </row>
    <row r="231" spans="1:17" x14ac:dyDescent="0.25">
      <c r="A231"/>
      <c r="B231"/>
      <c r="C231"/>
      <c r="D231"/>
      <c r="E231"/>
      <c r="F231"/>
      <c r="Q231"/>
    </row>
    <row r="232" spans="1:17" x14ac:dyDescent="0.25">
      <c r="A232"/>
      <c r="B232"/>
      <c r="C232"/>
      <c r="D232"/>
      <c r="E232"/>
      <c r="F232"/>
      <c r="Q232"/>
    </row>
    <row r="233" spans="1:17" x14ac:dyDescent="0.25">
      <c r="A233"/>
      <c r="B233"/>
      <c r="C233"/>
      <c r="D233"/>
      <c r="E233"/>
      <c r="F233"/>
      <c r="Q233"/>
    </row>
    <row r="234" spans="1:17" x14ac:dyDescent="0.25">
      <c r="A234"/>
      <c r="B234"/>
      <c r="C234"/>
      <c r="D234"/>
      <c r="E234"/>
      <c r="F234"/>
      <c r="Q234"/>
    </row>
    <row r="235" spans="1:17" x14ac:dyDescent="0.25">
      <c r="A235"/>
      <c r="B235"/>
      <c r="C235"/>
      <c r="D235"/>
      <c r="E235"/>
      <c r="F235"/>
      <c r="Q235"/>
    </row>
    <row r="236" spans="1:17" x14ac:dyDescent="0.25">
      <c r="A236"/>
      <c r="B236"/>
      <c r="C236"/>
      <c r="D236"/>
      <c r="E236"/>
      <c r="F236"/>
      <c r="Q236"/>
    </row>
    <row r="237" spans="1:17" x14ac:dyDescent="0.25">
      <c r="A237"/>
      <c r="B237"/>
      <c r="C237"/>
      <c r="D237"/>
      <c r="E237"/>
      <c r="F237"/>
      <c r="Q237"/>
    </row>
    <row r="238" spans="1:17" x14ac:dyDescent="0.25">
      <c r="A238"/>
      <c r="B238"/>
      <c r="C238"/>
      <c r="D238"/>
      <c r="E238"/>
      <c r="F238"/>
      <c r="Q238"/>
    </row>
    <row r="239" spans="1:17" x14ac:dyDescent="0.25">
      <c r="A239"/>
      <c r="B239"/>
      <c r="C239"/>
      <c r="D239"/>
      <c r="E239"/>
      <c r="F239"/>
      <c r="Q239"/>
    </row>
    <row r="240" spans="1:17" x14ac:dyDescent="0.25">
      <c r="A240"/>
      <c r="B240"/>
      <c r="C240"/>
      <c r="D240"/>
      <c r="E240"/>
      <c r="F240"/>
      <c r="Q240"/>
    </row>
    <row r="241" spans="1:17" x14ac:dyDescent="0.25">
      <c r="A241"/>
      <c r="B241"/>
      <c r="C241"/>
      <c r="D241"/>
      <c r="E241"/>
      <c r="F241"/>
      <c r="Q241"/>
    </row>
    <row r="242" spans="1:17" x14ac:dyDescent="0.25">
      <c r="A242"/>
      <c r="B242"/>
      <c r="C242"/>
      <c r="D242"/>
      <c r="E242"/>
      <c r="F242"/>
      <c r="Q242"/>
    </row>
    <row r="243" spans="1:17" x14ac:dyDescent="0.25">
      <c r="A243"/>
      <c r="B243"/>
      <c r="C243"/>
      <c r="D243"/>
      <c r="E243"/>
      <c r="F243"/>
      <c r="Q243"/>
    </row>
    <row r="244" spans="1:17" x14ac:dyDescent="0.25">
      <c r="A244"/>
      <c r="B244"/>
      <c r="C244"/>
      <c r="D244"/>
      <c r="E244"/>
      <c r="F244"/>
      <c r="Q244"/>
    </row>
    <row r="245" spans="1:17" x14ac:dyDescent="0.25">
      <c r="A245"/>
      <c r="B245"/>
      <c r="C245"/>
      <c r="D245"/>
      <c r="E245"/>
      <c r="F245"/>
      <c r="Q245"/>
    </row>
    <row r="246" spans="1:17" x14ac:dyDescent="0.25">
      <c r="A246"/>
      <c r="B246"/>
      <c r="C246"/>
      <c r="D246"/>
      <c r="E246"/>
      <c r="Q246"/>
    </row>
    <row r="247" spans="1:17" x14ac:dyDescent="0.25">
      <c r="A247"/>
      <c r="B247"/>
      <c r="C247"/>
      <c r="D247"/>
      <c r="E247"/>
      <c r="Q247"/>
    </row>
    <row r="248" spans="1:17" x14ac:dyDescent="0.25">
      <c r="A248"/>
      <c r="B248"/>
      <c r="C248"/>
      <c r="D248"/>
      <c r="E248"/>
      <c r="Q248"/>
    </row>
    <row r="249" spans="1:17" x14ac:dyDescent="0.25">
      <c r="A249"/>
      <c r="B249"/>
      <c r="C249"/>
      <c r="D249"/>
      <c r="E249"/>
      <c r="Q249"/>
    </row>
    <row r="250" spans="1:17" x14ac:dyDescent="0.25">
      <c r="A250"/>
      <c r="B250"/>
      <c r="C250"/>
      <c r="D250"/>
      <c r="E250"/>
      <c r="Q250"/>
    </row>
    <row r="251" spans="1:17" x14ac:dyDescent="0.25">
      <c r="A251"/>
      <c r="B251"/>
      <c r="C251"/>
      <c r="D251"/>
      <c r="E251"/>
      <c r="Q251"/>
    </row>
    <row r="252" spans="1:17" x14ac:dyDescent="0.25">
      <c r="A252"/>
      <c r="B252"/>
      <c r="C252"/>
      <c r="D252"/>
      <c r="E252"/>
      <c r="Q252"/>
    </row>
    <row r="253" spans="1:17" x14ac:dyDescent="0.25">
      <c r="A253"/>
      <c r="B253"/>
      <c r="C253"/>
      <c r="D253"/>
      <c r="E253"/>
      <c r="Q253"/>
    </row>
    <row r="254" spans="1:17" x14ac:dyDescent="0.25">
      <c r="A254"/>
      <c r="B254"/>
      <c r="C254"/>
      <c r="D254"/>
      <c r="E254"/>
      <c r="Q254"/>
    </row>
    <row r="255" spans="1:17" x14ac:dyDescent="0.25">
      <c r="A255"/>
      <c r="B255"/>
      <c r="C255"/>
      <c r="D255"/>
      <c r="E255"/>
      <c r="Q255"/>
    </row>
    <row r="256" spans="1:17" x14ac:dyDescent="0.25">
      <c r="A256"/>
      <c r="B256"/>
      <c r="C256"/>
      <c r="D256"/>
      <c r="E256"/>
      <c r="Q256"/>
    </row>
    <row r="257" spans="1:17" x14ac:dyDescent="0.25">
      <c r="A257"/>
      <c r="B257"/>
      <c r="C257"/>
      <c r="D257"/>
      <c r="E257"/>
      <c r="Q257"/>
    </row>
    <row r="258" spans="1:17" x14ac:dyDescent="0.25">
      <c r="A258"/>
      <c r="B258"/>
      <c r="C258"/>
      <c r="D258"/>
      <c r="E258"/>
      <c r="Q258"/>
    </row>
    <row r="259" spans="1:17" x14ac:dyDescent="0.25">
      <c r="A259"/>
      <c r="B259"/>
      <c r="C259"/>
      <c r="D259"/>
      <c r="E259"/>
      <c r="Q259"/>
    </row>
    <row r="260" spans="1:17" x14ac:dyDescent="0.25">
      <c r="A260"/>
      <c r="B260"/>
      <c r="C260"/>
      <c r="D260"/>
      <c r="E260"/>
      <c r="Q260"/>
    </row>
    <row r="261" spans="1:17" x14ac:dyDescent="0.25">
      <c r="A261"/>
      <c r="B261"/>
      <c r="C261"/>
      <c r="D261"/>
      <c r="E261"/>
      <c r="Q261"/>
    </row>
    <row r="262" spans="1:17" x14ac:dyDescent="0.25">
      <c r="A262"/>
      <c r="B262"/>
      <c r="C262"/>
      <c r="D262"/>
      <c r="E262"/>
      <c r="Q262"/>
    </row>
    <row r="263" spans="1:17" x14ac:dyDescent="0.25">
      <c r="A263"/>
      <c r="B263"/>
      <c r="C263"/>
      <c r="D263"/>
      <c r="E263"/>
      <c r="Q263"/>
    </row>
    <row r="264" spans="1:17" x14ac:dyDescent="0.25">
      <c r="A264"/>
      <c r="B264"/>
      <c r="C264"/>
      <c r="D264"/>
      <c r="E264"/>
      <c r="Q264"/>
    </row>
    <row r="265" spans="1:17" x14ac:dyDescent="0.25">
      <c r="A265"/>
      <c r="B265"/>
      <c r="C265"/>
      <c r="D265"/>
      <c r="E265"/>
      <c r="Q265"/>
    </row>
    <row r="266" spans="1:17" x14ac:dyDescent="0.25">
      <c r="A266"/>
      <c r="B266"/>
      <c r="C266"/>
      <c r="D266"/>
      <c r="E266"/>
      <c r="Q266"/>
    </row>
    <row r="267" spans="1:17" x14ac:dyDescent="0.25">
      <c r="A267"/>
      <c r="B267"/>
      <c r="C267"/>
      <c r="D267"/>
      <c r="E267"/>
      <c r="Q267"/>
    </row>
    <row r="268" spans="1:17" x14ac:dyDescent="0.25">
      <c r="A268"/>
      <c r="B268"/>
      <c r="C268"/>
      <c r="D268"/>
      <c r="E268"/>
      <c r="Q268"/>
    </row>
    <row r="269" spans="1:17" x14ac:dyDescent="0.25">
      <c r="A269"/>
      <c r="B269"/>
      <c r="C269"/>
      <c r="D269"/>
      <c r="E269"/>
      <c r="Q269"/>
    </row>
    <row r="270" spans="1:17" x14ac:dyDescent="0.25">
      <c r="A270"/>
      <c r="B270"/>
      <c r="C270"/>
      <c r="D270"/>
      <c r="Q270"/>
    </row>
    <row r="271" spans="1:17" x14ac:dyDescent="0.25">
      <c r="A271"/>
      <c r="B271"/>
      <c r="C271"/>
      <c r="D271"/>
      <c r="E271"/>
      <c r="F271"/>
      <c r="Q271"/>
    </row>
    <row r="272" spans="1:17" x14ac:dyDescent="0.25">
      <c r="A272"/>
      <c r="B272"/>
      <c r="C272"/>
      <c r="D272"/>
      <c r="E272"/>
      <c r="F272"/>
      <c r="G272"/>
      <c r="H272"/>
      <c r="I272"/>
      <c r="J272"/>
      <c r="K272"/>
      <c r="L272"/>
      <c r="M272"/>
      <c r="N272"/>
      <c r="O272"/>
      <c r="P272"/>
      <c r="Q272"/>
    </row>
    <row r="273" spans="1:20" x14ac:dyDescent="0.25">
      <c r="A273"/>
      <c r="B273"/>
      <c r="C273"/>
      <c r="D273"/>
      <c r="E273"/>
      <c r="F273"/>
      <c r="G273"/>
      <c r="H273"/>
      <c r="I273"/>
      <c r="J273"/>
      <c r="K273"/>
      <c r="L273"/>
      <c r="M273"/>
      <c r="N273"/>
      <c r="O273"/>
      <c r="P273"/>
      <c r="Q273"/>
    </row>
    <row r="274" spans="1:20" x14ac:dyDescent="0.25">
      <c r="A274" t="s">
        <v>660</v>
      </c>
      <c r="B274"/>
      <c r="C274"/>
      <c r="D274"/>
      <c r="E274"/>
      <c r="F274"/>
      <c r="G274"/>
      <c r="H274"/>
      <c r="I274"/>
      <c r="J274"/>
      <c r="K274"/>
      <c r="L274"/>
      <c r="M274"/>
      <c r="N274"/>
      <c r="O274"/>
      <c r="P274"/>
      <c r="Q274"/>
    </row>
    <row r="275" spans="1:20" x14ac:dyDescent="0.25">
      <c r="A275" s="61">
        <v>2012</v>
      </c>
      <c r="C275" s="61">
        <v>2015</v>
      </c>
      <c r="D275" s="61">
        <v>2016</v>
      </c>
      <c r="E275" s="61">
        <v>2020</v>
      </c>
      <c r="F275" s="61">
        <v>2025</v>
      </c>
      <c r="G275" s="61">
        <v>2030</v>
      </c>
      <c r="H275" s="61">
        <v>2035</v>
      </c>
      <c r="I275" s="61">
        <v>2040</v>
      </c>
      <c r="J275" s="61">
        <v>2050</v>
      </c>
      <c r="L275"/>
      <c r="M275"/>
      <c r="N275"/>
      <c r="O275"/>
      <c r="P275"/>
      <c r="Q275"/>
    </row>
    <row r="276" spans="1:20" x14ac:dyDescent="0.25">
      <c r="A276"/>
      <c r="B276"/>
      <c r="C276"/>
      <c r="D276"/>
      <c r="E276"/>
      <c r="F276"/>
      <c r="G276"/>
      <c r="H276"/>
      <c r="I276"/>
      <c r="J276"/>
      <c r="K276"/>
      <c r="L276"/>
      <c r="M276"/>
      <c r="N276"/>
      <c r="O276"/>
      <c r="P276"/>
      <c r="Q276"/>
    </row>
    <row r="277" spans="1:20" x14ac:dyDescent="0.25">
      <c r="A277" s="67">
        <f>IF(EV.Battery,1-#REF!,1)</f>
        <v>1</v>
      </c>
      <c r="B277" s="67"/>
      <c r="C277" s="67">
        <f>IF(EV.Battery,1-#REF!,1)</f>
        <v>1</v>
      </c>
      <c r="D277" s="67">
        <f>IF(EV.Battery,1-#REF!,1)</f>
        <v>1</v>
      </c>
      <c r="E277" s="67">
        <f>IF(EV.Battery,1-#REF!,1)</f>
        <v>1</v>
      </c>
      <c r="F277" s="67">
        <f>IF(EV.Battery,1-#REF!,1)</f>
        <v>1</v>
      </c>
      <c r="G277" s="67">
        <f>IF(EV.Battery,1-#REF!,1)</f>
        <v>1</v>
      </c>
      <c r="H277" s="67">
        <f>IF(EV.Battery,1-#REF!,1)</f>
        <v>1</v>
      </c>
      <c r="I277" s="67">
        <f>IF(EV.Battery,1-#REF!,1)</f>
        <v>1</v>
      </c>
      <c r="J277" s="67">
        <f>IF(EV.Battery,1-#REF!,1)</f>
        <v>1</v>
      </c>
      <c r="K277" s="67"/>
      <c r="L277"/>
      <c r="M277"/>
      <c r="N277"/>
      <c r="O277"/>
      <c r="P277"/>
      <c r="Q277"/>
    </row>
    <row r="278" spans="1:20" x14ac:dyDescent="0.25">
      <c r="A278" s="67">
        <f>IF(EV.Battery,1-#REF!,1)</f>
        <v>1</v>
      </c>
      <c r="B278" s="67"/>
      <c r="C278" s="67">
        <f>IF(EV.Battery,1-#REF!,1)</f>
        <v>1</v>
      </c>
      <c r="D278" s="67">
        <f>IF(EV.Battery,1-#REF!,1)</f>
        <v>1</v>
      </c>
      <c r="E278" s="67">
        <f>IF(EV.Battery,1-#REF!,1)</f>
        <v>1</v>
      </c>
      <c r="F278" s="67">
        <f>IF(EV.Battery,1-#REF!,1)</f>
        <v>1</v>
      </c>
      <c r="G278" s="67">
        <f>IF(EV.Battery,1-#REF!,1)</f>
        <v>1</v>
      </c>
      <c r="H278" s="67">
        <f>IF(EV.Battery,1-#REF!,1)</f>
        <v>1</v>
      </c>
      <c r="I278" s="67">
        <f>IF(EV.Battery,1-#REF!,1)</f>
        <v>1</v>
      </c>
      <c r="J278" s="67">
        <f>IF(EV.Battery,1-#REF!,1)</f>
        <v>1</v>
      </c>
      <c r="K278" s="67"/>
      <c r="L278"/>
      <c r="M278"/>
      <c r="N278"/>
      <c r="O278"/>
      <c r="P278"/>
      <c r="Q278"/>
      <c r="T278" s="67"/>
    </row>
    <row r="279" spans="1:20" x14ac:dyDescent="0.25">
      <c r="A279" s="67"/>
      <c r="B279" s="67"/>
      <c r="C279" s="67"/>
      <c r="D279" s="67"/>
      <c r="E279" s="67"/>
      <c r="F279" s="67"/>
      <c r="G279" s="67"/>
      <c r="H279" s="67"/>
      <c r="I279" s="67"/>
      <c r="J279" s="67"/>
      <c r="K279" s="67"/>
      <c r="L279"/>
      <c r="M279"/>
      <c r="N279"/>
      <c r="O279"/>
      <c r="P279"/>
      <c r="Q279"/>
    </row>
    <row r="280" spans="1:20" x14ac:dyDescent="0.25">
      <c r="A280"/>
      <c r="B280"/>
      <c r="C280"/>
      <c r="D280"/>
      <c r="E280"/>
      <c r="F280"/>
      <c r="G280"/>
      <c r="H280"/>
      <c r="I280"/>
      <c r="J280"/>
      <c r="K280"/>
      <c r="L280"/>
      <c r="M280"/>
      <c r="N280"/>
      <c r="O280"/>
      <c r="P280"/>
      <c r="Q280"/>
    </row>
    <row r="281" spans="1:20" x14ac:dyDescent="0.25">
      <c r="A281"/>
      <c r="B281"/>
      <c r="C281"/>
      <c r="D281"/>
      <c r="E281"/>
      <c r="F281"/>
      <c r="G281"/>
      <c r="H281"/>
      <c r="I281"/>
      <c r="J281"/>
      <c r="K281"/>
      <c r="L281"/>
      <c r="M281"/>
      <c r="N281"/>
      <c r="O281"/>
      <c r="P281"/>
      <c r="Q281"/>
    </row>
    <row r="282" spans="1:20" x14ac:dyDescent="0.25">
      <c r="A282"/>
      <c r="B282"/>
      <c r="C282"/>
      <c r="D282"/>
      <c r="E282"/>
      <c r="F282"/>
      <c r="G282"/>
      <c r="H282"/>
      <c r="I282"/>
      <c r="J282"/>
      <c r="K282"/>
      <c r="L282"/>
      <c r="M282"/>
      <c r="N282"/>
      <c r="O282"/>
      <c r="P282"/>
      <c r="Q282"/>
    </row>
    <row r="283" spans="1:20" x14ac:dyDescent="0.25">
      <c r="A283"/>
      <c r="B283"/>
      <c r="C283"/>
      <c r="D283"/>
      <c r="E283"/>
      <c r="F283"/>
      <c r="G283"/>
      <c r="H283"/>
      <c r="I283"/>
      <c r="J283"/>
      <c r="K283"/>
      <c r="L283"/>
      <c r="M283"/>
      <c r="N283"/>
      <c r="O283"/>
      <c r="P283"/>
      <c r="Q283"/>
    </row>
    <row r="284" spans="1:20" x14ac:dyDescent="0.25">
      <c r="A284"/>
      <c r="B284"/>
      <c r="C284"/>
      <c r="D284"/>
      <c r="E284"/>
      <c r="F284"/>
      <c r="G284"/>
      <c r="H284"/>
      <c r="I284"/>
      <c r="J284"/>
      <c r="K284"/>
      <c r="L284"/>
      <c r="M284"/>
      <c r="N284"/>
      <c r="O284"/>
      <c r="P284"/>
      <c r="Q284"/>
    </row>
    <row r="285" spans="1:20" x14ac:dyDescent="0.25">
      <c r="A285"/>
      <c r="B285"/>
      <c r="C285"/>
      <c r="D285"/>
      <c r="E285"/>
      <c r="F285"/>
      <c r="G285"/>
      <c r="H285"/>
      <c r="I285"/>
      <c r="J285"/>
      <c r="K285"/>
      <c r="L285"/>
      <c r="M285"/>
      <c r="N285"/>
      <c r="O285"/>
      <c r="P285"/>
      <c r="Q285"/>
    </row>
    <row r="286" spans="1:20" x14ac:dyDescent="0.25">
      <c r="A286"/>
      <c r="B286"/>
      <c r="C286"/>
      <c r="D286"/>
      <c r="E286"/>
      <c r="F286"/>
      <c r="G286"/>
      <c r="H286"/>
      <c r="I286"/>
      <c r="J286"/>
      <c r="K286"/>
      <c r="L286"/>
      <c r="M286"/>
      <c r="N286"/>
      <c r="O286"/>
      <c r="P286"/>
      <c r="Q286"/>
    </row>
  </sheetData>
  <dataValidations count="1">
    <dataValidation type="list" allowBlank="1" showInputMessage="1" showErrorMessage="1" sqref="O1:O2" xr:uid="{1C7005ED-1490-4709-B6F2-8ADD78113E8B}">
      <formula1>$O$5:$O$7</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A656-50C4-4A2B-8928-EE9C17A08ECB}">
  <sheetPr>
    <tabColor rgb="FFFFC000"/>
  </sheetPr>
  <dimension ref="A1:AF91"/>
  <sheetViews>
    <sheetView tabSelected="1" topLeftCell="C43" zoomScale="60" zoomScaleNormal="60" workbookViewId="0">
      <selection activeCell="Q51" sqref="Q51"/>
    </sheetView>
  </sheetViews>
  <sheetFormatPr defaultRowHeight="15" x14ac:dyDescent="0.25"/>
  <cols>
    <col min="1" max="1" width="11.7109375" style="952" bestFit="1" customWidth="1"/>
    <col min="2" max="2" width="7.7109375" style="952" bestFit="1" customWidth="1"/>
    <col min="3" max="3" width="12.5703125" style="952" customWidth="1"/>
    <col min="4" max="4" width="15.42578125" style="952" bestFit="1" customWidth="1"/>
    <col min="5" max="5" width="20.140625" style="952" bestFit="1" customWidth="1"/>
    <col min="6" max="6" width="15" style="952" bestFit="1" customWidth="1"/>
    <col min="7" max="7" width="15.5703125" style="952" bestFit="1" customWidth="1"/>
    <col min="8" max="8" width="20" style="952" bestFit="1" customWidth="1"/>
    <col min="9" max="9" width="7.5703125" style="952" bestFit="1" customWidth="1"/>
    <col min="10" max="13" width="5.28515625" style="952" customWidth="1"/>
    <col min="14" max="14" width="16.85546875" style="952" bestFit="1" customWidth="1"/>
    <col min="15" max="15" width="17" style="952" customWidth="1"/>
    <col min="16" max="16" width="24.28515625" style="952" customWidth="1"/>
    <col min="17" max="25" width="14.7109375" style="952" customWidth="1"/>
    <col min="26" max="32" width="11.140625" style="952" customWidth="1"/>
  </cols>
  <sheetData>
    <row r="1" spans="1:32" x14ac:dyDescent="0.25">
      <c r="A1"/>
      <c r="B1"/>
      <c r="C1"/>
      <c r="D1"/>
      <c r="E1"/>
      <c r="F1"/>
      <c r="G1"/>
      <c r="H1"/>
      <c r="I1"/>
      <c r="J1"/>
      <c r="K1"/>
      <c r="L1"/>
      <c r="N1"/>
      <c r="O1" t="s">
        <v>1443</v>
      </c>
      <c r="P1"/>
      <c r="Q1"/>
      <c r="R1"/>
      <c r="S1"/>
      <c r="T1"/>
      <c r="U1"/>
      <c r="V1"/>
      <c r="W1"/>
      <c r="X1"/>
      <c r="Y1"/>
      <c r="Z1"/>
      <c r="AA1"/>
      <c r="AB1"/>
      <c r="AC1"/>
      <c r="AD1"/>
      <c r="AE1"/>
      <c r="AF1"/>
    </row>
    <row r="2" spans="1:32" x14ac:dyDescent="0.25">
      <c r="A2"/>
      <c r="B2"/>
      <c r="C2"/>
      <c r="D2"/>
      <c r="E2"/>
      <c r="F2"/>
      <c r="G2"/>
      <c r="H2"/>
      <c r="I2"/>
      <c r="J2"/>
      <c r="K2"/>
      <c r="L2"/>
      <c r="N2"/>
      <c r="O2" s="856" t="s">
        <v>1317</v>
      </c>
      <c r="P2" s="856" t="s">
        <v>1446</v>
      </c>
      <c r="Q2" s="998">
        <f t="shared" ref="Q2:W2" si="0">Q8</f>
        <v>2020</v>
      </c>
      <c r="R2" s="998">
        <f t="shared" si="0"/>
        <v>2025</v>
      </c>
      <c r="S2" s="998">
        <f t="shared" si="0"/>
        <v>2030</v>
      </c>
      <c r="T2" s="998">
        <f t="shared" si="0"/>
        <v>2035</v>
      </c>
      <c r="U2" s="998">
        <f t="shared" si="0"/>
        <v>2040</v>
      </c>
      <c r="V2" s="998">
        <f t="shared" si="0"/>
        <v>2045</v>
      </c>
      <c r="W2" s="998">
        <f t="shared" si="0"/>
        <v>2050</v>
      </c>
      <c r="X2"/>
      <c r="Y2"/>
      <c r="Z2"/>
      <c r="AA2"/>
      <c r="AB2"/>
      <c r="AC2"/>
      <c r="AD2"/>
      <c r="AE2"/>
      <c r="AF2"/>
    </row>
    <row r="3" spans="1:32" x14ac:dyDescent="0.25">
      <c r="A3"/>
      <c r="B3"/>
      <c r="C3"/>
      <c r="D3"/>
      <c r="E3"/>
      <c r="F3"/>
      <c r="G3"/>
      <c r="H3"/>
      <c r="I3"/>
      <c r="J3"/>
      <c r="K3"/>
      <c r="L3"/>
      <c r="N3"/>
      <c r="O3" s="856" t="s">
        <v>1318</v>
      </c>
      <c r="P3" s="857" t="s">
        <v>1319</v>
      </c>
      <c r="Q3" s="999">
        <f>INDEX('IEAWEO2023 cost data'!G$17:G$19,MATCH($P3,'IEAWEO2023 cost data'!$B$17:$B$19,0))</f>
        <v>1</v>
      </c>
      <c r="R3" s="999">
        <f>INDEX('IEAWEO2023 cost data'!H$17:H$19,MATCH($P3,'IEAWEO2023 cost data'!$B$17:$B$19,0))</f>
        <v>0.92263637119574016</v>
      </c>
      <c r="S3" s="999">
        <f>INDEX('IEAWEO2023 cost data'!I$17:I$19,MATCH($P3,'IEAWEO2023 cost data'!$B$17:$B$19,0))</f>
        <v>0.86936637285880547</v>
      </c>
      <c r="T3" s="999">
        <f>INDEX('IEAWEO2023 cost data'!J$17:J$19,MATCH($P3,'IEAWEO2023 cost data'!$B$17:$B$19,0))</f>
        <v>0.87078690614779142</v>
      </c>
      <c r="U3" s="999">
        <f>INDEX('IEAWEO2023 cost data'!K$17:K$19,MATCH($P3,'IEAWEO2023 cost data'!$B$17:$B$19,0))</f>
        <v>0.87220743943677637</v>
      </c>
      <c r="V3" s="999">
        <f>INDEX('IEAWEO2023 cost data'!L$17:L$19,MATCH($P3,'IEAWEO2023 cost data'!$B$17:$B$19,0))</f>
        <v>0.87362797272576131</v>
      </c>
      <c r="W3" s="999">
        <f>INDEX('IEAWEO2023 cost data'!M$17:M$19,MATCH($P3,'IEAWEO2023 cost data'!$B$17:$B$19,0))</f>
        <v>0.87504850601474626</v>
      </c>
      <c r="X3"/>
      <c r="Y3"/>
      <c r="Z3"/>
      <c r="AA3"/>
      <c r="AB3"/>
      <c r="AC3"/>
      <c r="AD3"/>
      <c r="AE3"/>
      <c r="AF3"/>
    </row>
    <row r="4" spans="1:32" x14ac:dyDescent="0.25">
      <c r="A4"/>
      <c r="B4"/>
      <c r="C4"/>
      <c r="D4"/>
      <c r="E4"/>
      <c r="F4"/>
      <c r="G4"/>
      <c r="H4"/>
      <c r="I4"/>
      <c r="J4"/>
      <c r="K4"/>
      <c r="L4"/>
      <c r="N4"/>
      <c r="O4" s="856" t="s">
        <v>692</v>
      </c>
      <c r="P4" s="857" t="s">
        <v>1319</v>
      </c>
      <c r="Q4" s="999">
        <f>INDEX('IEAWEO2023 cost data'!G$11:G$13,MATCH($P4,'IEAWEO2023 cost data'!$B$11:$B$13,0))</f>
        <v>1</v>
      </c>
      <c r="R4" s="999">
        <f>INDEX('IEAWEO2023 cost data'!H$11:H$13,MATCH($P4,'IEAWEO2023 cost data'!$B$11:$B$13,0))</f>
        <v>0.88649592549476275</v>
      </c>
      <c r="S4" s="999">
        <f>INDEX('IEAWEO2023 cost data'!I$11:I$13,MATCH($P4,'IEAWEO2023 cost data'!$B$11:$B$13,0))</f>
        <v>0.7729918509895255</v>
      </c>
      <c r="T4" s="999">
        <f>INDEX('IEAWEO2023 cost data'!J$11:J$13,MATCH($P4,'IEAWEO2023 cost data'!$B$11:$B$13,0))</f>
        <v>0.75087310826542586</v>
      </c>
      <c r="U4" s="999">
        <f>INDEX('IEAWEO2023 cost data'!K$11:K$13,MATCH($P4,'IEAWEO2023 cost data'!$B$11:$B$13,0))</f>
        <v>0.72875436554132778</v>
      </c>
      <c r="V4" s="999">
        <f>INDEX('IEAWEO2023 cost data'!L$11:L$13,MATCH($P4,'IEAWEO2023 cost data'!$B$11:$B$13,0))</f>
        <v>0.7066356228172298</v>
      </c>
      <c r="W4" s="999">
        <f>INDEX('IEAWEO2023 cost data'!M$11:M$13,MATCH($P4,'IEAWEO2023 cost data'!$B$11:$B$13,0))</f>
        <v>0.68451688009313172</v>
      </c>
      <c r="X4"/>
      <c r="Y4"/>
      <c r="Z4"/>
      <c r="AA4"/>
      <c r="AB4"/>
      <c r="AC4"/>
      <c r="AD4"/>
      <c r="AE4"/>
      <c r="AF4"/>
    </row>
    <row r="5" spans="1:32" x14ac:dyDescent="0.25">
      <c r="A5"/>
      <c r="B5"/>
      <c r="C5"/>
      <c r="D5"/>
      <c r="E5"/>
      <c r="F5"/>
      <c r="G5"/>
      <c r="H5"/>
      <c r="I5"/>
      <c r="J5"/>
      <c r="K5"/>
      <c r="L5"/>
      <c r="M5"/>
      <c r="N5"/>
      <c r="O5"/>
      <c r="P5"/>
      <c r="Q5"/>
      <c r="R5"/>
      <c r="S5"/>
      <c r="T5"/>
      <c r="U5"/>
      <c r="V5"/>
      <c r="W5"/>
      <c r="X5"/>
      <c r="Y5"/>
      <c r="Z5"/>
      <c r="AA5"/>
      <c r="AB5"/>
      <c r="AC5"/>
      <c r="AD5"/>
      <c r="AE5"/>
      <c r="AF5"/>
    </row>
    <row r="6" spans="1:32" x14ac:dyDescent="0.25">
      <c r="A6"/>
      <c r="B6"/>
      <c r="C6"/>
      <c r="D6"/>
      <c r="E6"/>
      <c r="F6"/>
      <c r="G6"/>
      <c r="H6"/>
      <c r="I6"/>
      <c r="J6"/>
      <c r="K6"/>
      <c r="L6"/>
      <c r="M6"/>
      <c r="N6"/>
      <c r="O6"/>
      <c r="P6"/>
      <c r="Q6"/>
      <c r="R6"/>
      <c r="S6" s="941" t="s">
        <v>1449</v>
      </c>
      <c r="T6" s="937" t="s">
        <v>1447</v>
      </c>
      <c r="U6" s="931" t="s">
        <v>1448</v>
      </c>
      <c r="V6" s="1000" t="s">
        <v>1454</v>
      </c>
      <c r="W6" s="1004" t="s">
        <v>141</v>
      </c>
      <c r="X6"/>
      <c r="Y6"/>
      <c r="Z6"/>
      <c r="AA6"/>
      <c r="AB6"/>
      <c r="AC6"/>
      <c r="AD6"/>
      <c r="AE6"/>
      <c r="AF6"/>
    </row>
    <row r="7" spans="1:32" x14ac:dyDescent="0.25">
      <c r="A7"/>
      <c r="B7"/>
      <c r="C7"/>
      <c r="D7"/>
      <c r="E7"/>
      <c r="F7"/>
      <c r="G7"/>
      <c r="H7"/>
      <c r="I7"/>
      <c r="J7"/>
      <c r="K7"/>
      <c r="L7"/>
      <c r="M7"/>
      <c r="N7"/>
      <c r="O7"/>
      <c r="P7"/>
      <c r="Q7" s="658" t="s">
        <v>593</v>
      </c>
      <c r="R7" s="658" t="s">
        <v>593</v>
      </c>
      <c r="S7" s="658" t="s">
        <v>593</v>
      </c>
      <c r="T7" s="658" t="s">
        <v>593</v>
      </c>
      <c r="U7" s="658" t="s">
        <v>593</v>
      </c>
      <c r="V7" s="658" t="s">
        <v>593</v>
      </c>
      <c r="W7" s="658" t="s">
        <v>593</v>
      </c>
      <c r="X7" t="s">
        <v>1321</v>
      </c>
      <c r="Y7"/>
      <c r="Z7" s="658" t="s">
        <v>592</v>
      </c>
      <c r="AA7" s="658" t="s">
        <v>592</v>
      </c>
      <c r="AB7" s="658" t="s">
        <v>592</v>
      </c>
      <c r="AC7" s="658" t="s">
        <v>592</v>
      </c>
      <c r="AD7" s="658" t="s">
        <v>592</v>
      </c>
      <c r="AE7" s="658" t="s">
        <v>592</v>
      </c>
      <c r="AF7" s="658" t="s">
        <v>592</v>
      </c>
    </row>
    <row r="8" spans="1:32" x14ac:dyDescent="0.25">
      <c r="A8" s="858" t="s">
        <v>668</v>
      </c>
      <c r="B8" s="858" t="s">
        <v>669</v>
      </c>
      <c r="C8" s="858" t="s">
        <v>670</v>
      </c>
      <c r="D8" s="858" t="s">
        <v>1450</v>
      </c>
      <c r="E8" s="943" t="s">
        <v>674</v>
      </c>
      <c r="F8" s="944" t="s">
        <v>1428</v>
      </c>
      <c r="G8" s="945" t="s">
        <v>1430</v>
      </c>
      <c r="H8" s="943" t="s">
        <v>675</v>
      </c>
      <c r="I8" s="858" t="s">
        <v>1317</v>
      </c>
      <c r="J8" s="858" t="s">
        <v>1322</v>
      </c>
      <c r="K8" s="858" t="s">
        <v>1323</v>
      </c>
      <c r="L8" s="858" t="s">
        <v>1324</v>
      </c>
      <c r="M8" s="858" t="s">
        <v>1325</v>
      </c>
      <c r="N8" s="859" t="s">
        <v>1326</v>
      </c>
      <c r="O8" s="860" t="s">
        <v>1327</v>
      </c>
      <c r="P8" s="930" t="s">
        <v>1438</v>
      </c>
      <c r="Q8" s="938">
        <v>2020</v>
      </c>
      <c r="R8" s="938">
        <v>2025</v>
      </c>
      <c r="S8" s="938">
        <v>2030</v>
      </c>
      <c r="T8" s="938">
        <v>2035</v>
      </c>
      <c r="U8" s="938">
        <v>2040</v>
      </c>
      <c r="V8" s="938">
        <v>2045</v>
      </c>
      <c r="W8" s="938">
        <v>2050</v>
      </c>
      <c r="X8" s="940" t="s">
        <v>1328</v>
      </c>
      <c r="Y8" s="940" t="s">
        <v>384</v>
      </c>
      <c r="Z8" s="939">
        <f t="shared" ref="Z8:AD8" si="1">Q8</f>
        <v>2020</v>
      </c>
      <c r="AA8" s="939">
        <f t="shared" si="1"/>
        <v>2025</v>
      </c>
      <c r="AB8" s="939">
        <f t="shared" si="1"/>
        <v>2030</v>
      </c>
      <c r="AC8" s="939">
        <f t="shared" si="1"/>
        <v>2035</v>
      </c>
      <c r="AD8" s="939">
        <f t="shared" si="1"/>
        <v>2040</v>
      </c>
      <c r="AE8" s="939">
        <f>V8</f>
        <v>2045</v>
      </c>
      <c r="AF8" s="939">
        <f>W8</f>
        <v>2050</v>
      </c>
    </row>
    <row r="9" spans="1:32" x14ac:dyDescent="0.25">
      <c r="A9" s="941" t="s">
        <v>573</v>
      </c>
      <c r="B9" s="941" t="s">
        <v>613</v>
      </c>
      <c r="C9" s="941" t="s">
        <v>555</v>
      </c>
      <c r="D9" s="941" t="s">
        <v>680</v>
      </c>
      <c r="E9" s="941"/>
      <c r="F9" s="941" t="s">
        <v>1389</v>
      </c>
      <c r="G9" s="941"/>
      <c r="H9" s="941" t="s">
        <v>680</v>
      </c>
      <c r="I9" s="941" t="str">
        <f>IF(A9="HGN",A9,RIGHT(H9,3))</f>
        <v>ICE</v>
      </c>
      <c r="J9" s="942" t="s">
        <v>1114</v>
      </c>
      <c r="K9" s="941" t="str">
        <f t="shared" ref="K9:K40" si="2">IF(B9="PAS","P","F")</f>
        <v>P</v>
      </c>
      <c r="L9" s="941" t="str">
        <f t="shared" ref="L9:L40" si="3">IF(K9="P",IF(OR(C9="CAR",C9="SUV",C9="MOT"),"PR","PU"),C9)</f>
        <v>PR</v>
      </c>
      <c r="M9" s="941" t="str">
        <f t="shared" ref="M9:M40" si="4">IF(K9="P",C9,"")</f>
        <v>CAR</v>
      </c>
      <c r="N9" s="941" t="str">
        <f t="shared" ref="N9:N40" si="5">J9&amp;K9&amp;L9&amp;M9&amp;A9&amp;"-N"</f>
        <v>TPPRCAROGS-N</v>
      </c>
      <c r="O9" s="941" t="str">
        <f t="shared" ref="O9:O40" si="6">J9&amp;K9&amp;L9&amp;M9&amp;A9&amp;"-E"</f>
        <v>TPPRCAROGS-E</v>
      </c>
      <c r="P9" s="954" t="s">
        <v>1439</v>
      </c>
      <c r="Q9" s="960" cm="1">
        <f t="array" ref="Q9">INDEX(IEACostData_passengervehs!$B$13:$Z$16,MATCH($H9,IEACostData_passengervehs!$A$13:$A$16,0),MATCH(1,(IEACostData_passengervehs!$B$12:$Z$12=Q$8)*(IEACostData_passengervehs!$B$5:$Z$5=$F9),0))</f>
        <v>226856.64691666662</v>
      </c>
      <c r="R9" s="960" cm="1">
        <f t="array" ref="R9">INDEX(IEACostData_passengervehs!$B$13:$Z$16,MATCH($H9,IEACostData_passengervehs!$A$13:$A$16,0),MATCH(1,(IEACostData_passengervehs!$B$12:$Z$12=R$8)*(IEACostData_passengervehs!$B$5:$Z$5=$F9),0))</f>
        <v>229324.26816666665</v>
      </c>
      <c r="S9" s="960" cm="1">
        <f t="array" ref="S9">INDEX(IEACostData_passengervehs!$B$13:$Z$16,MATCH($H9,IEACostData_passengervehs!$A$13:$A$16,0),MATCH(1,(IEACostData_passengervehs!$B$12:$Z$12=S$8)*(IEACostData_passengervehs!$B$5:$Z$5=$F9),0))</f>
        <v>231791.88941666664</v>
      </c>
      <c r="T9" s="961">
        <f>$Q9+($S9-$Q9)/($S$8-$Q$8)*(T$8-$Q$8)</f>
        <v>234259.51066666667</v>
      </c>
      <c r="U9" s="961">
        <f>$Q9+($S9-$Q9)/($S$8-$Q$8)*(U$8-$Q$8)</f>
        <v>236727.13191666667</v>
      </c>
      <c r="V9" s="961">
        <f>$Q9+($S9-$Q9)/($S$8-$Q$8)*(V$8-$Q$8)</f>
        <v>239194.75316666666</v>
      </c>
      <c r="W9" s="961">
        <f>$Q9+($S9-$Q9)/($S$8-$Q$8)*(W$8-$Q$8)</f>
        <v>241662.37441666669</v>
      </c>
      <c r="X9" s="951">
        <f>IEACostData_passengervehs!$B39</f>
        <v>2.6455026455026454E-2</v>
      </c>
      <c r="Y9" s="951" t="s">
        <v>1429</v>
      </c>
      <c r="Z9" s="960">
        <f t="shared" ref="Z9:AF9" si="7">Q9*$X9</f>
        <v>6001.4985956790106</v>
      </c>
      <c r="AA9" s="960">
        <f t="shared" si="7"/>
        <v>6066.7795811287469</v>
      </c>
      <c r="AB9" s="960">
        <f t="shared" si="7"/>
        <v>6132.0605665784824</v>
      </c>
      <c r="AC9" s="960">
        <f t="shared" si="7"/>
        <v>6197.3415520282188</v>
      </c>
      <c r="AD9" s="960">
        <f t="shared" si="7"/>
        <v>6262.6225374779542</v>
      </c>
      <c r="AE9" s="960">
        <f t="shared" si="7"/>
        <v>6327.9035229276888</v>
      </c>
      <c r="AF9" s="960">
        <f t="shared" si="7"/>
        <v>6393.1845083774251</v>
      </c>
    </row>
    <row r="10" spans="1:32" x14ac:dyDescent="0.25">
      <c r="A10" s="941" t="s">
        <v>506</v>
      </c>
      <c r="B10" s="941" t="s">
        <v>613</v>
      </c>
      <c r="C10" s="941" t="s">
        <v>555</v>
      </c>
      <c r="D10" s="941" t="s">
        <v>680</v>
      </c>
      <c r="E10" s="941" t="s">
        <v>681</v>
      </c>
      <c r="F10" s="941"/>
      <c r="G10" s="941"/>
      <c r="H10" s="941" t="s">
        <v>680</v>
      </c>
      <c r="I10" s="941" t="str">
        <f t="shared" ref="I10:I16" si="8">IF(A10="HGN",A10,RIGHT(H10,3))</f>
        <v>ICE</v>
      </c>
      <c r="J10" s="942" t="s">
        <v>1114</v>
      </c>
      <c r="K10" s="941" t="str">
        <f t="shared" si="2"/>
        <v>P</v>
      </c>
      <c r="L10" s="941" t="str">
        <f t="shared" si="3"/>
        <v>PR</v>
      </c>
      <c r="M10" s="941" t="str">
        <f t="shared" si="4"/>
        <v>CAR</v>
      </c>
      <c r="N10" s="941" t="str">
        <f t="shared" si="5"/>
        <v>TPPRCARBGS-N</v>
      </c>
      <c r="O10" s="941" t="str">
        <f t="shared" si="6"/>
        <v>TPPRCARBGS-E</v>
      </c>
      <c r="P10" s="964" t="s">
        <v>1444</v>
      </c>
      <c r="Q10" s="996">
        <f>Q9</f>
        <v>226856.64691666662</v>
      </c>
      <c r="R10" s="996">
        <f t="shared" ref="R10:W10" si="9">R9</f>
        <v>229324.26816666665</v>
      </c>
      <c r="S10" s="996">
        <f t="shared" si="9"/>
        <v>231791.88941666664</v>
      </c>
      <c r="T10" s="996">
        <f t="shared" si="9"/>
        <v>234259.51066666667</v>
      </c>
      <c r="U10" s="996">
        <f t="shared" si="9"/>
        <v>236727.13191666667</v>
      </c>
      <c r="V10" s="996">
        <f t="shared" si="9"/>
        <v>239194.75316666666</v>
      </c>
      <c r="W10" s="996">
        <f t="shared" si="9"/>
        <v>241662.37441666669</v>
      </c>
      <c r="X10" s="951">
        <v>2.7E-2</v>
      </c>
      <c r="Y10" s="951" t="s">
        <v>1434</v>
      </c>
      <c r="Z10" s="960">
        <f t="shared" ref="Z10:Z73" si="10">Q10*$X10</f>
        <v>6125.1294667499988</v>
      </c>
      <c r="AA10" s="960">
        <f t="shared" ref="AA10:AA73" si="11">R10*$X10</f>
        <v>6191.7552404999997</v>
      </c>
      <c r="AB10" s="960">
        <f t="shared" ref="AB10:AB73" si="12">S10*$X10</f>
        <v>6258.3810142499997</v>
      </c>
      <c r="AC10" s="960">
        <f t="shared" ref="AC10:AC73" si="13">T10*$X10</f>
        <v>6325.0067879999997</v>
      </c>
      <c r="AD10" s="960">
        <f t="shared" ref="AD10:AD73" si="14">U10*$X10</f>
        <v>6391.6325617499997</v>
      </c>
      <c r="AE10" s="960">
        <f t="shared" ref="AE10:AE73" si="15">V10*$X10</f>
        <v>6458.2583354999997</v>
      </c>
      <c r="AF10" s="960">
        <f t="shared" ref="AF10:AF73" si="16">W10*$X10</f>
        <v>6524.8841092500006</v>
      </c>
    </row>
    <row r="11" spans="1:32" x14ac:dyDescent="0.25">
      <c r="A11" s="941" t="s">
        <v>511</v>
      </c>
      <c r="B11" s="941" t="s">
        <v>613</v>
      </c>
      <c r="C11" s="941" t="s">
        <v>555</v>
      </c>
      <c r="D11" s="941" t="s">
        <v>680</v>
      </c>
      <c r="E11" s="941"/>
      <c r="F11" s="941" t="s">
        <v>1389</v>
      </c>
      <c r="G11" s="941"/>
      <c r="H11" s="941" t="s">
        <v>687</v>
      </c>
      <c r="I11" s="941" t="str">
        <f t="shared" si="8"/>
        <v>ICE</v>
      </c>
      <c r="J11" s="942" t="s">
        <v>1114</v>
      </c>
      <c r="K11" s="941" t="str">
        <f t="shared" si="2"/>
        <v>P</v>
      </c>
      <c r="L11" s="941" t="str">
        <f t="shared" si="3"/>
        <v>PR</v>
      </c>
      <c r="M11" s="941" t="str">
        <f t="shared" si="4"/>
        <v>CAR</v>
      </c>
      <c r="N11" s="941" t="str">
        <f t="shared" si="5"/>
        <v>TPPRCARODS-N</v>
      </c>
      <c r="O11" s="941" t="str">
        <f t="shared" si="6"/>
        <v>TPPRCARODS-E</v>
      </c>
      <c r="P11" s="954" t="s">
        <v>1439</v>
      </c>
      <c r="Q11" s="960" cm="1">
        <f t="array" ref="Q11">INDEX(IEACostData_passengervehs!$B$13:$Z$16,MATCH($H11,IEACostData_passengervehs!$A$13:$A$16,0),MATCH(1,(IEACostData_passengervehs!$B$12:$Z$12=Q$8)*(IEACostData_passengervehs!$B$5:$Z$5=$F11),0))</f>
        <v>250874.82708333331</v>
      </c>
      <c r="R11" s="960" cm="1">
        <f t="array" ref="R11">INDEX(IEACostData_passengervehs!$B$13:$Z$16,MATCH($H11,IEACostData_passengervehs!$A$13:$A$16,0),MATCH(1,(IEACostData_passengervehs!$B$12:$Z$12=R$8)*(IEACostData_passengervehs!$B$5:$Z$5=$F11),0))</f>
        <v>257043.88020833328</v>
      </c>
      <c r="S11" s="960" cm="1">
        <f t="array" ref="S11">INDEX(IEACostData_passengervehs!$B$13:$Z$16,MATCH($H11,IEACostData_passengervehs!$A$13:$A$16,0),MATCH(1,(IEACostData_passengervehs!$B$12:$Z$12=S$8)*(IEACostData_passengervehs!$B$5:$Z$5=$F11),0))</f>
        <v>263212.93333333329</v>
      </c>
      <c r="T11" s="961">
        <f t="shared" ref="T11:W11" si="17">$Q11+($S11-$Q11)/($S$8-$Q$8)*(T$8-$Q$8)</f>
        <v>269381.98645833327</v>
      </c>
      <c r="U11" s="961">
        <f t="shared" si="17"/>
        <v>275551.0395833333</v>
      </c>
      <c r="V11" s="961">
        <f t="shared" si="17"/>
        <v>281720.09270833328</v>
      </c>
      <c r="W11" s="961">
        <f t="shared" si="17"/>
        <v>287889.14583333326</v>
      </c>
      <c r="X11" s="951">
        <f>IEACostData_passengervehs!$B40</f>
        <v>2.9411764705882353E-2</v>
      </c>
      <c r="Y11" s="951" t="s">
        <v>1429</v>
      </c>
      <c r="Z11" s="960">
        <f t="shared" si="10"/>
        <v>7378.6713848039208</v>
      </c>
      <c r="AA11" s="960">
        <f t="shared" si="11"/>
        <v>7560.1141237745087</v>
      </c>
      <c r="AB11" s="960">
        <f t="shared" si="12"/>
        <v>7741.5568627450966</v>
      </c>
      <c r="AC11" s="960">
        <f t="shared" si="13"/>
        <v>7922.9996017156845</v>
      </c>
      <c r="AD11" s="960">
        <f t="shared" si="14"/>
        <v>8104.4423406862734</v>
      </c>
      <c r="AE11" s="960">
        <f t="shared" si="15"/>
        <v>8285.8850796568604</v>
      </c>
      <c r="AF11" s="960">
        <f t="shared" si="16"/>
        <v>8467.3278186274492</v>
      </c>
    </row>
    <row r="12" spans="1:32" x14ac:dyDescent="0.25">
      <c r="A12" s="941" t="s">
        <v>519</v>
      </c>
      <c r="B12" s="941" t="s">
        <v>613</v>
      </c>
      <c r="C12" s="941" t="s">
        <v>555</v>
      </c>
      <c r="D12" s="941" t="s">
        <v>680</v>
      </c>
      <c r="E12" s="941"/>
      <c r="F12" s="941" t="s">
        <v>1389</v>
      </c>
      <c r="G12" s="941"/>
      <c r="H12" s="941" t="s">
        <v>688</v>
      </c>
      <c r="I12" s="941" t="str">
        <f t="shared" si="8"/>
        <v>HEV</v>
      </c>
      <c r="J12" s="942" t="s">
        <v>1114</v>
      </c>
      <c r="K12" s="941" t="str">
        <f t="shared" si="2"/>
        <v>P</v>
      </c>
      <c r="L12" s="941" t="str">
        <f t="shared" si="3"/>
        <v>PR</v>
      </c>
      <c r="M12" s="941" t="str">
        <f t="shared" si="4"/>
        <v>CAR</v>
      </c>
      <c r="N12" s="941" t="str">
        <f t="shared" si="5"/>
        <v>TPPRCAROGSH-N</v>
      </c>
      <c r="O12" s="941" t="str">
        <f t="shared" si="6"/>
        <v>TPPRCAROGSH-E</v>
      </c>
      <c r="P12" s="954" t="s">
        <v>1439</v>
      </c>
      <c r="Q12" s="960" cm="1">
        <f t="array" ref="Q12">INDEX(IEACostData_passengervehs!$B$13:$Z$16,MATCH($H12,IEACostData_passengervehs!$A$13:$A$16,0),MATCH(1,(IEACostData_passengervehs!$B$12:$Z$12=Q$8)*(IEACostData_passengervehs!$B$5:$Z$5=$F12),0))</f>
        <v>310426.75324999995</v>
      </c>
      <c r="R12" s="962">
        <f t="shared" ref="R12:S12" si="18">$Q12*R$3</f>
        <v>286411.01314065541</v>
      </c>
      <c r="S12" s="962">
        <f t="shared" si="18"/>
        <v>269874.58051128784</v>
      </c>
      <c r="T12" s="962">
        <f>$Q12*T$3</f>
        <v>270315.55204807129</v>
      </c>
      <c r="U12" s="962">
        <f>$Q12*U$3</f>
        <v>270756.52358485444</v>
      </c>
      <c r="V12" s="962">
        <f>$Q12*V$3</f>
        <v>271197.49512163759</v>
      </c>
      <c r="W12" s="962">
        <f>$Q12*W$3</f>
        <v>271638.46665842074</v>
      </c>
      <c r="X12" s="951">
        <f>IEACostData_passengervehs!$B41</f>
        <v>2.0242914979757085E-2</v>
      </c>
      <c r="Y12" s="951" t="s">
        <v>1429</v>
      </c>
      <c r="Z12" s="960">
        <f t="shared" si="10"/>
        <v>6283.9423734817801</v>
      </c>
      <c r="AA12" s="960">
        <f t="shared" si="11"/>
        <v>5797.7937882723772</v>
      </c>
      <c r="AB12" s="960">
        <f t="shared" si="12"/>
        <v>5463.0481884876081</v>
      </c>
      <c r="AC12" s="960">
        <f t="shared" si="13"/>
        <v>5471.9747378152088</v>
      </c>
      <c r="AD12" s="960">
        <f t="shared" si="14"/>
        <v>5480.9012871428022</v>
      </c>
      <c r="AE12" s="960">
        <f t="shared" si="15"/>
        <v>5489.8278364703965</v>
      </c>
      <c r="AF12" s="960">
        <f t="shared" si="16"/>
        <v>5498.7543857979908</v>
      </c>
    </row>
    <row r="13" spans="1:32" x14ac:dyDescent="0.25">
      <c r="A13" s="941" t="s">
        <v>521</v>
      </c>
      <c r="B13" s="941" t="s">
        <v>613</v>
      </c>
      <c r="C13" s="941" t="s">
        <v>555</v>
      </c>
      <c r="D13" s="941" t="s">
        <v>680</v>
      </c>
      <c r="E13" s="941" t="s">
        <v>681</v>
      </c>
      <c r="F13" s="941"/>
      <c r="G13" s="941"/>
      <c r="H13" s="941" t="s">
        <v>689</v>
      </c>
      <c r="I13" s="941" t="str">
        <f t="shared" si="8"/>
        <v>HEV</v>
      </c>
      <c r="J13" s="942" t="s">
        <v>1114</v>
      </c>
      <c r="K13" s="941" t="str">
        <f t="shared" si="2"/>
        <v>P</v>
      </c>
      <c r="L13" s="941" t="str">
        <f t="shared" si="3"/>
        <v>PR</v>
      </c>
      <c r="M13" s="941" t="str">
        <f t="shared" si="4"/>
        <v>CAR</v>
      </c>
      <c r="N13" s="941" t="str">
        <f t="shared" si="5"/>
        <v>TPPRCARODSH-N</v>
      </c>
      <c r="O13" s="941" t="str">
        <f t="shared" si="6"/>
        <v>TPPRCARODSH-E</v>
      </c>
      <c r="P13" s="964" t="s">
        <v>1452</v>
      </c>
      <c r="Q13" s="996">
        <f>Q$12*AEA2012_ZAR2022!T9/AEA2012_ZAR2022!T$8</f>
        <v>319933.04964208999</v>
      </c>
      <c r="R13" s="996">
        <f>R$9*AEA2012_ZAR2022!U9</f>
        <v>248997.06162269038</v>
      </c>
      <c r="S13" s="996">
        <f>S$9*AEA2012_ZAR2022!V9</f>
        <v>245556.73836026399</v>
      </c>
      <c r="T13" s="996">
        <f>T$9*AEA2012_ZAR2022!W9</f>
        <v>245972.54513507982</v>
      </c>
      <c r="U13" s="996">
        <f>U$9*AEA2012_ZAR2022!X9</f>
        <v>246389.68020301769</v>
      </c>
      <c r="V13" s="996">
        <f>V$9*AEA2012_ZAR2022!Y9</f>
        <v>247573.86776099299</v>
      </c>
      <c r="W13" s="996">
        <f>W$9*AEA2012_ZAR2022!Z9</f>
        <v>248746.76486872451</v>
      </c>
      <c r="X13" s="951">
        <v>2.7E-2</v>
      </c>
      <c r="Y13" s="951" t="s">
        <v>1434</v>
      </c>
      <c r="Z13" s="960">
        <f t="shared" si="10"/>
        <v>8638.192340336429</v>
      </c>
      <c r="AA13" s="960">
        <f t="shared" si="11"/>
        <v>6722.9206638126398</v>
      </c>
      <c r="AB13" s="960">
        <f t="shared" si="12"/>
        <v>6630.0319357271273</v>
      </c>
      <c r="AC13" s="960">
        <f t="shared" si="13"/>
        <v>6641.2587186471555</v>
      </c>
      <c r="AD13" s="960">
        <f t="shared" si="14"/>
        <v>6652.5213654814779</v>
      </c>
      <c r="AE13" s="960">
        <f t="shared" si="15"/>
        <v>6684.4944295468104</v>
      </c>
      <c r="AF13" s="960">
        <f t="shared" si="16"/>
        <v>6716.1626514555619</v>
      </c>
    </row>
    <row r="14" spans="1:32" x14ac:dyDescent="0.25">
      <c r="A14" s="941" t="s">
        <v>690</v>
      </c>
      <c r="B14" s="941" t="s">
        <v>613</v>
      </c>
      <c r="C14" s="941" t="s">
        <v>555</v>
      </c>
      <c r="D14" s="941" t="s">
        <v>680</v>
      </c>
      <c r="E14" s="941" t="s">
        <v>681</v>
      </c>
      <c r="F14" s="941"/>
      <c r="G14" s="941"/>
      <c r="H14" s="941" t="s">
        <v>691</v>
      </c>
      <c r="I14" s="941" t="str">
        <f t="shared" si="8"/>
        <v>HEV</v>
      </c>
      <c r="J14" s="942" t="s">
        <v>1114</v>
      </c>
      <c r="K14" s="941" t="str">
        <f t="shared" si="2"/>
        <v>P</v>
      </c>
      <c r="L14" s="941" t="str">
        <f t="shared" si="3"/>
        <v>PR</v>
      </c>
      <c r="M14" s="941" t="str">
        <f t="shared" si="4"/>
        <v>CAR</v>
      </c>
      <c r="N14" s="941" t="str">
        <f t="shared" si="5"/>
        <v>TPPRCAROGSP-N</v>
      </c>
      <c r="O14" s="941" t="str">
        <f t="shared" si="6"/>
        <v>TPPRCAROGSP-E</v>
      </c>
      <c r="P14" s="964" t="s">
        <v>1452</v>
      </c>
      <c r="Q14" s="996">
        <f>Q$12*AEA2012_ZAR2022!T10/AEA2012_ZAR2022!T$8</f>
        <v>354179.47076705156</v>
      </c>
      <c r="R14" s="996">
        <f>R$9*AEA2012_ZAR2022!U10</f>
        <v>269241.04236666154</v>
      </c>
      <c r="S14" s="996">
        <f>S$9*AEA2012_ZAR2022!V10</f>
        <v>259098.62191178411</v>
      </c>
      <c r="T14" s="996">
        <f>T$9*AEA2012_ZAR2022!W10</f>
        <v>258161.75654131913</v>
      </c>
      <c r="U14" s="996">
        <f>U$9*AEA2012_ZAR2022!X10</f>
        <v>257227.12388573951</v>
      </c>
      <c r="V14" s="996">
        <f>V$9*AEA2012_ZAR2022!Y10</f>
        <v>257298.76252364635</v>
      </c>
      <c r="W14" s="996">
        <f>W$9*AEA2012_ZAR2022!Z10</f>
        <v>257349.11425751221</v>
      </c>
      <c r="X14" s="951">
        <v>2.7E-2</v>
      </c>
      <c r="Y14" s="951" t="s">
        <v>1434</v>
      </c>
      <c r="Z14" s="960">
        <f t="shared" si="10"/>
        <v>9562.8457107103914</v>
      </c>
      <c r="AA14" s="960">
        <f t="shared" si="11"/>
        <v>7269.5081438998614</v>
      </c>
      <c r="AB14" s="960">
        <f t="shared" si="12"/>
        <v>6995.6627916181706</v>
      </c>
      <c r="AC14" s="960">
        <f t="shared" si="13"/>
        <v>6970.3674266156168</v>
      </c>
      <c r="AD14" s="960">
        <f t="shared" si="14"/>
        <v>6945.1323449149668</v>
      </c>
      <c r="AE14" s="960">
        <f t="shared" si="15"/>
        <v>6947.0665881384512</v>
      </c>
      <c r="AF14" s="960">
        <f t="shared" si="16"/>
        <v>6948.4260849528291</v>
      </c>
    </row>
    <row r="15" spans="1:32" x14ac:dyDescent="0.25">
      <c r="A15" s="941" t="s">
        <v>694</v>
      </c>
      <c r="B15" s="941" t="s">
        <v>613</v>
      </c>
      <c r="C15" s="941" t="s">
        <v>555</v>
      </c>
      <c r="D15" s="941" t="s">
        <v>680</v>
      </c>
      <c r="E15" s="941" t="s">
        <v>681</v>
      </c>
      <c r="F15" s="941"/>
      <c r="G15" s="941"/>
      <c r="H15" s="941" t="s">
        <v>695</v>
      </c>
      <c r="I15" s="941" t="str">
        <f t="shared" si="8"/>
        <v>HEV</v>
      </c>
      <c r="J15" s="942" t="s">
        <v>1114</v>
      </c>
      <c r="K15" s="941" t="str">
        <f t="shared" si="2"/>
        <v>P</v>
      </c>
      <c r="L15" s="941" t="str">
        <f t="shared" si="3"/>
        <v>PR</v>
      </c>
      <c r="M15" s="941" t="str">
        <f t="shared" si="4"/>
        <v>CAR</v>
      </c>
      <c r="N15" s="941" t="str">
        <f t="shared" si="5"/>
        <v>TPPRCARODSP-N</v>
      </c>
      <c r="O15" s="941" t="str">
        <f t="shared" si="6"/>
        <v>TPPRCARODSP-E</v>
      </c>
      <c r="P15" s="964" t="s">
        <v>1452</v>
      </c>
      <c r="Q15" s="996">
        <f>Q$12*AEA2012_ZAR2022!T11/AEA2012_ZAR2022!T$8</f>
        <v>364702.00211277057</v>
      </c>
      <c r="R15" s="996">
        <f>R$9*AEA2012_ZAR2022!U11</f>
        <v>277411.7016291974</v>
      </c>
      <c r="S15" s="996">
        <f>S$9*AEA2012_ZAR2022!V11</f>
        <v>267137.54875602038</v>
      </c>
      <c r="T15" s="996">
        <f>T$9*AEA2012_ZAR2022!W11</f>
        <v>266319.12889169506</v>
      </c>
      <c r="U15" s="996">
        <f>U$9*AEA2012_ZAR2022!X11</f>
        <v>265502.92188491637</v>
      </c>
      <c r="V15" s="996">
        <f>V$9*AEA2012_ZAR2022!Y11</f>
        <v>265644.56558612984</v>
      </c>
      <c r="W15" s="996">
        <f>W$9*AEA2012_ZAR2022!Z11</f>
        <v>265764.78974294738</v>
      </c>
      <c r="X15" s="951">
        <v>2.7E-2</v>
      </c>
      <c r="Y15" s="951" t="s">
        <v>1434</v>
      </c>
      <c r="Z15" s="960">
        <f t="shared" si="10"/>
        <v>9846.9540570448044</v>
      </c>
      <c r="AA15" s="960">
        <f t="shared" si="11"/>
        <v>7490.1159439883295</v>
      </c>
      <c r="AB15" s="960">
        <f t="shared" si="12"/>
        <v>7212.7138164125499</v>
      </c>
      <c r="AC15" s="960">
        <f t="shared" si="13"/>
        <v>7190.616480075766</v>
      </c>
      <c r="AD15" s="960">
        <f t="shared" si="14"/>
        <v>7168.5788908927416</v>
      </c>
      <c r="AE15" s="960">
        <f t="shared" si="15"/>
        <v>7172.4032708255054</v>
      </c>
      <c r="AF15" s="960">
        <f t="shared" si="16"/>
        <v>7175.6493230595788</v>
      </c>
    </row>
    <row r="16" spans="1:32" x14ac:dyDescent="0.25">
      <c r="A16" s="941" t="s">
        <v>501</v>
      </c>
      <c r="B16" s="941" t="s">
        <v>613</v>
      </c>
      <c r="C16" s="941" t="s">
        <v>555</v>
      </c>
      <c r="D16" s="941" t="s">
        <v>680</v>
      </c>
      <c r="E16" s="941"/>
      <c r="F16" s="941" t="s">
        <v>1389</v>
      </c>
      <c r="G16" s="941"/>
      <c r="H16" s="941" t="s">
        <v>692</v>
      </c>
      <c r="I16" s="941" t="str">
        <f t="shared" si="8"/>
        <v>BEV</v>
      </c>
      <c r="J16" s="942" t="s">
        <v>1114</v>
      </c>
      <c r="K16" s="941" t="str">
        <f t="shared" si="2"/>
        <v>P</v>
      </c>
      <c r="L16" s="941" t="str">
        <f t="shared" si="3"/>
        <v>PR</v>
      </c>
      <c r="M16" s="941" t="str">
        <f t="shared" si="4"/>
        <v>CAR</v>
      </c>
      <c r="N16" s="941" t="str">
        <f t="shared" si="5"/>
        <v>TPPRCARELC-N</v>
      </c>
      <c r="O16" s="941" t="str">
        <f t="shared" si="6"/>
        <v>TPPRCARELC-E</v>
      </c>
      <c r="P16" s="964" t="s">
        <v>1452</v>
      </c>
      <c r="Q16" s="996">
        <f>+Q9*AEA2012_ZAR2022!T14</f>
        <v>365374.87552089215</v>
      </c>
      <c r="R16" s="962">
        <f t="shared" ref="R16:S16" si="19">$Q16*R$4</f>
        <v>323903.33842742705</v>
      </c>
      <c r="S16" s="962">
        <f t="shared" si="19"/>
        <v>282431.80133396189</v>
      </c>
      <c r="T16" s="962">
        <f>$Q16*T$4</f>
        <v>274350.16846446536</v>
      </c>
      <c r="U16" s="962">
        <f>$Q16*U$4</f>
        <v>266268.53559496935</v>
      </c>
      <c r="V16" s="962">
        <f>$Q16*V$4</f>
        <v>258186.90272547342</v>
      </c>
      <c r="W16" s="962">
        <f>$Q16*W$4</f>
        <v>250105.26985597747</v>
      </c>
      <c r="X16" s="951">
        <f>IEACostData_passengervehs!$B42</f>
        <v>1.984126984126984E-2</v>
      </c>
      <c r="Y16" s="951" t="s">
        <v>1429</v>
      </c>
      <c r="Z16" s="960">
        <f t="shared" si="10"/>
        <v>7249.5014984303998</v>
      </c>
      <c r="AA16" s="960">
        <f t="shared" si="11"/>
        <v>6426.6535402267273</v>
      </c>
      <c r="AB16" s="960">
        <f t="shared" si="12"/>
        <v>5603.8055820230529</v>
      </c>
      <c r="AC16" s="960">
        <f t="shared" si="13"/>
        <v>5443.4557235012962</v>
      </c>
      <c r="AD16" s="960">
        <f t="shared" si="14"/>
        <v>5283.1058649795505</v>
      </c>
      <c r="AE16" s="960">
        <f t="shared" si="15"/>
        <v>5122.7560064578056</v>
      </c>
      <c r="AF16" s="960">
        <f t="shared" si="16"/>
        <v>4962.4061479360607</v>
      </c>
    </row>
    <row r="17" spans="1:32" x14ac:dyDescent="0.25">
      <c r="A17" s="941" t="s">
        <v>1320</v>
      </c>
      <c r="B17" s="941" t="s">
        <v>613</v>
      </c>
      <c r="C17" s="941" t="s">
        <v>555</v>
      </c>
      <c r="D17" s="941" t="s">
        <v>680</v>
      </c>
      <c r="E17" s="941"/>
      <c r="F17" s="941"/>
      <c r="G17" s="941" t="s">
        <v>697</v>
      </c>
      <c r="H17" s="941" t="s">
        <v>699</v>
      </c>
      <c r="I17" s="941" t="str">
        <f>IF(A17="HGNF",A17,RIGHT(H17,3))</f>
        <v>HGNF</v>
      </c>
      <c r="J17" s="942" t="s">
        <v>1114</v>
      </c>
      <c r="K17" s="941" t="str">
        <f t="shared" si="2"/>
        <v>P</v>
      </c>
      <c r="L17" s="941" t="str">
        <f t="shared" si="3"/>
        <v>PR</v>
      </c>
      <c r="M17" s="941" t="str">
        <f t="shared" si="4"/>
        <v>CAR</v>
      </c>
      <c r="N17" s="941" t="str">
        <f t="shared" si="5"/>
        <v>TPPRCARHGNF-N</v>
      </c>
      <c r="O17" s="941" t="str">
        <f t="shared" si="6"/>
        <v>TPPRCARHGNF-E</v>
      </c>
      <c r="P17" s="953" t="s">
        <v>1432</v>
      </c>
      <c r="Q17" s="963">
        <f>_xlfn.FORECAST.LINEAR(Q8,R17:T17,R8:T8)</f>
        <v>457580.83356939629</v>
      </c>
      <c r="R17" s="960">
        <f>NREL_LCVs!Q15</f>
        <v>423729.89290144888</v>
      </c>
      <c r="S17" s="960">
        <f>NREL_LCVs!R15</f>
        <v>388086.65635265608</v>
      </c>
      <c r="T17" s="960">
        <f>NREL_LCVs!S15</f>
        <v>355131.86362513277</v>
      </c>
      <c r="U17" s="960">
        <f>NREL_LCVs!T15</f>
        <v>342292.31434550683</v>
      </c>
      <c r="V17" s="960">
        <f>NREL_LCVs!U15</f>
        <v>330667.12332752673</v>
      </c>
      <c r="W17" s="960">
        <f>NREL_LCVs!V15</f>
        <v>342077.66876375925</v>
      </c>
      <c r="X17" s="951">
        <v>2.7E-2</v>
      </c>
      <c r="Y17" s="951" t="s">
        <v>1434</v>
      </c>
      <c r="Z17" s="960">
        <f t="shared" si="10"/>
        <v>12354.6825063737</v>
      </c>
      <c r="AA17" s="960">
        <f t="shared" si="11"/>
        <v>11440.70710833912</v>
      </c>
      <c r="AB17" s="960">
        <f t="shared" si="12"/>
        <v>10478.339721521714</v>
      </c>
      <c r="AC17" s="960">
        <f t="shared" si="13"/>
        <v>9588.5603178785841</v>
      </c>
      <c r="AD17" s="960">
        <f t="shared" si="14"/>
        <v>9241.8924873286851</v>
      </c>
      <c r="AE17" s="960">
        <f t="shared" si="15"/>
        <v>8928.0123298432209</v>
      </c>
      <c r="AF17" s="960">
        <f t="shared" si="16"/>
        <v>9236.0970566215001</v>
      </c>
    </row>
    <row r="18" spans="1:32" x14ac:dyDescent="0.25">
      <c r="A18" s="941" t="s">
        <v>509</v>
      </c>
      <c r="B18" s="941" t="s">
        <v>613</v>
      </c>
      <c r="C18" s="941" t="s">
        <v>555</v>
      </c>
      <c r="D18" s="941" t="s">
        <v>680</v>
      </c>
      <c r="E18" s="941"/>
      <c r="F18" s="941"/>
      <c r="G18" s="941" t="s">
        <v>697</v>
      </c>
      <c r="H18" s="941" t="s">
        <v>700</v>
      </c>
      <c r="I18" s="941" t="str">
        <f t="shared" ref="I18:I24" si="20">IF(A18="HGN",A18,RIGHT(H18,3))</f>
        <v>ICE</v>
      </c>
      <c r="J18" s="942" t="s">
        <v>1114</v>
      </c>
      <c r="K18" s="941" t="str">
        <f t="shared" si="2"/>
        <v>P</v>
      </c>
      <c r="L18" s="941" t="str">
        <f t="shared" si="3"/>
        <v>PR</v>
      </c>
      <c r="M18" s="941" t="str">
        <f t="shared" si="4"/>
        <v>CAR</v>
      </c>
      <c r="N18" s="941" t="str">
        <f t="shared" si="5"/>
        <v>TPPRCARGAS-N</v>
      </c>
      <c r="O18" s="941" t="str">
        <f t="shared" si="6"/>
        <v>TPPRCARGAS-E</v>
      </c>
      <c r="P18" s="953" t="s">
        <v>1432</v>
      </c>
      <c r="Q18" s="960">
        <f>NREL_LCVs!P13</f>
        <v>436209.83759539097</v>
      </c>
      <c r="R18" s="960">
        <f>NREL_LCVs!Q13</f>
        <v>436941.14645643724</v>
      </c>
      <c r="S18" s="963">
        <f>_xlfn.FORECAST.LINEAR(S$8,$Q18:$R18,$Q$8:$R$8)</f>
        <v>437672.45531748352</v>
      </c>
      <c r="T18" s="963">
        <f t="shared" ref="T18:W18" si="21">_xlfn.FORECAST.LINEAR(T$8,$Q18:$R18,$Q$8:$R$8)</f>
        <v>438403.76417852979</v>
      </c>
      <c r="U18" s="963">
        <f t="shared" si="21"/>
        <v>439135.07303957606</v>
      </c>
      <c r="V18" s="963">
        <f t="shared" si="21"/>
        <v>439866.38190062233</v>
      </c>
      <c r="W18" s="963">
        <f t="shared" si="21"/>
        <v>440597.69076166861</v>
      </c>
      <c r="X18" s="951">
        <v>2.7E-2</v>
      </c>
      <c r="Y18" s="951" t="s">
        <v>1434</v>
      </c>
      <c r="Z18" s="960">
        <f t="shared" si="10"/>
        <v>11777.665615075555</v>
      </c>
      <c r="AA18" s="960">
        <f t="shared" si="11"/>
        <v>11797.410954323805</v>
      </c>
      <c r="AB18" s="960">
        <f t="shared" si="12"/>
        <v>11817.156293572054</v>
      </c>
      <c r="AC18" s="960">
        <f t="shared" si="13"/>
        <v>11836.901632820303</v>
      </c>
      <c r="AD18" s="960">
        <f t="shared" si="14"/>
        <v>11856.646972068553</v>
      </c>
      <c r="AE18" s="960">
        <f t="shared" si="15"/>
        <v>11876.392311316802</v>
      </c>
      <c r="AF18" s="960">
        <f t="shared" si="16"/>
        <v>11896.137650565051</v>
      </c>
    </row>
    <row r="19" spans="1:32" x14ac:dyDescent="0.25">
      <c r="A19" s="941" t="s">
        <v>573</v>
      </c>
      <c r="B19" s="941" t="s">
        <v>613</v>
      </c>
      <c r="C19" s="941" t="s">
        <v>460</v>
      </c>
      <c r="D19" s="941" t="s">
        <v>680</v>
      </c>
      <c r="E19" s="941"/>
      <c r="F19" s="941" t="s">
        <v>460</v>
      </c>
      <c r="G19" s="941"/>
      <c r="H19" s="941" t="s">
        <v>680</v>
      </c>
      <c r="I19" s="941" t="str">
        <f t="shared" si="20"/>
        <v>ICE</v>
      </c>
      <c r="J19" s="942" t="s">
        <v>1114</v>
      </c>
      <c r="K19" s="941" t="str">
        <f t="shared" si="2"/>
        <v>P</v>
      </c>
      <c r="L19" s="941" t="str">
        <f t="shared" si="3"/>
        <v>PR</v>
      </c>
      <c r="M19" s="941" t="str">
        <f t="shared" si="4"/>
        <v>SUV</v>
      </c>
      <c r="N19" s="941" t="str">
        <f t="shared" si="5"/>
        <v>TPPRSUVOGS-N</v>
      </c>
      <c r="O19" s="941" t="str">
        <f t="shared" si="6"/>
        <v>TPPRSUVOGS-E</v>
      </c>
      <c r="P19" s="954" t="s">
        <v>1439</v>
      </c>
      <c r="Q19" s="960" cm="1">
        <f t="array" ref="Q19">INDEX(IEACostData_passengervehs!$B$13:$Z$16,MATCH($H19,IEACostData_passengervehs!$A$13:$A$16,0),MATCH(1,(IEACostData_passengervehs!$B$12:$Z$12=Q$8)*(IEACostData_passengervehs!$B$5:$Z$5=$F19),0))</f>
        <v>419495.61249999993</v>
      </c>
      <c r="R19" s="960" cm="1">
        <f t="array" ref="R19">INDEX(IEACostData_passengervehs!$B$13:$Z$16,MATCH($H19,IEACostData_passengervehs!$A$13:$A$16,0),MATCH(1,(IEACostData_passengervehs!$B$12:$Z$12=R$8)*(IEACostData_passengervehs!$B$5:$Z$5=$F19),0))</f>
        <v>423608.31458333327</v>
      </c>
      <c r="S19" s="960" cm="1">
        <f t="array" ref="S19">INDEX(IEACostData_passengervehs!$B$13:$Z$16,MATCH($H19,IEACostData_passengervehs!$A$13:$A$16,0),MATCH(1,(IEACostData_passengervehs!$B$12:$Z$12=S$8)*(IEACostData_passengervehs!$B$5:$Z$5=$F19),0))</f>
        <v>427721.0166666666</v>
      </c>
      <c r="T19" s="963">
        <f t="shared" ref="T19:W19" si="22">$Q19+($S19-$Q19)/($S$8-$Q$8)*(T$8-$Q$8)</f>
        <v>431833.71874999994</v>
      </c>
      <c r="U19" s="963">
        <f t="shared" si="22"/>
        <v>435946.42083333328</v>
      </c>
      <c r="V19" s="963">
        <f t="shared" si="22"/>
        <v>440059.12291666662</v>
      </c>
      <c r="W19" s="963">
        <f t="shared" si="22"/>
        <v>444171.82499999995</v>
      </c>
      <c r="X19" s="951">
        <f>IEACostData_passengervehs!F39</f>
        <v>9.765625E-3</v>
      </c>
      <c r="Y19" s="951" t="s">
        <v>1429</v>
      </c>
      <c r="Z19" s="960">
        <f t="shared" si="10"/>
        <v>4096.6368408203116</v>
      </c>
      <c r="AA19" s="960">
        <f t="shared" si="11"/>
        <v>4136.7999471028643</v>
      </c>
      <c r="AB19" s="960">
        <f t="shared" si="12"/>
        <v>4176.9630533854161</v>
      </c>
      <c r="AC19" s="960">
        <f t="shared" si="13"/>
        <v>4217.1261596679678</v>
      </c>
      <c r="AD19" s="960">
        <f t="shared" si="14"/>
        <v>4257.2892659505205</v>
      </c>
      <c r="AE19" s="960">
        <f t="shared" si="15"/>
        <v>4297.4523722330723</v>
      </c>
      <c r="AF19" s="960">
        <f t="shared" si="16"/>
        <v>4337.615478515625</v>
      </c>
    </row>
    <row r="20" spans="1:32" x14ac:dyDescent="0.25">
      <c r="A20" s="941" t="s">
        <v>519</v>
      </c>
      <c r="B20" s="941" t="s">
        <v>613</v>
      </c>
      <c r="C20" s="941" t="s">
        <v>460</v>
      </c>
      <c r="D20" s="941" t="s">
        <v>680</v>
      </c>
      <c r="E20" s="941"/>
      <c r="F20" s="941" t="s">
        <v>460</v>
      </c>
      <c r="G20" s="941"/>
      <c r="H20" s="941" t="s">
        <v>688</v>
      </c>
      <c r="I20" s="941" t="str">
        <f t="shared" si="20"/>
        <v>HEV</v>
      </c>
      <c r="J20" s="942" t="s">
        <v>1114</v>
      </c>
      <c r="K20" s="941" t="str">
        <f t="shared" si="2"/>
        <v>P</v>
      </c>
      <c r="L20" s="941" t="str">
        <f t="shared" si="3"/>
        <v>PR</v>
      </c>
      <c r="M20" s="941" t="str">
        <f t="shared" si="4"/>
        <v>SUV</v>
      </c>
      <c r="N20" s="941" t="str">
        <f t="shared" si="5"/>
        <v>TPPRSUVOGSH-N</v>
      </c>
      <c r="O20" s="941" t="str">
        <f t="shared" si="6"/>
        <v>TPPRSUVOGSH-E</v>
      </c>
      <c r="P20" s="954" t="s">
        <v>1439</v>
      </c>
      <c r="Q20" s="960" cm="1">
        <f t="array" ref="Q20">INDEX(IEACostData_passengervehs!$B$13:$Z$16,MATCH($H20,IEACostData_passengervehs!$A$13:$A$16,0),MATCH(1,(IEACostData_passengervehs!$B$12:$Z$12=Q$8)*(IEACostData_passengervehs!$B$5:$Z$5=$F20),0))</f>
        <v>523464.7211666666</v>
      </c>
      <c r="R20" s="962">
        <f t="shared" ref="R20:S20" si="23">$Q20*R$3</f>
        <v>482967.59078620322</v>
      </c>
      <c r="S20" s="962">
        <f t="shared" si="23"/>
        <v>455082.62596021092</v>
      </c>
      <c r="T20" s="962">
        <f>$Q20*T$3</f>
        <v>455826.22502223792</v>
      </c>
      <c r="U20" s="962">
        <f>$Q20*U$3</f>
        <v>456569.8240842644</v>
      </c>
      <c r="V20" s="962">
        <f>$Q20*V$3</f>
        <v>457313.42314629088</v>
      </c>
      <c r="W20" s="962">
        <f>$Q20*W$3</f>
        <v>458057.02220831736</v>
      </c>
      <c r="X20" s="951">
        <f>IEACostData_passengervehs!F41</f>
        <v>8.0128205128205121E-3</v>
      </c>
      <c r="Y20" s="951" t="s">
        <v>1429</v>
      </c>
      <c r="Z20" s="960">
        <f t="shared" si="10"/>
        <v>4194.4288555021358</v>
      </c>
      <c r="AA20" s="960">
        <f t="shared" si="11"/>
        <v>3869.9326184791921</v>
      </c>
      <c r="AB20" s="960">
        <f t="shared" si="12"/>
        <v>3646.4954003222024</v>
      </c>
      <c r="AC20" s="960">
        <f t="shared" si="13"/>
        <v>3652.4537261397268</v>
      </c>
      <c r="AD20" s="960">
        <f t="shared" si="14"/>
        <v>3658.4120519572466</v>
      </c>
      <c r="AE20" s="960">
        <f t="shared" si="15"/>
        <v>3664.3703777747664</v>
      </c>
      <c r="AF20" s="960">
        <f t="shared" si="16"/>
        <v>3670.3287035922863</v>
      </c>
    </row>
    <row r="21" spans="1:32" x14ac:dyDescent="0.25">
      <c r="A21" s="941" t="s">
        <v>506</v>
      </c>
      <c r="B21" s="941" t="s">
        <v>613</v>
      </c>
      <c r="C21" s="941" t="s">
        <v>460</v>
      </c>
      <c r="D21" s="941" t="s">
        <v>680</v>
      </c>
      <c r="E21" s="941" t="s">
        <v>701</v>
      </c>
      <c r="F21" s="941"/>
      <c r="G21" s="941"/>
      <c r="H21" s="941" t="s">
        <v>680</v>
      </c>
      <c r="I21" s="941" t="str">
        <f t="shared" si="20"/>
        <v>ICE</v>
      </c>
      <c r="J21" s="942" t="s">
        <v>1114</v>
      </c>
      <c r="K21" s="941" t="str">
        <f t="shared" si="2"/>
        <v>P</v>
      </c>
      <c r="L21" s="941" t="str">
        <f t="shared" si="3"/>
        <v>PR</v>
      </c>
      <c r="M21" s="941" t="str">
        <f t="shared" si="4"/>
        <v>SUV</v>
      </c>
      <c r="N21" s="941" t="str">
        <f t="shared" si="5"/>
        <v>TPPRSUVBGS-N</v>
      </c>
      <c r="O21" s="941" t="str">
        <f t="shared" si="6"/>
        <v>TPPRSUVBGS-E</v>
      </c>
      <c r="P21" s="964" t="s">
        <v>1444</v>
      </c>
      <c r="Q21" s="996">
        <f>Q20</f>
        <v>523464.7211666666</v>
      </c>
      <c r="R21" s="996">
        <f t="shared" ref="R21" si="24">R20</f>
        <v>482967.59078620322</v>
      </c>
      <c r="S21" s="996">
        <f t="shared" ref="S21" si="25">S20</f>
        <v>455082.62596021092</v>
      </c>
      <c r="T21" s="996">
        <f t="shared" ref="T21" si="26">T20</f>
        <v>455826.22502223792</v>
      </c>
      <c r="U21" s="996">
        <f t="shared" ref="U21" si="27">U20</f>
        <v>456569.8240842644</v>
      </c>
      <c r="V21" s="996">
        <f t="shared" ref="V21" si="28">V20</f>
        <v>457313.42314629088</v>
      </c>
      <c r="W21" s="996">
        <f t="shared" ref="W21" si="29">W20</f>
        <v>458057.02220831736</v>
      </c>
      <c r="X21" s="951">
        <v>2.7E-2</v>
      </c>
      <c r="Y21" s="951" t="s">
        <v>1434</v>
      </c>
      <c r="Z21" s="960">
        <f t="shared" si="10"/>
        <v>14133.547471499998</v>
      </c>
      <c r="AA21" s="960">
        <f t="shared" si="11"/>
        <v>13040.124951227486</v>
      </c>
      <c r="AB21" s="960">
        <f t="shared" si="12"/>
        <v>12287.230900925695</v>
      </c>
      <c r="AC21" s="960">
        <f t="shared" si="13"/>
        <v>12307.308075600424</v>
      </c>
      <c r="AD21" s="960">
        <f t="shared" si="14"/>
        <v>12327.385250275138</v>
      </c>
      <c r="AE21" s="960">
        <f t="shared" si="15"/>
        <v>12347.462424949854</v>
      </c>
      <c r="AF21" s="960">
        <f t="shared" si="16"/>
        <v>12367.539599624568</v>
      </c>
    </row>
    <row r="22" spans="1:32" x14ac:dyDescent="0.25">
      <c r="A22" s="941" t="s">
        <v>511</v>
      </c>
      <c r="B22" s="941" t="s">
        <v>613</v>
      </c>
      <c r="C22" s="941" t="s">
        <v>460</v>
      </c>
      <c r="D22" s="941" t="s">
        <v>680</v>
      </c>
      <c r="E22" s="941"/>
      <c r="F22" s="941" t="s">
        <v>460</v>
      </c>
      <c r="G22" s="941"/>
      <c r="H22" s="941" t="s">
        <v>687</v>
      </c>
      <c r="I22" s="941" t="str">
        <f t="shared" si="20"/>
        <v>ICE</v>
      </c>
      <c r="J22" s="942" t="s">
        <v>1114</v>
      </c>
      <c r="K22" s="941" t="str">
        <f t="shared" si="2"/>
        <v>P</v>
      </c>
      <c r="L22" s="941" t="str">
        <f t="shared" si="3"/>
        <v>PR</v>
      </c>
      <c r="M22" s="941" t="str">
        <f t="shared" si="4"/>
        <v>SUV</v>
      </c>
      <c r="N22" s="941" t="str">
        <f t="shared" si="5"/>
        <v>TPPRSUVODS-N</v>
      </c>
      <c r="O22" s="941" t="str">
        <f t="shared" si="6"/>
        <v>TPPRSUVODS-E</v>
      </c>
      <c r="P22" s="954" t="s">
        <v>1439</v>
      </c>
      <c r="Q22" s="960" cm="1">
        <f t="array" ref="Q22">INDEX(IEACostData_passengervehs!$B$13:$Z$16,MATCH($H22,IEACostData_passengervehs!$A$13:$A$16,0),MATCH(1,(IEACostData_passengervehs!$B$12:$Z$12=Q$8)*(IEACostData_passengervehs!$B$5:$Z$5=$F22),0))</f>
        <v>440552.64716666663</v>
      </c>
      <c r="R22" s="960" cm="1">
        <f t="array" ref="R22">INDEX(IEACostData_passengervehs!$B$13:$Z$16,MATCH($H22,IEACostData_passengervehs!$A$13:$A$16,0),MATCH(1,(IEACostData_passengervehs!$B$12:$Z$12=R$8)*(IEACostData_passengervehs!$B$5:$Z$5=$F22),0))</f>
        <v>451656.9427916666</v>
      </c>
      <c r="S22" s="960" cm="1">
        <f t="array" ref="S22">INDEX(IEACostData_passengervehs!$B$13:$Z$16,MATCH($H22,IEACostData_passengervehs!$A$13:$A$16,0),MATCH(1,(IEACostData_passengervehs!$B$12:$Z$12=S$8)*(IEACostData_passengervehs!$B$5:$Z$5=$F22),0))</f>
        <v>462761.23841666663</v>
      </c>
      <c r="T22" s="963">
        <f>$Q22+($S22-$Q22)/($S$8-$Q$8)*(T$8-$Q$8)</f>
        <v>473865.53404166666</v>
      </c>
      <c r="U22" s="963">
        <f>$Q22+($S22-$Q22)/($S$8-$Q$8)*(U$8-$Q$8)</f>
        <v>484969.82966666663</v>
      </c>
      <c r="V22" s="963">
        <f>$Q22+($S22-$Q22)/($S$8-$Q$8)*(V$8-$Q$8)</f>
        <v>496074.12529166666</v>
      </c>
      <c r="W22" s="963">
        <f>$Q22+($S22-$Q22)/($S$8-$Q$8)*(W$8-$Q$8)</f>
        <v>507178.42091666663</v>
      </c>
      <c r="X22" s="951">
        <f>IEACostData_passengervehs!F40</f>
        <v>1.1090573012939002E-2</v>
      </c>
      <c r="Y22" s="951" t="s">
        <v>1429</v>
      </c>
      <c r="Z22" s="960">
        <f t="shared" si="10"/>
        <v>4885.9812994454705</v>
      </c>
      <c r="AA22" s="960">
        <f t="shared" si="11"/>
        <v>5009.1343008317926</v>
      </c>
      <c r="AB22" s="960">
        <f t="shared" si="12"/>
        <v>5132.2873022181138</v>
      </c>
      <c r="AC22" s="960">
        <f t="shared" si="13"/>
        <v>5255.4403036044359</v>
      </c>
      <c r="AD22" s="960">
        <f t="shared" si="14"/>
        <v>5378.5933049907571</v>
      </c>
      <c r="AE22" s="960">
        <f t="shared" si="15"/>
        <v>5501.7463063770792</v>
      </c>
      <c r="AF22" s="960">
        <f t="shared" si="16"/>
        <v>5624.8993077634004</v>
      </c>
    </row>
    <row r="23" spans="1:32" x14ac:dyDescent="0.25">
      <c r="A23" s="941" t="s">
        <v>521</v>
      </c>
      <c r="B23" s="941" t="s">
        <v>613</v>
      </c>
      <c r="C23" s="941" t="s">
        <v>460</v>
      </c>
      <c r="D23" s="941" t="s">
        <v>680</v>
      </c>
      <c r="E23" s="941" t="s">
        <v>701</v>
      </c>
      <c r="F23" s="941"/>
      <c r="G23" s="941"/>
      <c r="H23" s="941" t="s">
        <v>689</v>
      </c>
      <c r="I23" s="941" t="str">
        <f t="shared" si="20"/>
        <v>HEV</v>
      </c>
      <c r="J23" s="942" t="s">
        <v>1114</v>
      </c>
      <c r="K23" s="941" t="str">
        <f t="shared" si="2"/>
        <v>P</v>
      </c>
      <c r="L23" s="941" t="str">
        <f t="shared" si="3"/>
        <v>PR</v>
      </c>
      <c r="M23" s="941" t="str">
        <f t="shared" si="4"/>
        <v>SUV</v>
      </c>
      <c r="N23" s="941" t="str">
        <f t="shared" si="5"/>
        <v>TPPRSUVODSH-N</v>
      </c>
      <c r="O23" s="941" t="str">
        <f t="shared" si="6"/>
        <v>TPPRSUVODSH-E</v>
      </c>
      <c r="P23" s="964" t="s">
        <v>1452</v>
      </c>
      <c r="Q23" s="996">
        <f>Q$21*AEA2012_ZAR2022!T34/AEA2012_ZAR2022!T$33</f>
        <v>561024.06464457815</v>
      </c>
      <c r="R23" s="996">
        <f>R$21*AEA2012_ZAR2022!U34/AEA2012_ZAR2022!U$33</f>
        <v>517429.84817664715</v>
      </c>
      <c r="S23" s="996">
        <f>S$21*AEA2012_ZAR2022!V34/AEA2012_ZAR2022!V$33</f>
        <v>487372.51476795628</v>
      </c>
      <c r="T23" s="996">
        <f>T$21*AEA2012_ZAR2022!W34/AEA2012_ZAR2022!W$33</f>
        <v>488128.58988041553</v>
      </c>
      <c r="U23" s="996">
        <f>U$21*AEA2012_ZAR2022!X34/AEA2012_ZAR2022!X$33</f>
        <v>488885.26235594234</v>
      </c>
      <c r="V23" s="996">
        <f>V$21*AEA2012_ZAR2022!Y34/AEA2012_ZAR2022!Y$33</f>
        <v>489561.01572544704</v>
      </c>
      <c r="W23" s="996">
        <f>W$21*AEA2012_ZAR2022!Z34/AEA2012_ZAR2022!Z$33</f>
        <v>490237.25458797789</v>
      </c>
      <c r="X23" s="951">
        <v>2.7E-2</v>
      </c>
      <c r="Y23" s="951" t="s">
        <v>1434</v>
      </c>
      <c r="Z23" s="960">
        <f t="shared" si="10"/>
        <v>15147.649745403609</v>
      </c>
      <c r="AA23" s="960">
        <f t="shared" si="11"/>
        <v>13970.605900769473</v>
      </c>
      <c r="AB23" s="960">
        <f t="shared" si="12"/>
        <v>13159.05789873482</v>
      </c>
      <c r="AC23" s="960">
        <f t="shared" si="13"/>
        <v>13179.471926771219</v>
      </c>
      <c r="AD23" s="960">
        <f t="shared" si="14"/>
        <v>13199.902083610443</v>
      </c>
      <c r="AE23" s="960">
        <f t="shared" si="15"/>
        <v>13218.14742458707</v>
      </c>
      <c r="AF23" s="960">
        <f t="shared" si="16"/>
        <v>13236.405873875403</v>
      </c>
    </row>
    <row r="24" spans="1:32" x14ac:dyDescent="0.25">
      <c r="A24" s="941" t="s">
        <v>501</v>
      </c>
      <c r="B24" s="941" t="s">
        <v>613</v>
      </c>
      <c r="C24" s="941" t="s">
        <v>460</v>
      </c>
      <c r="D24" s="941" t="s">
        <v>680</v>
      </c>
      <c r="E24" s="941"/>
      <c r="F24" s="941" t="s">
        <v>460</v>
      </c>
      <c r="G24" s="941"/>
      <c r="H24" s="941" t="s">
        <v>692</v>
      </c>
      <c r="I24" s="941" t="str">
        <f t="shared" si="20"/>
        <v>BEV</v>
      </c>
      <c r="J24" s="942" t="s">
        <v>1114</v>
      </c>
      <c r="K24" s="941" t="str">
        <f t="shared" si="2"/>
        <v>P</v>
      </c>
      <c r="L24" s="941" t="str">
        <f t="shared" si="3"/>
        <v>PR</v>
      </c>
      <c r="M24" s="941" t="str">
        <f t="shared" si="4"/>
        <v>SUV</v>
      </c>
      <c r="N24" s="941" t="str">
        <f t="shared" si="5"/>
        <v>TPPRSUVELC-N</v>
      </c>
      <c r="O24" s="941" t="str">
        <f t="shared" si="6"/>
        <v>TPPRSUVELC-E</v>
      </c>
      <c r="P24" s="954" t="s">
        <v>1439</v>
      </c>
      <c r="Q24" s="960" cm="1">
        <f t="array" ref="Q24">INDEX(IEACostData_passengervehs!$B$13:$Z$16,MATCH($H24,IEACostData_passengervehs!$A$13:$A$16,0),MATCH(1,(IEACostData_passengervehs!$B$12:$Z$12=Q$8)*(IEACostData_passengervehs!$B$5:$Z$5=$F24),0))</f>
        <v>597164.34249999991</v>
      </c>
      <c r="R24" s="962">
        <f t="shared" ref="R24:S24" si="30">$Q24*R$4</f>
        <v>529383.75647700892</v>
      </c>
      <c r="S24" s="962">
        <f t="shared" si="30"/>
        <v>461603.17045401788</v>
      </c>
      <c r="T24" s="962">
        <f>$Q24*T$4</f>
        <v>448394.6459982543</v>
      </c>
      <c r="U24" s="962">
        <f>$Q24*U$4</f>
        <v>435186.1215424916</v>
      </c>
      <c r="V24" s="962">
        <f>$Q24*V$4</f>
        <v>421977.59708672896</v>
      </c>
      <c r="W24" s="962">
        <f>$Q24*W$4</f>
        <v>408769.07263096626</v>
      </c>
      <c r="X24" s="951">
        <f>IEACostData_passengervehs!F42</f>
        <v>7.2992700729927005E-3</v>
      </c>
      <c r="Y24" s="951" t="s">
        <v>1429</v>
      </c>
      <c r="Z24" s="960">
        <f t="shared" si="10"/>
        <v>4358.8638138686119</v>
      </c>
      <c r="AA24" s="960">
        <f t="shared" si="11"/>
        <v>3864.1150107810868</v>
      </c>
      <c r="AB24" s="960">
        <f t="shared" si="12"/>
        <v>3369.3662076935611</v>
      </c>
      <c r="AC24" s="960">
        <f t="shared" si="13"/>
        <v>3272.9536204252136</v>
      </c>
      <c r="AD24" s="960">
        <f t="shared" si="14"/>
        <v>3176.5410331568728</v>
      </c>
      <c r="AE24" s="960">
        <f t="shared" si="15"/>
        <v>3080.1284458885325</v>
      </c>
      <c r="AF24" s="960">
        <f t="shared" si="16"/>
        <v>2983.7158586201917</v>
      </c>
    </row>
    <row r="25" spans="1:32" x14ac:dyDescent="0.25">
      <c r="A25" s="941" t="s">
        <v>1320</v>
      </c>
      <c r="B25" s="941" t="s">
        <v>613</v>
      </c>
      <c r="C25" s="941" t="s">
        <v>460</v>
      </c>
      <c r="D25" s="941" t="s">
        <v>680</v>
      </c>
      <c r="E25" s="941"/>
      <c r="F25" s="941"/>
      <c r="G25" s="941" t="s">
        <v>460</v>
      </c>
      <c r="H25" s="941" t="s">
        <v>699</v>
      </c>
      <c r="I25" s="941" t="str">
        <f>IF(A25="HGNF",A25,RIGHT(H25,3))</f>
        <v>HGNF</v>
      </c>
      <c r="J25" s="942" t="s">
        <v>1114</v>
      </c>
      <c r="K25" s="941" t="str">
        <f t="shared" si="2"/>
        <v>P</v>
      </c>
      <c r="L25" s="941" t="str">
        <f t="shared" si="3"/>
        <v>PR</v>
      </c>
      <c r="M25" s="941" t="str">
        <f t="shared" si="4"/>
        <v>SUV</v>
      </c>
      <c r="N25" s="941" t="str">
        <f t="shared" si="5"/>
        <v>TPPRSUVHGNF-N</v>
      </c>
      <c r="O25" s="941" t="str">
        <f t="shared" si="6"/>
        <v>TPPRSUVHGNF-E</v>
      </c>
      <c r="P25" s="953" t="s">
        <v>1432</v>
      </c>
      <c r="Q25" s="960">
        <f>NREL_LCVs!P21</f>
        <v>643488.20564585773</v>
      </c>
      <c r="R25" s="963">
        <f>(Q25+S25)/2</f>
        <v>605246.92079536209</v>
      </c>
      <c r="S25" s="960">
        <f>NREL_LCVs!R21</f>
        <v>567005.63594486646</v>
      </c>
      <c r="T25" s="960">
        <f>NREL_LCVs!S21</f>
        <v>531044.21653524355</v>
      </c>
      <c r="U25" s="960">
        <f>NREL_LCVs!T21</f>
        <v>521639.12887612806</v>
      </c>
      <c r="V25" s="960">
        <f>NREL_LCVs!U21</f>
        <v>508437.5050474868</v>
      </c>
      <c r="W25" s="960">
        <f>NREL_LCVs!V21</f>
        <v>492404.12426398677</v>
      </c>
      <c r="X25" s="951">
        <v>2.7E-2</v>
      </c>
      <c r="Y25" s="951" t="s">
        <v>1434</v>
      </c>
      <c r="Z25" s="960">
        <f t="shared" si="10"/>
        <v>17374.18155243816</v>
      </c>
      <c r="AA25" s="960">
        <f t="shared" si="11"/>
        <v>16341.666861474776</v>
      </c>
      <c r="AB25" s="960">
        <f t="shared" si="12"/>
        <v>15309.152170511394</v>
      </c>
      <c r="AC25" s="960">
        <f t="shared" si="13"/>
        <v>14338.193846451575</v>
      </c>
      <c r="AD25" s="960">
        <f t="shared" si="14"/>
        <v>14084.256479655458</v>
      </c>
      <c r="AE25" s="960">
        <f t="shared" si="15"/>
        <v>13727.812636282144</v>
      </c>
      <c r="AF25" s="960">
        <f t="shared" si="16"/>
        <v>13294.911355127642</v>
      </c>
    </row>
    <row r="26" spans="1:32" x14ac:dyDescent="0.25">
      <c r="A26" s="941" t="s">
        <v>509</v>
      </c>
      <c r="B26" s="941" t="s">
        <v>613</v>
      </c>
      <c r="C26" s="941" t="s">
        <v>460</v>
      </c>
      <c r="D26" s="941" t="s">
        <v>680</v>
      </c>
      <c r="E26" s="941" t="s">
        <v>701</v>
      </c>
      <c r="F26" s="941"/>
      <c r="G26" s="941"/>
      <c r="H26" s="941" t="s">
        <v>700</v>
      </c>
      <c r="I26" s="941" t="str">
        <f t="shared" ref="I26:I31" si="31">IF(A26="HGN",A26,RIGHT(H26,3))</f>
        <v>ICE</v>
      </c>
      <c r="J26" s="942" t="s">
        <v>1114</v>
      </c>
      <c r="K26" s="941" t="str">
        <f t="shared" si="2"/>
        <v>P</v>
      </c>
      <c r="L26" s="941" t="str">
        <f t="shared" si="3"/>
        <v>PR</v>
      </c>
      <c r="M26" s="941" t="str">
        <f t="shared" si="4"/>
        <v>SUV</v>
      </c>
      <c r="N26" s="941" t="str">
        <f t="shared" si="5"/>
        <v>TPPRSUVGAS-N</v>
      </c>
      <c r="O26" s="941" t="str">
        <f t="shared" si="6"/>
        <v>TPPRSUVGAS-E</v>
      </c>
      <c r="P26" s="964" t="s">
        <v>1452</v>
      </c>
      <c r="Q26" s="996">
        <f>Q$21*AEA2012_ZAR2022!T43/AEA2012_ZAR2022!T$33</f>
        <v>540541.90588077321</v>
      </c>
      <c r="R26" s="996">
        <f>R$21*AEA2012_ZAR2022!U43/AEA2012_ZAR2022!U$33</f>
        <v>507195.23603349685</v>
      </c>
      <c r="S26" s="996">
        <f>S$21*AEA2012_ZAR2022!V43/AEA2012_ZAR2022!V$33</f>
        <v>485996.65904886369</v>
      </c>
      <c r="T26" s="996">
        <f>T$21*AEA2012_ZAR2022!W43/AEA2012_ZAR2022!W$33</f>
        <v>489481.56615182955</v>
      </c>
      <c r="U26" s="996">
        <f>U$21*AEA2012_ZAR2022!X43/AEA2012_ZAR2022!X$33</f>
        <v>492926.5732102443</v>
      </c>
      <c r="V26" s="996">
        <f>V$21*AEA2012_ZAR2022!Y43/AEA2012_ZAR2022!Y$33</f>
        <v>495023.88870866736</v>
      </c>
      <c r="W26" s="996">
        <f>W$21*AEA2012_ZAR2022!Z43/AEA2012_ZAR2022!Z$33</f>
        <v>497115.98765966366</v>
      </c>
      <c r="X26" s="951">
        <v>2.7E-2</v>
      </c>
      <c r="Y26" s="951" t="s">
        <v>1434</v>
      </c>
      <c r="Z26" s="960">
        <f t="shared" si="10"/>
        <v>14594.631458780876</v>
      </c>
      <c r="AA26" s="960">
        <f t="shared" si="11"/>
        <v>13694.271372904415</v>
      </c>
      <c r="AB26" s="960">
        <f t="shared" si="12"/>
        <v>13121.909794319319</v>
      </c>
      <c r="AC26" s="960">
        <f t="shared" si="13"/>
        <v>13216.002286099398</v>
      </c>
      <c r="AD26" s="960">
        <f t="shared" si="14"/>
        <v>13309.017476676596</v>
      </c>
      <c r="AE26" s="960">
        <f t="shared" si="15"/>
        <v>13365.644995134018</v>
      </c>
      <c r="AF26" s="960">
        <f t="shared" si="16"/>
        <v>13422.131666810919</v>
      </c>
    </row>
    <row r="27" spans="1:32" x14ac:dyDescent="0.25">
      <c r="A27" s="941" t="s">
        <v>573</v>
      </c>
      <c r="B27" s="941" t="s">
        <v>613</v>
      </c>
      <c r="C27" s="941" t="s">
        <v>61</v>
      </c>
      <c r="D27" s="941" t="s">
        <v>680</v>
      </c>
      <c r="E27" s="941"/>
      <c r="F27" s="941" t="s">
        <v>460</v>
      </c>
      <c r="G27" s="941"/>
      <c r="H27" s="941" t="s">
        <v>680</v>
      </c>
      <c r="I27" s="941" t="str">
        <f t="shared" si="31"/>
        <v>ICE</v>
      </c>
      <c r="J27" s="942" t="s">
        <v>1114</v>
      </c>
      <c r="K27" s="941" t="str">
        <f t="shared" si="2"/>
        <v>P</v>
      </c>
      <c r="L27" s="941" t="str">
        <f t="shared" si="3"/>
        <v>PU</v>
      </c>
      <c r="M27" s="941" t="str">
        <f t="shared" si="4"/>
        <v>MBT</v>
      </c>
      <c r="N27" s="941" t="str">
        <f t="shared" si="5"/>
        <v>TPPUMBTOGS-N</v>
      </c>
      <c r="O27" s="941" t="str">
        <f t="shared" si="6"/>
        <v>TPPUMBTOGS-E</v>
      </c>
      <c r="P27" s="954" t="s">
        <v>1439</v>
      </c>
      <c r="Q27" s="960" cm="1">
        <f t="array" ref="Q27">INDEX(IEACostData_passengervehs!$B$13:$Z$16,MATCH($H27,IEACostData_passengervehs!$A$13:$A$16,0),MATCH(1,(IEACostData_passengervehs!$B$12:$Z$12=Q$8)*(IEACostData_passengervehs!$B$5:$Z$5=$F27),0))</f>
        <v>419495.61249999993</v>
      </c>
      <c r="R27" s="960" cm="1">
        <f t="array" ref="R27">INDEX(IEACostData_passengervehs!$B$13:$Z$16,MATCH($H27,IEACostData_passengervehs!$A$13:$A$16,0),MATCH(1,(IEACostData_passengervehs!$B$12:$Z$12=R$8)*(IEACostData_passengervehs!$B$5:$Z$5=$F27),0))</f>
        <v>423608.31458333327</v>
      </c>
      <c r="S27" s="960" cm="1">
        <f t="array" ref="S27">INDEX(IEACostData_passengervehs!$B$13:$Z$16,MATCH($H27,IEACostData_passengervehs!$A$13:$A$16,0),MATCH(1,(IEACostData_passengervehs!$B$12:$Z$12=S$8)*(IEACostData_passengervehs!$B$5:$Z$5=$F27),0))</f>
        <v>427721.0166666666</v>
      </c>
      <c r="T27" s="963">
        <f>$Q27+($S27-$Q27)/($S$8-$Q$8)*(T$8-$Q$8)</f>
        <v>431833.71874999994</v>
      </c>
      <c r="U27" s="963">
        <f>$Q27+($S27-$Q27)/($S$8-$Q$8)*(U$8-$Q$8)</f>
        <v>435946.42083333328</v>
      </c>
      <c r="V27" s="963">
        <f>$Q27+($S27-$Q27)/($S$8-$Q$8)*(V$8-$Q$8)</f>
        <v>440059.12291666662</v>
      </c>
      <c r="W27" s="963">
        <f>$Q27+($S27-$Q27)/($S$8-$Q$8)*(W$8-$Q$8)</f>
        <v>444171.82499999995</v>
      </c>
      <c r="X27" s="951">
        <f>IEACostData_passengervehs!H39</f>
        <v>1.7667844522968199E-2</v>
      </c>
      <c r="Y27" s="951" t="s">
        <v>1429</v>
      </c>
      <c r="Z27" s="960">
        <f t="shared" si="10"/>
        <v>7411.5832597173139</v>
      </c>
      <c r="AA27" s="960">
        <f t="shared" si="11"/>
        <v>7484.2458406949345</v>
      </c>
      <c r="AB27" s="960">
        <f t="shared" si="12"/>
        <v>7556.9084216725551</v>
      </c>
      <c r="AC27" s="960">
        <f t="shared" si="13"/>
        <v>7629.5710026501756</v>
      </c>
      <c r="AD27" s="960">
        <f t="shared" si="14"/>
        <v>7702.2335836277971</v>
      </c>
      <c r="AE27" s="960">
        <f t="shared" si="15"/>
        <v>7774.8961646054177</v>
      </c>
      <c r="AF27" s="960">
        <f t="shared" si="16"/>
        <v>7847.5587455830382</v>
      </c>
    </row>
    <row r="28" spans="1:32" x14ac:dyDescent="0.25">
      <c r="A28" s="941" t="s">
        <v>506</v>
      </c>
      <c r="B28" s="941" t="s">
        <v>613</v>
      </c>
      <c r="C28" s="941" t="s">
        <v>61</v>
      </c>
      <c r="D28" s="941" t="s">
        <v>680</v>
      </c>
      <c r="E28" s="941" t="s">
        <v>701</v>
      </c>
      <c r="F28" s="941"/>
      <c r="G28" s="941"/>
      <c r="H28" s="941" t="s">
        <v>680</v>
      </c>
      <c r="I28" s="941" t="str">
        <f t="shared" si="31"/>
        <v>ICE</v>
      </c>
      <c r="J28" s="942" t="s">
        <v>1114</v>
      </c>
      <c r="K28" s="941" t="str">
        <f t="shared" si="2"/>
        <v>P</v>
      </c>
      <c r="L28" s="941" t="str">
        <f t="shared" si="3"/>
        <v>PU</v>
      </c>
      <c r="M28" s="941" t="str">
        <f t="shared" si="4"/>
        <v>MBT</v>
      </c>
      <c r="N28" s="941" t="str">
        <f t="shared" si="5"/>
        <v>TPPUMBTBGS-N</v>
      </c>
      <c r="O28" s="941" t="str">
        <f t="shared" si="6"/>
        <v>TPPUMBTBGS-E</v>
      </c>
      <c r="P28" s="964" t="s">
        <v>1444</v>
      </c>
      <c r="Q28" s="996">
        <f>Q27</f>
        <v>419495.61249999993</v>
      </c>
      <c r="R28" s="996">
        <f t="shared" ref="R28" si="32">R27</f>
        <v>423608.31458333327</v>
      </c>
      <c r="S28" s="996">
        <f t="shared" ref="S28" si="33">S27</f>
        <v>427721.0166666666</v>
      </c>
      <c r="T28" s="996">
        <f t="shared" ref="T28" si="34">T27</f>
        <v>431833.71874999994</v>
      </c>
      <c r="U28" s="996">
        <f t="shared" ref="U28" si="35">U27</f>
        <v>435946.42083333328</v>
      </c>
      <c r="V28" s="996">
        <f t="shared" ref="V28" si="36">V27</f>
        <v>440059.12291666662</v>
      </c>
      <c r="W28" s="996">
        <f t="shared" ref="W28" si="37">W27</f>
        <v>444171.82499999995</v>
      </c>
      <c r="X28" s="951">
        <v>2.7E-2</v>
      </c>
      <c r="Y28" s="951" t="s">
        <v>1434</v>
      </c>
      <c r="Z28" s="960">
        <f t="shared" si="10"/>
        <v>11326.381537499998</v>
      </c>
      <c r="AA28" s="960">
        <f t="shared" si="11"/>
        <v>11437.424493749999</v>
      </c>
      <c r="AB28" s="960">
        <f t="shared" si="12"/>
        <v>11548.467449999998</v>
      </c>
      <c r="AC28" s="960">
        <f t="shared" si="13"/>
        <v>11659.510406249998</v>
      </c>
      <c r="AD28" s="960">
        <f t="shared" si="14"/>
        <v>11770.553362499999</v>
      </c>
      <c r="AE28" s="960">
        <f t="shared" si="15"/>
        <v>11881.596318749998</v>
      </c>
      <c r="AF28" s="960">
        <f t="shared" si="16"/>
        <v>11992.639274999998</v>
      </c>
    </row>
    <row r="29" spans="1:32" x14ac:dyDescent="0.25">
      <c r="A29" s="941" t="s">
        <v>511</v>
      </c>
      <c r="B29" s="941" t="s">
        <v>613</v>
      </c>
      <c r="C29" s="941" t="s">
        <v>61</v>
      </c>
      <c r="D29" s="941" t="s">
        <v>680</v>
      </c>
      <c r="E29" s="941"/>
      <c r="F29" s="941" t="s">
        <v>460</v>
      </c>
      <c r="G29" s="941"/>
      <c r="H29" s="941" t="s">
        <v>687</v>
      </c>
      <c r="I29" s="941" t="str">
        <f t="shared" si="31"/>
        <v>ICE</v>
      </c>
      <c r="J29" s="942" t="s">
        <v>1114</v>
      </c>
      <c r="K29" s="941" t="str">
        <f t="shared" si="2"/>
        <v>P</v>
      </c>
      <c r="L29" s="941" t="str">
        <f t="shared" si="3"/>
        <v>PU</v>
      </c>
      <c r="M29" s="941" t="str">
        <f t="shared" si="4"/>
        <v>MBT</v>
      </c>
      <c r="N29" s="941" t="str">
        <f t="shared" si="5"/>
        <v>TPPUMBTODS-N</v>
      </c>
      <c r="O29" s="941" t="str">
        <f t="shared" si="6"/>
        <v>TPPUMBTODS-E</v>
      </c>
      <c r="P29" s="954" t="s">
        <v>1439</v>
      </c>
      <c r="Q29" s="960" cm="1">
        <f t="array" ref="Q29">INDEX(IEACostData_passengervehs!$B$13:$Z$16,MATCH($H29,IEACostData_passengervehs!$A$13:$A$16,0),MATCH(1,(IEACostData_passengervehs!$B$12:$Z$12=Q$8)*(IEACostData_passengervehs!$B$5:$Z$5=$F29),0))</f>
        <v>440552.64716666663</v>
      </c>
      <c r="R29" s="960" cm="1">
        <f t="array" ref="R29">INDEX(IEACostData_passengervehs!$B$13:$Z$16,MATCH($H29,IEACostData_passengervehs!$A$13:$A$16,0),MATCH(1,(IEACostData_passengervehs!$B$12:$Z$12=R$8)*(IEACostData_passengervehs!$B$5:$Z$5=$F29),0))</f>
        <v>451656.9427916666</v>
      </c>
      <c r="S29" s="960" cm="1">
        <f t="array" ref="S29">INDEX(IEACostData_passengervehs!$B$13:$Z$16,MATCH($H29,IEACostData_passengervehs!$A$13:$A$16,0),MATCH(1,(IEACostData_passengervehs!$B$12:$Z$12=S$8)*(IEACostData_passengervehs!$B$5:$Z$5=$F29),0))</f>
        <v>462761.23841666663</v>
      </c>
      <c r="T29" s="963">
        <f>$Q29+($S29-$Q29)/($S$8-$Q$8)*(T$8-$Q$8)</f>
        <v>473865.53404166666</v>
      </c>
      <c r="U29" s="963">
        <f>$Q29+($S29-$Q29)/($S$8-$Q$8)*(U$8-$Q$8)</f>
        <v>484969.82966666663</v>
      </c>
      <c r="V29" s="963">
        <f>$Q29+($S29-$Q29)/($S$8-$Q$8)*(V$8-$Q$8)</f>
        <v>496074.12529166666</v>
      </c>
      <c r="W29" s="963">
        <f>$Q29+($S29-$Q29)/($S$8-$Q$8)*(W$8-$Q$8)</f>
        <v>507178.42091666663</v>
      </c>
      <c r="X29" s="951">
        <f>IEACostData_passengervehs!H40</f>
        <v>1.8575851393188854E-2</v>
      </c>
      <c r="Y29" s="951" t="s">
        <v>1429</v>
      </c>
      <c r="Z29" s="960">
        <f t="shared" si="10"/>
        <v>8183.6405046439622</v>
      </c>
      <c r="AA29" s="960">
        <f t="shared" si="11"/>
        <v>8389.9122499999994</v>
      </c>
      <c r="AB29" s="960">
        <f t="shared" si="12"/>
        <v>8596.1839953560357</v>
      </c>
      <c r="AC29" s="960">
        <f t="shared" si="13"/>
        <v>8802.4557407120737</v>
      </c>
      <c r="AD29" s="960">
        <f t="shared" si="14"/>
        <v>9008.72748606811</v>
      </c>
      <c r="AE29" s="960">
        <f t="shared" si="15"/>
        <v>9214.9992314241481</v>
      </c>
      <c r="AF29" s="960">
        <f t="shared" si="16"/>
        <v>9421.2709767801844</v>
      </c>
    </row>
    <row r="30" spans="1:32" x14ac:dyDescent="0.25">
      <c r="A30" s="941" t="s">
        <v>521</v>
      </c>
      <c r="B30" s="941" t="s">
        <v>613</v>
      </c>
      <c r="C30" s="941" t="s">
        <v>61</v>
      </c>
      <c r="D30" s="941" t="s">
        <v>680</v>
      </c>
      <c r="E30" s="941" t="s">
        <v>701</v>
      </c>
      <c r="F30" s="941"/>
      <c r="G30" s="941"/>
      <c r="H30" s="941" t="s">
        <v>689</v>
      </c>
      <c r="I30" s="941" t="str">
        <f t="shared" si="31"/>
        <v>HEV</v>
      </c>
      <c r="J30" s="942" t="s">
        <v>1114</v>
      </c>
      <c r="K30" s="941" t="str">
        <f t="shared" si="2"/>
        <v>P</v>
      </c>
      <c r="L30" s="941" t="str">
        <f t="shared" si="3"/>
        <v>PU</v>
      </c>
      <c r="M30" s="941" t="str">
        <f t="shared" si="4"/>
        <v>MBT</v>
      </c>
      <c r="N30" s="941" t="str">
        <f t="shared" si="5"/>
        <v>TPPUMBTODSH-N</v>
      </c>
      <c r="O30" s="941" t="str">
        <f t="shared" si="6"/>
        <v>TPPUMBTODSH-E</v>
      </c>
      <c r="P30" s="964" t="s">
        <v>1445</v>
      </c>
      <c r="Q30" s="996">
        <f>Q23</f>
        <v>561024.06464457815</v>
      </c>
      <c r="R30" s="996">
        <f t="shared" ref="R30:W30" si="38">R23</f>
        <v>517429.84817664715</v>
      </c>
      <c r="S30" s="996">
        <f t="shared" si="38"/>
        <v>487372.51476795628</v>
      </c>
      <c r="T30" s="996">
        <f t="shared" si="38"/>
        <v>488128.58988041553</v>
      </c>
      <c r="U30" s="996">
        <f t="shared" si="38"/>
        <v>488885.26235594234</v>
      </c>
      <c r="V30" s="996">
        <f t="shared" si="38"/>
        <v>489561.01572544704</v>
      </c>
      <c r="W30" s="996">
        <f t="shared" si="38"/>
        <v>490237.25458797789</v>
      </c>
      <c r="X30" s="951">
        <v>2.7E-2</v>
      </c>
      <c r="Y30" s="951" t="s">
        <v>1434</v>
      </c>
      <c r="Z30" s="960">
        <f t="shared" si="10"/>
        <v>15147.649745403609</v>
      </c>
      <c r="AA30" s="960">
        <f t="shared" si="11"/>
        <v>13970.605900769473</v>
      </c>
      <c r="AB30" s="960">
        <f t="shared" si="12"/>
        <v>13159.05789873482</v>
      </c>
      <c r="AC30" s="960">
        <f t="shared" si="13"/>
        <v>13179.471926771219</v>
      </c>
      <c r="AD30" s="960">
        <f t="shared" si="14"/>
        <v>13199.902083610443</v>
      </c>
      <c r="AE30" s="960">
        <f t="shared" si="15"/>
        <v>13218.14742458707</v>
      </c>
      <c r="AF30" s="960">
        <f t="shared" si="16"/>
        <v>13236.405873875403</v>
      </c>
    </row>
    <row r="31" spans="1:32" x14ac:dyDescent="0.25">
      <c r="A31" s="941" t="s">
        <v>501</v>
      </c>
      <c r="B31" s="941" t="s">
        <v>613</v>
      </c>
      <c r="C31" s="941" t="s">
        <v>61</v>
      </c>
      <c r="D31" s="941" t="s">
        <v>680</v>
      </c>
      <c r="E31" s="941"/>
      <c r="F31" s="941" t="s">
        <v>460</v>
      </c>
      <c r="G31" s="941"/>
      <c r="H31" s="941" t="s">
        <v>692</v>
      </c>
      <c r="I31" s="941" t="str">
        <f t="shared" si="31"/>
        <v>BEV</v>
      </c>
      <c r="J31" s="942" t="s">
        <v>1114</v>
      </c>
      <c r="K31" s="941" t="str">
        <f t="shared" si="2"/>
        <v>P</v>
      </c>
      <c r="L31" s="941" t="str">
        <f t="shared" si="3"/>
        <v>PU</v>
      </c>
      <c r="M31" s="941" t="str">
        <f t="shared" si="4"/>
        <v>MBT</v>
      </c>
      <c r="N31" s="941" t="str">
        <f t="shared" si="5"/>
        <v>TPPUMBTELC-N</v>
      </c>
      <c r="O31" s="941" t="str">
        <f t="shared" si="6"/>
        <v>TPPUMBTELC-E</v>
      </c>
      <c r="P31" s="964" t="s">
        <v>1439</v>
      </c>
      <c r="Q31" s="996">
        <f>+Q$27*AEA2012_ZAR2022!T39</f>
        <v>706580.24818406906</v>
      </c>
      <c r="R31" s="962">
        <f t="shared" ref="R31:S32" si="39">$Q31*R$4</f>
        <v>626380.5110502555</v>
      </c>
      <c r="S31" s="962">
        <f t="shared" si="39"/>
        <v>546180.77391644183</v>
      </c>
      <c r="T31" s="962">
        <f t="shared" ref="T31:W32" si="40">$Q31*T$4</f>
        <v>530552.10719292797</v>
      </c>
      <c r="U31" s="962">
        <f t="shared" si="40"/>
        <v>514923.44046941516</v>
      </c>
      <c r="V31" s="962">
        <f t="shared" si="40"/>
        <v>499294.77374590246</v>
      </c>
      <c r="W31" s="962">
        <f t="shared" si="40"/>
        <v>483666.10702238965</v>
      </c>
      <c r="X31" s="951">
        <f>IEACostData_passengervehs!H42</f>
        <v>1.8656716417910446E-2</v>
      </c>
      <c r="Y31" s="951" t="s">
        <v>1429</v>
      </c>
      <c r="Z31" s="960">
        <f t="shared" si="10"/>
        <v>13182.46731686696</v>
      </c>
      <c r="AA31" s="960">
        <f t="shared" si="11"/>
        <v>11686.203564370437</v>
      </c>
      <c r="AB31" s="960">
        <f t="shared" si="12"/>
        <v>10189.939811873914</v>
      </c>
      <c r="AC31" s="960">
        <f t="shared" si="13"/>
        <v>9898.3602088232819</v>
      </c>
      <c r="AD31" s="960">
        <f t="shared" si="14"/>
        <v>9606.7806057726702</v>
      </c>
      <c r="AE31" s="960">
        <f t="shared" si="15"/>
        <v>9315.2010027220604</v>
      </c>
      <c r="AF31" s="960">
        <f t="shared" si="16"/>
        <v>9023.6213996714487</v>
      </c>
    </row>
    <row r="32" spans="1:32" x14ac:dyDescent="0.25">
      <c r="A32" s="941" t="s">
        <v>1320</v>
      </c>
      <c r="B32" s="941" t="s">
        <v>613</v>
      </c>
      <c r="C32" s="941" t="s">
        <v>61</v>
      </c>
      <c r="D32" s="941" t="s">
        <v>680</v>
      </c>
      <c r="E32" s="941"/>
      <c r="F32" s="941"/>
      <c r="G32" s="941" t="s">
        <v>460</v>
      </c>
      <c r="H32" s="941" t="s">
        <v>699</v>
      </c>
      <c r="I32" s="941" t="str">
        <f>IF(A32="HGNF",A32,RIGHT(H32,3))</f>
        <v>HGNF</v>
      </c>
      <c r="J32" s="942" t="s">
        <v>1114</v>
      </c>
      <c r="K32" s="941" t="str">
        <f t="shared" si="2"/>
        <v>P</v>
      </c>
      <c r="L32" s="941" t="str">
        <f t="shared" si="3"/>
        <v>PU</v>
      </c>
      <c r="M32" s="941" t="str">
        <f t="shared" si="4"/>
        <v>MBT</v>
      </c>
      <c r="N32" s="941" t="str">
        <f t="shared" si="5"/>
        <v>TPPUMBTHGNF-N</v>
      </c>
      <c r="O32" s="941" t="str">
        <f t="shared" si="6"/>
        <v>TPPUMBTHGNF-E</v>
      </c>
      <c r="P32" s="964" t="s">
        <v>1445</v>
      </c>
      <c r="Q32" s="996">
        <f>+Q$27*AEA2012_ZAR2022!T40</f>
        <v>1220020.5429054683</v>
      </c>
      <c r="R32" s="962">
        <f t="shared" si="39"/>
        <v>1081543.240305606</v>
      </c>
      <c r="S32" s="962">
        <f t="shared" si="39"/>
        <v>943065.93770574371</v>
      </c>
      <c r="T32" s="962">
        <f t="shared" si="40"/>
        <v>916080.61719910125</v>
      </c>
      <c r="U32" s="962">
        <f t="shared" si="40"/>
        <v>889095.29669246078</v>
      </c>
      <c r="V32" s="962">
        <f t="shared" si="40"/>
        <v>862109.97618582041</v>
      </c>
      <c r="W32" s="962">
        <f t="shared" si="40"/>
        <v>835124.65567917982</v>
      </c>
      <c r="X32" s="951">
        <v>2.7E-2</v>
      </c>
      <c r="Y32" s="951" t="s">
        <v>1434</v>
      </c>
      <c r="Z32" s="960">
        <f t="shared" ref="Z32" si="41">Q32*$X32</f>
        <v>32940.55465844764</v>
      </c>
      <c r="AA32" s="960">
        <f t="shared" ref="AA32" si="42">R32*$X32</f>
        <v>29201.667488251362</v>
      </c>
      <c r="AB32" s="960">
        <f t="shared" ref="AB32" si="43">S32*$X32</f>
        <v>25462.78031805508</v>
      </c>
      <c r="AC32" s="960">
        <f t="shared" ref="AC32" si="44">T32*$X32</f>
        <v>24734.176664375733</v>
      </c>
      <c r="AD32" s="960">
        <f t="shared" ref="AD32" si="45">U32*$X32</f>
        <v>24005.57301069644</v>
      </c>
      <c r="AE32" s="960">
        <f t="shared" ref="AE32" si="46">V32*$X32</f>
        <v>23276.969357017151</v>
      </c>
      <c r="AF32" s="960">
        <f t="shared" ref="AF32" si="47">W32*$X32</f>
        <v>22548.365703337855</v>
      </c>
    </row>
    <row r="33" spans="1:32" x14ac:dyDescent="0.25">
      <c r="A33" s="941" t="s">
        <v>509</v>
      </c>
      <c r="B33" s="941" t="s">
        <v>613</v>
      </c>
      <c r="C33" s="941" t="s">
        <v>61</v>
      </c>
      <c r="D33" s="941" t="s">
        <v>680</v>
      </c>
      <c r="E33" s="941" t="s">
        <v>701</v>
      </c>
      <c r="F33" s="941"/>
      <c r="G33" s="941"/>
      <c r="H33" s="941" t="s">
        <v>700</v>
      </c>
      <c r="I33" s="941" t="str">
        <f t="shared" ref="I33:I36" si="48">IF(A33="HGN",A33,RIGHT(H33,3))</f>
        <v>ICE</v>
      </c>
      <c r="J33" s="942" t="s">
        <v>1114</v>
      </c>
      <c r="K33" s="941" t="str">
        <f t="shared" si="2"/>
        <v>P</v>
      </c>
      <c r="L33" s="941" t="str">
        <f t="shared" si="3"/>
        <v>PU</v>
      </c>
      <c r="M33" s="941" t="str">
        <f t="shared" si="4"/>
        <v>MBT</v>
      </c>
      <c r="N33" s="941" t="str">
        <f t="shared" si="5"/>
        <v>TPPUMBTGAS-N</v>
      </c>
      <c r="O33" s="941" t="str">
        <f t="shared" si="6"/>
        <v>TPPUMBTGAS-E</v>
      </c>
      <c r="P33" s="964" t="s">
        <v>1445</v>
      </c>
      <c r="Q33" s="996">
        <f>+Q18/Q12*Q27</f>
        <v>589472.75350728515</v>
      </c>
      <c r="R33" s="996">
        <f t="shared" ref="R33:W33" si="49">+R18/R12*R27</f>
        <v>646245.75917275506</v>
      </c>
      <c r="S33" s="996">
        <f t="shared" si="49"/>
        <v>693661.87508556526</v>
      </c>
      <c r="T33" s="996">
        <f t="shared" si="49"/>
        <v>700357.51315390621</v>
      </c>
      <c r="U33" s="996">
        <f t="shared" si="49"/>
        <v>707053.55800592899</v>
      </c>
      <c r="V33" s="996">
        <f t="shared" si="49"/>
        <v>713750.00765732198</v>
      </c>
      <c r="W33" s="996">
        <f t="shared" si="49"/>
        <v>720446.8601366597</v>
      </c>
      <c r="X33" s="951">
        <v>2.7E-2</v>
      </c>
      <c r="Y33" s="951" t="s">
        <v>1434</v>
      </c>
      <c r="Z33" s="960">
        <f t="shared" si="10"/>
        <v>15915.764344696699</v>
      </c>
      <c r="AA33" s="960">
        <f t="shared" si="11"/>
        <v>17448.635497664385</v>
      </c>
      <c r="AB33" s="960">
        <f t="shared" si="12"/>
        <v>18728.870627310262</v>
      </c>
      <c r="AC33" s="960">
        <f t="shared" si="13"/>
        <v>18909.652855155469</v>
      </c>
      <c r="AD33" s="960">
        <f t="shared" si="14"/>
        <v>19090.446066160082</v>
      </c>
      <c r="AE33" s="960">
        <f t="shared" si="15"/>
        <v>19271.250206747693</v>
      </c>
      <c r="AF33" s="960">
        <f t="shared" si="16"/>
        <v>19452.065223689813</v>
      </c>
    </row>
    <row r="34" spans="1:32" x14ac:dyDescent="0.25">
      <c r="A34" s="941" t="s">
        <v>573</v>
      </c>
      <c r="B34" s="941" t="s">
        <v>613</v>
      </c>
      <c r="C34" s="941" t="s">
        <v>714</v>
      </c>
      <c r="D34" s="941" t="s">
        <v>680</v>
      </c>
      <c r="E34" s="941" t="s">
        <v>715</v>
      </c>
      <c r="F34" s="941"/>
      <c r="G34" s="941"/>
      <c r="H34" s="941" t="s">
        <v>680</v>
      </c>
      <c r="I34" s="941" t="str">
        <f t="shared" si="48"/>
        <v>ICE</v>
      </c>
      <c r="J34" s="942" t="s">
        <v>1114</v>
      </c>
      <c r="K34" s="941" t="str">
        <f t="shared" si="2"/>
        <v>P</v>
      </c>
      <c r="L34" s="941" t="str">
        <f t="shared" si="3"/>
        <v>PR</v>
      </c>
      <c r="M34" s="941" t="str">
        <f t="shared" si="4"/>
        <v>MOT</v>
      </c>
      <c r="N34" s="941" t="str">
        <f t="shared" si="5"/>
        <v>TPPRMOTOGS-N</v>
      </c>
      <c r="O34" s="941" t="str">
        <f t="shared" si="6"/>
        <v>TPPRMOTOGS-E</v>
      </c>
      <c r="P34" s="997" t="s">
        <v>1431</v>
      </c>
      <c r="Q34" s="960">
        <f>AEA2012_ZAR2022!L23</f>
        <v>147584.0985165429</v>
      </c>
      <c r="R34" s="960">
        <f>AEA2012_ZAR2022!M23</f>
        <v>149645.77435664483</v>
      </c>
      <c r="S34" s="960">
        <f>AEA2012_ZAR2022!N23</f>
        <v>151707.45019674677</v>
      </c>
      <c r="T34" s="960">
        <f>AEA2012_ZAR2022!O23</f>
        <v>154052.49969710867</v>
      </c>
      <c r="U34" s="960">
        <f>AEA2012_ZAR2022!P23</f>
        <v>156397.54919747054</v>
      </c>
      <c r="V34" s="960">
        <f>AEA2012_ZAR2022!Q23</f>
        <v>157481.593652054</v>
      </c>
      <c r="W34" s="960">
        <f>AEA2012_ZAR2022!R23</f>
        <v>158565.63810663752</v>
      </c>
      <c r="X34" s="951">
        <v>2.7E-2</v>
      </c>
      <c r="Y34" s="951" t="s">
        <v>1434</v>
      </c>
      <c r="Z34" s="960">
        <f t="shared" si="10"/>
        <v>3984.7706599466583</v>
      </c>
      <c r="AA34" s="960">
        <f t="shared" si="11"/>
        <v>4040.4359076294104</v>
      </c>
      <c r="AB34" s="960">
        <f t="shared" si="12"/>
        <v>4096.1011553121625</v>
      </c>
      <c r="AC34" s="960">
        <f t="shared" si="13"/>
        <v>4159.4174918219342</v>
      </c>
      <c r="AD34" s="960">
        <f t="shared" si="14"/>
        <v>4222.733828331704</v>
      </c>
      <c r="AE34" s="960">
        <f t="shared" si="15"/>
        <v>4252.003028605458</v>
      </c>
      <c r="AF34" s="960">
        <f t="shared" si="16"/>
        <v>4281.2722288792129</v>
      </c>
    </row>
    <row r="35" spans="1:32" x14ac:dyDescent="0.25">
      <c r="A35" s="941" t="s">
        <v>511</v>
      </c>
      <c r="B35" s="941" t="s">
        <v>613</v>
      </c>
      <c r="C35" s="941" t="s">
        <v>714</v>
      </c>
      <c r="D35" s="941" t="s">
        <v>680</v>
      </c>
      <c r="E35" s="941" t="s">
        <v>715</v>
      </c>
      <c r="F35" s="941"/>
      <c r="G35" s="941"/>
      <c r="H35" s="941" t="s">
        <v>688</v>
      </c>
      <c r="I35" s="941" t="str">
        <f t="shared" si="48"/>
        <v>HEV</v>
      </c>
      <c r="J35" s="942" t="s">
        <v>1114</v>
      </c>
      <c r="K35" s="941" t="str">
        <f t="shared" si="2"/>
        <v>P</v>
      </c>
      <c r="L35" s="941" t="str">
        <f t="shared" si="3"/>
        <v>PR</v>
      </c>
      <c r="M35" s="941" t="str">
        <f t="shared" si="4"/>
        <v>MOT</v>
      </c>
      <c r="N35" s="941" t="str">
        <f t="shared" si="5"/>
        <v>TPPRMOTODS-N</v>
      </c>
      <c r="O35" s="941" t="str">
        <f t="shared" si="6"/>
        <v>TPPRMOTODS-E</v>
      </c>
      <c r="P35" s="997" t="s">
        <v>1431</v>
      </c>
      <c r="Q35" s="960">
        <f>AEA2012_ZAR2022!L24</f>
        <v>159415.0639821435</v>
      </c>
      <c r="R35" s="960">
        <f>AEA2012_ZAR2022!M24</f>
        <v>156845.98005151856</v>
      </c>
      <c r="S35" s="960">
        <f>AEA2012_ZAR2022!N24</f>
        <v>154276.89612089362</v>
      </c>
      <c r="T35" s="960">
        <f>AEA2012_ZAR2022!O24</f>
        <v>154567.5819960676</v>
      </c>
      <c r="U35" s="960">
        <f>AEA2012_ZAR2022!P24</f>
        <v>154858.26787124161</v>
      </c>
      <c r="V35" s="960">
        <f>AEA2012_ZAR2022!Q24</f>
        <v>155416.47421033561</v>
      </c>
      <c r="W35" s="960">
        <f>AEA2012_ZAR2022!R24</f>
        <v>155974.68054942964</v>
      </c>
      <c r="X35" s="951">
        <v>2.7E-2</v>
      </c>
      <c r="Y35" s="951" t="s">
        <v>1434</v>
      </c>
      <c r="Z35" s="960">
        <f t="shared" si="10"/>
        <v>4304.2067275178742</v>
      </c>
      <c r="AA35" s="960">
        <f t="shared" si="11"/>
        <v>4234.8414613910008</v>
      </c>
      <c r="AB35" s="960">
        <f t="shared" si="12"/>
        <v>4165.4761952641275</v>
      </c>
      <c r="AC35" s="960">
        <f t="shared" si="13"/>
        <v>4173.324713893825</v>
      </c>
      <c r="AD35" s="960">
        <f t="shared" si="14"/>
        <v>4181.1732325235234</v>
      </c>
      <c r="AE35" s="960">
        <f t="shared" si="15"/>
        <v>4196.2448036790611</v>
      </c>
      <c r="AF35" s="960">
        <f t="shared" si="16"/>
        <v>4211.3163748346005</v>
      </c>
    </row>
    <row r="36" spans="1:32" x14ac:dyDescent="0.25">
      <c r="A36" s="941" t="s">
        <v>501</v>
      </c>
      <c r="B36" s="941" t="s">
        <v>613</v>
      </c>
      <c r="C36" s="941" t="s">
        <v>714</v>
      </c>
      <c r="D36" s="941" t="s">
        <v>680</v>
      </c>
      <c r="E36" s="941" t="s">
        <v>715</v>
      </c>
      <c r="F36" s="941"/>
      <c r="G36" s="941"/>
      <c r="H36" s="941" t="s">
        <v>692</v>
      </c>
      <c r="I36" s="941" t="str">
        <f t="shared" si="48"/>
        <v>BEV</v>
      </c>
      <c r="J36" s="942" t="s">
        <v>1114</v>
      </c>
      <c r="K36" s="941" t="str">
        <f t="shared" si="2"/>
        <v>P</v>
      </c>
      <c r="L36" s="941" t="str">
        <f t="shared" si="3"/>
        <v>PR</v>
      </c>
      <c r="M36" s="941" t="str">
        <f t="shared" si="4"/>
        <v>MOT</v>
      </c>
      <c r="N36" s="941" t="str">
        <f t="shared" si="5"/>
        <v>TPPRMOTELC-N</v>
      </c>
      <c r="O36" s="941" t="str">
        <f t="shared" si="6"/>
        <v>TPPRMOTELC-E</v>
      </c>
      <c r="P36" s="997" t="s">
        <v>1431</v>
      </c>
      <c r="Q36" s="960">
        <f>AEA2012_ZAR2022!L25</f>
        <v>181465.94491118923</v>
      </c>
      <c r="R36" s="960">
        <f>AEA2012_ZAR2022!M25</f>
        <v>171445.00178036213</v>
      </c>
      <c r="S36" s="960">
        <f>AEA2012_ZAR2022!N25</f>
        <v>161424.058649535</v>
      </c>
      <c r="T36" s="960">
        <f>AEA2012_ZAR2022!O25</f>
        <v>163891.70354364614</v>
      </c>
      <c r="U36" s="960">
        <f>AEA2012_ZAR2022!P25</f>
        <v>166359.34843775732</v>
      </c>
      <c r="V36" s="960">
        <f>AEA2012_ZAR2022!Q25</f>
        <v>168797.79264445865</v>
      </c>
      <c r="W36" s="960">
        <f>AEA2012_ZAR2022!R25</f>
        <v>171236.23685116001</v>
      </c>
      <c r="X36" s="951">
        <v>2.0250000000000001E-2</v>
      </c>
      <c r="Y36" s="951" t="s">
        <v>1434</v>
      </c>
      <c r="Z36" s="960">
        <f t="shared" si="10"/>
        <v>3674.6853844515822</v>
      </c>
      <c r="AA36" s="960">
        <f t="shared" si="11"/>
        <v>3471.7612860523332</v>
      </c>
      <c r="AB36" s="960">
        <f t="shared" si="12"/>
        <v>3268.8371876530837</v>
      </c>
      <c r="AC36" s="960">
        <f t="shared" si="13"/>
        <v>3318.8069967588344</v>
      </c>
      <c r="AD36" s="960">
        <f t="shared" si="14"/>
        <v>3368.7768058645856</v>
      </c>
      <c r="AE36" s="960">
        <f t="shared" si="15"/>
        <v>3418.1553010502876</v>
      </c>
      <c r="AF36" s="960">
        <f t="shared" si="16"/>
        <v>3467.5337962359904</v>
      </c>
    </row>
    <row r="37" spans="1:32" x14ac:dyDescent="0.25">
      <c r="A37" s="941" t="s">
        <v>1320</v>
      </c>
      <c r="B37" s="941" t="s">
        <v>613</v>
      </c>
      <c r="C37" s="941" t="s">
        <v>714</v>
      </c>
      <c r="D37" s="941" t="s">
        <v>680</v>
      </c>
      <c r="E37" s="941" t="s">
        <v>715</v>
      </c>
      <c r="F37" s="941"/>
      <c r="G37" s="941"/>
      <c r="H37" s="941" t="s">
        <v>699</v>
      </c>
      <c r="I37" s="941" t="str">
        <f>IF(A37="HGNF",A37,RIGHT(H37,3))</f>
        <v>HGNF</v>
      </c>
      <c r="J37" s="942" t="s">
        <v>1114</v>
      </c>
      <c r="K37" s="941" t="str">
        <f t="shared" si="2"/>
        <v>P</v>
      </c>
      <c r="L37" s="941" t="str">
        <f t="shared" si="3"/>
        <v>PR</v>
      </c>
      <c r="M37" s="941" t="str">
        <f t="shared" si="4"/>
        <v>MOT</v>
      </c>
      <c r="N37" s="941" t="str">
        <f t="shared" si="5"/>
        <v>TPPRMOTHGNF-N</v>
      </c>
      <c r="O37" s="941" t="str">
        <f t="shared" si="6"/>
        <v>TPPRMOTHGNF-E</v>
      </c>
      <c r="P37" s="997" t="s">
        <v>1431</v>
      </c>
      <c r="Q37" s="960">
        <f>AEA2012_ZAR2022!L26</f>
        <v>538071.45443535224</v>
      </c>
      <c r="R37" s="960">
        <f>AEA2012_ZAR2022!M26</f>
        <v>394691.84220395895</v>
      </c>
      <c r="S37" s="960">
        <f>AEA2012_ZAR2022!N26</f>
        <v>251312.22997256575</v>
      </c>
      <c r="T37" s="960">
        <f>AEA2012_ZAR2022!O26</f>
        <v>234494.37782190836</v>
      </c>
      <c r="U37" s="960">
        <f>AEA2012_ZAR2022!P26</f>
        <v>217676.52567125103</v>
      </c>
      <c r="V37" s="960">
        <f>AEA2012_ZAR2022!Q26</f>
        <v>214287.45572439212</v>
      </c>
      <c r="W37" s="960">
        <f>AEA2012_ZAR2022!R26</f>
        <v>210898.3857775332</v>
      </c>
      <c r="X37" s="951">
        <v>2.7E-2</v>
      </c>
      <c r="Y37" s="951" t="s">
        <v>1434</v>
      </c>
      <c r="Z37" s="960">
        <f t="shared" si="10"/>
        <v>14527.92926975451</v>
      </c>
      <c r="AA37" s="960">
        <f t="shared" si="11"/>
        <v>10656.679739506892</v>
      </c>
      <c r="AB37" s="960">
        <f t="shared" si="12"/>
        <v>6785.4302092592752</v>
      </c>
      <c r="AC37" s="960">
        <f t="shared" si="13"/>
        <v>6331.3482011915257</v>
      </c>
      <c r="AD37" s="960">
        <f t="shared" si="14"/>
        <v>5877.2661931237781</v>
      </c>
      <c r="AE37" s="960">
        <f t="shared" si="15"/>
        <v>5785.7613045585867</v>
      </c>
      <c r="AF37" s="960">
        <f t="shared" si="16"/>
        <v>5694.2564159933963</v>
      </c>
    </row>
    <row r="38" spans="1:32" x14ac:dyDescent="0.25">
      <c r="A38" s="941" t="s">
        <v>511</v>
      </c>
      <c r="B38" s="941" t="s">
        <v>613</v>
      </c>
      <c r="C38" s="941" t="s">
        <v>563</v>
      </c>
      <c r="D38" s="941" t="s">
        <v>687</v>
      </c>
      <c r="E38" s="941" t="s">
        <v>60</v>
      </c>
      <c r="F38" s="941"/>
      <c r="G38" s="941"/>
      <c r="H38" s="941" t="s">
        <v>687</v>
      </c>
      <c r="I38" s="941" t="str">
        <f t="shared" ref="I38:I40" si="50">IF(A38="HGN",A38,RIGHT(H38,3))</f>
        <v>ICE</v>
      </c>
      <c r="J38" s="942" t="s">
        <v>1114</v>
      </c>
      <c r="K38" s="941" t="str">
        <f t="shared" si="2"/>
        <v>P</v>
      </c>
      <c r="L38" s="941" t="str">
        <f t="shared" si="3"/>
        <v>PU</v>
      </c>
      <c r="M38" s="941" t="str">
        <f t="shared" si="4"/>
        <v>BUS</v>
      </c>
      <c r="N38" s="941" t="str">
        <f t="shared" si="5"/>
        <v>TPPUBUSODS-N</v>
      </c>
      <c r="O38" s="941" t="str">
        <f t="shared" si="6"/>
        <v>TPPUBUSODS-E</v>
      </c>
      <c r="P38" s="997" t="s">
        <v>1431</v>
      </c>
      <c r="Q38" s="960">
        <f>AEA2012_ZAR2022!L97</f>
        <v>2567695.72134704</v>
      </c>
      <c r="R38" s="960">
        <f>AEA2012_ZAR2022!M97</f>
        <v>2615638.479371747</v>
      </c>
      <c r="S38" s="960">
        <f>AEA2012_ZAR2022!N97</f>
        <v>2663581.2373964535</v>
      </c>
      <c r="T38" s="960">
        <f>AEA2012_ZAR2022!O97</f>
        <v>2694405.5633458691</v>
      </c>
      <c r="U38" s="960">
        <f>AEA2012_ZAR2022!P97</f>
        <v>2725229.8892952842</v>
      </c>
      <c r="V38" s="960">
        <f>AEA2012_ZAR2022!Q97</f>
        <v>2760418.2771133413</v>
      </c>
      <c r="W38" s="960">
        <f>AEA2012_ZAR2022!R97</f>
        <v>2795606.6649313984</v>
      </c>
      <c r="X38" s="951">
        <v>2.7E-2</v>
      </c>
      <c r="Y38" s="951" t="s">
        <v>1434</v>
      </c>
      <c r="Z38" s="960">
        <f t="shared" si="10"/>
        <v>69327.784476370085</v>
      </c>
      <c r="AA38" s="960">
        <f t="shared" si="11"/>
        <v>70622.23894303717</v>
      </c>
      <c r="AB38" s="960">
        <f t="shared" si="12"/>
        <v>71916.693409704239</v>
      </c>
      <c r="AC38" s="960">
        <f t="shared" si="13"/>
        <v>72748.950210338458</v>
      </c>
      <c r="AD38" s="960">
        <f t="shared" si="14"/>
        <v>73581.207010972677</v>
      </c>
      <c r="AE38" s="960">
        <f t="shared" si="15"/>
        <v>74531.293482060209</v>
      </c>
      <c r="AF38" s="960">
        <f t="shared" si="16"/>
        <v>75481.379953147756</v>
      </c>
    </row>
    <row r="39" spans="1:32" x14ac:dyDescent="0.25">
      <c r="A39" s="941" t="s">
        <v>506</v>
      </c>
      <c r="B39" s="941" t="s">
        <v>613</v>
      </c>
      <c r="C39" s="941" t="s">
        <v>563</v>
      </c>
      <c r="D39" s="941" t="s">
        <v>687</v>
      </c>
      <c r="E39" s="941" t="s">
        <v>60</v>
      </c>
      <c r="F39" s="941"/>
      <c r="G39" s="941"/>
      <c r="H39" s="941" t="s">
        <v>687</v>
      </c>
      <c r="I39" s="941" t="str">
        <f t="shared" si="50"/>
        <v>ICE</v>
      </c>
      <c r="J39" s="942" t="s">
        <v>1114</v>
      </c>
      <c r="K39" s="941" t="str">
        <f t="shared" si="2"/>
        <v>P</v>
      </c>
      <c r="L39" s="941" t="str">
        <f t="shared" si="3"/>
        <v>PU</v>
      </c>
      <c r="M39" s="941" t="str">
        <f t="shared" si="4"/>
        <v>BUS</v>
      </c>
      <c r="N39" s="941" t="str">
        <f t="shared" si="5"/>
        <v>TPPUBUSBGS-N</v>
      </c>
      <c r="O39" s="941" t="str">
        <f t="shared" si="6"/>
        <v>TPPUBUSBGS-E</v>
      </c>
      <c r="P39" s="964" t="s">
        <v>1444</v>
      </c>
      <c r="Q39" s="996">
        <f>Q38</f>
        <v>2567695.72134704</v>
      </c>
      <c r="R39" s="996">
        <f t="shared" ref="R39" si="51">R38</f>
        <v>2615638.479371747</v>
      </c>
      <c r="S39" s="996">
        <f t="shared" ref="S39" si="52">S38</f>
        <v>2663581.2373964535</v>
      </c>
      <c r="T39" s="996">
        <f t="shared" ref="T39" si="53">T38</f>
        <v>2694405.5633458691</v>
      </c>
      <c r="U39" s="996">
        <f t="shared" ref="U39" si="54">U38</f>
        <v>2725229.8892952842</v>
      </c>
      <c r="V39" s="996">
        <f t="shared" ref="V39" si="55">V38</f>
        <v>2760418.2771133413</v>
      </c>
      <c r="W39" s="996">
        <f t="shared" ref="W39" si="56">W38</f>
        <v>2795606.6649313984</v>
      </c>
      <c r="X39" s="951">
        <v>2.7E-2</v>
      </c>
      <c r="Y39" s="951" t="s">
        <v>1434</v>
      </c>
      <c r="Z39" s="960">
        <f t="shared" si="10"/>
        <v>69327.784476370085</v>
      </c>
      <c r="AA39" s="960">
        <f t="shared" si="11"/>
        <v>70622.23894303717</v>
      </c>
      <c r="AB39" s="960">
        <f t="shared" si="12"/>
        <v>71916.693409704239</v>
      </c>
      <c r="AC39" s="960">
        <f t="shared" si="13"/>
        <v>72748.950210338458</v>
      </c>
      <c r="AD39" s="960">
        <f t="shared" si="14"/>
        <v>73581.207010972677</v>
      </c>
      <c r="AE39" s="960">
        <f t="shared" si="15"/>
        <v>74531.293482060209</v>
      </c>
      <c r="AF39" s="960">
        <f t="shared" si="16"/>
        <v>75481.379953147756</v>
      </c>
    </row>
    <row r="40" spans="1:32" x14ac:dyDescent="0.25">
      <c r="A40" s="941" t="s">
        <v>501</v>
      </c>
      <c r="B40" s="941" t="s">
        <v>613</v>
      </c>
      <c r="C40" s="941" t="s">
        <v>563</v>
      </c>
      <c r="D40" s="941" t="s">
        <v>687</v>
      </c>
      <c r="E40" s="941" t="s">
        <v>60</v>
      </c>
      <c r="F40" s="941"/>
      <c r="G40" s="941"/>
      <c r="H40" s="941" t="s">
        <v>692</v>
      </c>
      <c r="I40" s="941" t="str">
        <f t="shared" si="50"/>
        <v>BEV</v>
      </c>
      <c r="J40" s="942" t="s">
        <v>1114</v>
      </c>
      <c r="K40" s="941" t="str">
        <f t="shared" si="2"/>
        <v>P</v>
      </c>
      <c r="L40" s="941" t="str">
        <f t="shared" si="3"/>
        <v>PU</v>
      </c>
      <c r="M40" s="941" t="str">
        <f t="shared" si="4"/>
        <v>BUS</v>
      </c>
      <c r="N40" s="941" t="str">
        <f t="shared" si="5"/>
        <v>TPPUBUSELC-N</v>
      </c>
      <c r="O40" s="941" t="str">
        <f t="shared" si="6"/>
        <v>TPPUBUSELC-E</v>
      </c>
      <c r="P40" s="997" t="s">
        <v>1431</v>
      </c>
      <c r="Q40" s="960">
        <f>AEA2012_ZAR2022!L101</f>
        <v>3636536.3491432052</v>
      </c>
      <c r="R40" s="960">
        <f>AEA2012_ZAR2022!M101</f>
        <v>3448534.4023535051</v>
      </c>
      <c r="S40" s="960">
        <f>AEA2012_ZAR2022!N101</f>
        <v>3260532.4555638046</v>
      </c>
      <c r="T40" s="960">
        <f>AEA2012_ZAR2022!O101</f>
        <v>3282704.3221061127</v>
      </c>
      <c r="U40" s="960">
        <f>AEA2012_ZAR2022!P101</f>
        <v>3304876.1886484213</v>
      </c>
      <c r="V40" s="960">
        <f>AEA2012_ZAR2022!Q101</f>
        <v>3325918.2651405209</v>
      </c>
      <c r="W40" s="960">
        <f>AEA2012_ZAR2022!R101</f>
        <v>3346960.3416326209</v>
      </c>
      <c r="X40" s="951">
        <v>2.0250000000000001E-2</v>
      </c>
      <c r="Y40" s="951" t="s">
        <v>1434</v>
      </c>
      <c r="Z40" s="960">
        <f t="shared" si="10"/>
        <v>73639.861070149913</v>
      </c>
      <c r="AA40" s="960">
        <f t="shared" si="11"/>
        <v>69832.821647658478</v>
      </c>
      <c r="AB40" s="960">
        <f t="shared" si="12"/>
        <v>66025.782225167044</v>
      </c>
      <c r="AC40" s="960">
        <f t="shared" si="13"/>
        <v>66474.762522648787</v>
      </c>
      <c r="AD40" s="960">
        <f t="shared" si="14"/>
        <v>66923.74282013053</v>
      </c>
      <c r="AE40" s="960">
        <f t="shared" si="15"/>
        <v>67349.844869095556</v>
      </c>
      <c r="AF40" s="960">
        <f t="shared" si="16"/>
        <v>67775.946918060581</v>
      </c>
    </row>
    <row r="41" spans="1:32" x14ac:dyDescent="0.25">
      <c r="A41" s="941" t="s">
        <v>1320</v>
      </c>
      <c r="B41" s="941" t="s">
        <v>613</v>
      </c>
      <c r="C41" s="941" t="s">
        <v>563</v>
      </c>
      <c r="D41" s="941" t="s">
        <v>687</v>
      </c>
      <c r="E41" s="941" t="s">
        <v>60</v>
      </c>
      <c r="F41" s="941"/>
      <c r="G41" s="941"/>
      <c r="H41" s="941" t="s">
        <v>699</v>
      </c>
      <c r="I41" s="941" t="str">
        <f>IF(A41="HGNF",A41,RIGHT(H41,3))</f>
        <v>HGNF</v>
      </c>
      <c r="J41" s="942" t="s">
        <v>1114</v>
      </c>
      <c r="K41" s="941" t="str">
        <f t="shared" ref="K41:K72" si="57">IF(B41="PAS","P","F")</f>
        <v>P</v>
      </c>
      <c r="L41" s="941" t="str">
        <f t="shared" ref="L41:L72" si="58">IF(K41="P",IF(OR(C41="CAR",C41="SUV",C41="MOT"),"PR","PU"),C41)</f>
        <v>PU</v>
      </c>
      <c r="M41" s="941" t="str">
        <f t="shared" ref="M41:M72" si="59">IF(K41="P",C41,"")</f>
        <v>BUS</v>
      </c>
      <c r="N41" s="941" t="str">
        <f t="shared" ref="N41:N72" si="60">J41&amp;K41&amp;L41&amp;M41&amp;A41&amp;"-N"</f>
        <v>TPPUBUSHGNF-N</v>
      </c>
      <c r="O41" s="941" t="str">
        <f t="shared" ref="O41:O72" si="61">J41&amp;K41&amp;L41&amp;M41&amp;A41&amp;"-E"</f>
        <v>TPPUBUSHGNF-E</v>
      </c>
      <c r="P41" s="997" t="s">
        <v>1431</v>
      </c>
      <c r="Q41" s="960">
        <f>AEA2012_ZAR2022!L102</f>
        <v>4657878.9828369115</v>
      </c>
      <c r="R41" s="960">
        <f>AEA2012_ZAR2022!M102</f>
        <v>4284563.3154619941</v>
      </c>
      <c r="S41" s="960">
        <f>AEA2012_ZAR2022!N102</f>
        <v>3929454.4970450173</v>
      </c>
      <c r="T41" s="960">
        <f>AEA2012_ZAR2022!O102</f>
        <v>3837489.8313890011</v>
      </c>
      <c r="U41" s="960">
        <f>AEA2012_ZAR2022!P102</f>
        <v>3747506.5366250062</v>
      </c>
      <c r="V41" s="960">
        <f>AEA2012_ZAR2022!Q102</f>
        <v>3658225.8262062594</v>
      </c>
      <c r="W41" s="960">
        <f>AEA2012_ZAR2022!R102</f>
        <v>3570929.2025296749</v>
      </c>
      <c r="X41" s="951">
        <v>2.7E-2</v>
      </c>
      <c r="Y41" s="951" t="s">
        <v>1434</v>
      </c>
      <c r="Z41" s="960">
        <f t="shared" si="10"/>
        <v>125762.73253659661</v>
      </c>
      <c r="AA41" s="960">
        <f t="shared" si="11"/>
        <v>115683.20951747384</v>
      </c>
      <c r="AB41" s="960">
        <f t="shared" si="12"/>
        <v>106095.27142021546</v>
      </c>
      <c r="AC41" s="960">
        <f t="shared" si="13"/>
        <v>103612.22544750303</v>
      </c>
      <c r="AD41" s="960">
        <f t="shared" si="14"/>
        <v>101182.67648887516</v>
      </c>
      <c r="AE41" s="960">
        <f t="shared" si="15"/>
        <v>98772.097307568998</v>
      </c>
      <c r="AF41" s="960">
        <f t="shared" si="16"/>
        <v>96415.088468301226</v>
      </c>
    </row>
    <row r="42" spans="1:32" x14ac:dyDescent="0.25">
      <c r="A42" s="941" t="s">
        <v>509</v>
      </c>
      <c r="B42" s="941" t="s">
        <v>613</v>
      </c>
      <c r="C42" s="941" t="s">
        <v>563</v>
      </c>
      <c r="D42" s="941" t="s">
        <v>687</v>
      </c>
      <c r="E42" s="941" t="s">
        <v>60</v>
      </c>
      <c r="F42" s="941"/>
      <c r="G42" s="941"/>
      <c r="H42" s="941" t="s">
        <v>700</v>
      </c>
      <c r="I42" s="941" t="str">
        <f t="shared" ref="I42:I45" si="62">IF(A42="HGN",A42,RIGHT(H42,3))</f>
        <v>ICE</v>
      </c>
      <c r="J42" s="942" t="s">
        <v>1114</v>
      </c>
      <c r="K42" s="941" t="str">
        <f t="shared" si="57"/>
        <v>P</v>
      </c>
      <c r="L42" s="941" t="str">
        <f t="shared" si="58"/>
        <v>PU</v>
      </c>
      <c r="M42" s="941" t="str">
        <f t="shared" si="59"/>
        <v>BUS</v>
      </c>
      <c r="N42" s="941" t="str">
        <f t="shared" si="60"/>
        <v>TPPUBUSGAS-N</v>
      </c>
      <c r="O42" s="941" t="str">
        <f t="shared" si="61"/>
        <v>TPPUBUSGAS-E</v>
      </c>
      <c r="P42" s="997" t="s">
        <v>1431</v>
      </c>
      <c r="Q42" s="960">
        <f>AEA2012_ZAR2022!L104</f>
        <v>2722506.8075861959</v>
      </c>
      <c r="R42" s="960">
        <f>AEA2012_ZAR2022!M104</f>
        <v>2751113.3109205766</v>
      </c>
      <c r="S42" s="960">
        <f>AEA2012_ZAR2022!N104</f>
        <v>2779719.8142549582</v>
      </c>
      <c r="T42" s="960">
        <f>AEA2012_ZAR2022!O104</f>
        <v>2802897.3721842007</v>
      </c>
      <c r="U42" s="960">
        <f>AEA2012_ZAR2022!P104</f>
        <v>2826074.9301134432</v>
      </c>
      <c r="V42" s="960">
        <f>AEA2012_ZAR2022!Q104</f>
        <v>2855888.4715735563</v>
      </c>
      <c r="W42" s="960">
        <f>AEA2012_ZAR2022!R104</f>
        <v>2885702.0130336694</v>
      </c>
      <c r="X42" s="951">
        <v>2.7E-2</v>
      </c>
      <c r="Y42" s="951" t="s">
        <v>1434</v>
      </c>
      <c r="Z42" s="960">
        <f t="shared" si="10"/>
        <v>73507.683804827291</v>
      </c>
      <c r="AA42" s="960">
        <f t="shared" si="11"/>
        <v>74280.059394855562</v>
      </c>
      <c r="AB42" s="960">
        <f t="shared" si="12"/>
        <v>75052.434984883876</v>
      </c>
      <c r="AC42" s="960">
        <f t="shared" si="13"/>
        <v>75678.229048973415</v>
      </c>
      <c r="AD42" s="960">
        <f t="shared" si="14"/>
        <v>76304.023113062969</v>
      </c>
      <c r="AE42" s="960">
        <f t="shared" si="15"/>
        <v>77108.988732486017</v>
      </c>
      <c r="AF42" s="960">
        <f t="shared" si="16"/>
        <v>77913.95435190908</v>
      </c>
    </row>
    <row r="43" spans="1:32" x14ac:dyDescent="0.25">
      <c r="A43" s="941" t="s">
        <v>511</v>
      </c>
      <c r="B43" s="941" t="s">
        <v>613</v>
      </c>
      <c r="C43" s="941" t="s">
        <v>59</v>
      </c>
      <c r="D43" s="941" t="s">
        <v>687</v>
      </c>
      <c r="E43" s="941" t="s">
        <v>60</v>
      </c>
      <c r="F43" s="941"/>
      <c r="G43" s="941"/>
      <c r="H43" s="941" t="s">
        <v>687</v>
      </c>
      <c r="I43" s="941" t="str">
        <f t="shared" si="62"/>
        <v>ICE</v>
      </c>
      <c r="J43" s="942" t="s">
        <v>1114</v>
      </c>
      <c r="K43" s="941" t="str">
        <f t="shared" si="57"/>
        <v>P</v>
      </c>
      <c r="L43" s="941" t="str">
        <f t="shared" si="58"/>
        <v>PU</v>
      </c>
      <c r="M43" s="941" t="str">
        <f t="shared" si="59"/>
        <v>BRT</v>
      </c>
      <c r="N43" s="941" t="str">
        <f t="shared" si="60"/>
        <v>TPPUBRTODS-N</v>
      </c>
      <c r="O43" s="941" t="str">
        <f t="shared" si="61"/>
        <v>TPPUBRTODS-E</v>
      </c>
      <c r="P43" s="997" t="s">
        <v>1431</v>
      </c>
      <c r="Q43" s="960">
        <f>AEA2012_ZAR2022!L97</f>
        <v>2567695.72134704</v>
      </c>
      <c r="R43" s="960">
        <f>AEA2012_ZAR2022!M97</f>
        <v>2615638.479371747</v>
      </c>
      <c r="S43" s="960">
        <f>AEA2012_ZAR2022!N97</f>
        <v>2663581.2373964535</v>
      </c>
      <c r="T43" s="960">
        <f>AEA2012_ZAR2022!O97</f>
        <v>2694405.5633458691</v>
      </c>
      <c r="U43" s="960">
        <f>AEA2012_ZAR2022!P97</f>
        <v>2725229.8892952842</v>
      </c>
      <c r="V43" s="960">
        <f>AEA2012_ZAR2022!Q97</f>
        <v>2760418.2771133413</v>
      </c>
      <c r="W43" s="960">
        <f>AEA2012_ZAR2022!R97</f>
        <v>2795606.6649313984</v>
      </c>
      <c r="X43" s="951">
        <v>2.7E-2</v>
      </c>
      <c r="Y43" s="951" t="s">
        <v>1434</v>
      </c>
      <c r="Z43" s="960">
        <f t="shared" si="10"/>
        <v>69327.784476370085</v>
      </c>
      <c r="AA43" s="960">
        <f t="shared" si="11"/>
        <v>70622.23894303717</v>
      </c>
      <c r="AB43" s="960">
        <f t="shared" si="12"/>
        <v>71916.693409704239</v>
      </c>
      <c r="AC43" s="960">
        <f t="shared" si="13"/>
        <v>72748.950210338458</v>
      </c>
      <c r="AD43" s="960">
        <f t="shared" si="14"/>
        <v>73581.207010972677</v>
      </c>
      <c r="AE43" s="960">
        <f t="shared" si="15"/>
        <v>74531.293482060209</v>
      </c>
      <c r="AF43" s="960">
        <f t="shared" si="16"/>
        <v>75481.379953147756</v>
      </c>
    </row>
    <row r="44" spans="1:32" x14ac:dyDescent="0.25">
      <c r="A44" s="941" t="s">
        <v>506</v>
      </c>
      <c r="B44" s="941" t="s">
        <v>613</v>
      </c>
      <c r="C44" s="941" t="s">
        <v>59</v>
      </c>
      <c r="D44" s="941" t="s">
        <v>687</v>
      </c>
      <c r="E44" s="941" t="s">
        <v>60</v>
      </c>
      <c r="F44" s="941"/>
      <c r="G44" s="941"/>
      <c r="H44" s="941" t="s">
        <v>687</v>
      </c>
      <c r="I44" s="941" t="str">
        <f t="shared" si="62"/>
        <v>ICE</v>
      </c>
      <c r="J44" s="942" t="s">
        <v>1114</v>
      </c>
      <c r="K44" s="941" t="str">
        <f t="shared" si="57"/>
        <v>P</v>
      </c>
      <c r="L44" s="941" t="str">
        <f t="shared" si="58"/>
        <v>PU</v>
      </c>
      <c r="M44" s="941" t="str">
        <f t="shared" si="59"/>
        <v>BRT</v>
      </c>
      <c r="N44" s="941" t="str">
        <f t="shared" si="60"/>
        <v>TPPUBRTBGS-N</v>
      </c>
      <c r="O44" s="941" t="str">
        <f t="shared" si="61"/>
        <v>TPPUBRTBGS-E</v>
      </c>
      <c r="P44" s="964" t="s">
        <v>1444</v>
      </c>
      <c r="Q44" s="996">
        <f>Q43</f>
        <v>2567695.72134704</v>
      </c>
      <c r="R44" s="996">
        <f t="shared" ref="R44" si="63">R43</f>
        <v>2615638.479371747</v>
      </c>
      <c r="S44" s="996">
        <f t="shared" ref="S44" si="64">S43</f>
        <v>2663581.2373964535</v>
      </c>
      <c r="T44" s="996">
        <f t="shared" ref="T44" si="65">T43</f>
        <v>2694405.5633458691</v>
      </c>
      <c r="U44" s="996">
        <f t="shared" ref="U44" si="66">U43</f>
        <v>2725229.8892952842</v>
      </c>
      <c r="V44" s="996">
        <f t="shared" ref="V44" si="67">V43</f>
        <v>2760418.2771133413</v>
      </c>
      <c r="W44" s="996">
        <f t="shared" ref="W44" si="68">W43</f>
        <v>2795606.6649313984</v>
      </c>
      <c r="X44" s="951">
        <v>2.7E-2</v>
      </c>
      <c r="Y44" s="951" t="s">
        <v>1434</v>
      </c>
      <c r="Z44" s="960">
        <f t="shared" si="10"/>
        <v>69327.784476370085</v>
      </c>
      <c r="AA44" s="960">
        <f t="shared" si="11"/>
        <v>70622.23894303717</v>
      </c>
      <c r="AB44" s="960">
        <f t="shared" si="12"/>
        <v>71916.693409704239</v>
      </c>
      <c r="AC44" s="960">
        <f t="shared" si="13"/>
        <v>72748.950210338458</v>
      </c>
      <c r="AD44" s="960">
        <f t="shared" si="14"/>
        <v>73581.207010972677</v>
      </c>
      <c r="AE44" s="960">
        <f t="shared" si="15"/>
        <v>74531.293482060209</v>
      </c>
      <c r="AF44" s="960">
        <f t="shared" si="16"/>
        <v>75481.379953147756</v>
      </c>
    </row>
    <row r="45" spans="1:32" x14ac:dyDescent="0.25">
      <c r="A45" s="941" t="s">
        <v>501</v>
      </c>
      <c r="B45" s="941" t="s">
        <v>613</v>
      </c>
      <c r="C45" s="941" t="s">
        <v>59</v>
      </c>
      <c r="D45" s="941" t="s">
        <v>687</v>
      </c>
      <c r="E45" s="941" t="s">
        <v>60</v>
      </c>
      <c r="F45" s="941"/>
      <c r="G45" s="941"/>
      <c r="H45" s="941" t="s">
        <v>692</v>
      </c>
      <c r="I45" s="941" t="str">
        <f t="shared" si="62"/>
        <v>BEV</v>
      </c>
      <c r="J45" s="942" t="s">
        <v>1114</v>
      </c>
      <c r="K45" s="941" t="str">
        <f t="shared" si="57"/>
        <v>P</v>
      </c>
      <c r="L45" s="941" t="str">
        <f t="shared" si="58"/>
        <v>PU</v>
      </c>
      <c r="M45" s="941" t="str">
        <f t="shared" si="59"/>
        <v>BRT</v>
      </c>
      <c r="N45" s="941" t="str">
        <f t="shared" si="60"/>
        <v>TPPUBRTELC-N</v>
      </c>
      <c r="O45" s="941" t="str">
        <f t="shared" si="61"/>
        <v>TPPUBRTELC-E</v>
      </c>
      <c r="P45" s="997" t="s">
        <v>1431</v>
      </c>
      <c r="Q45" s="960">
        <f>AEA2012_ZAR2022!L101</f>
        <v>3636536.3491432052</v>
      </c>
      <c r="R45" s="960">
        <f>AEA2012_ZAR2022!M101</f>
        <v>3448534.4023535051</v>
      </c>
      <c r="S45" s="960">
        <f>AEA2012_ZAR2022!N101</f>
        <v>3260532.4555638046</v>
      </c>
      <c r="T45" s="960">
        <f>AEA2012_ZAR2022!O101</f>
        <v>3282704.3221061127</v>
      </c>
      <c r="U45" s="960">
        <f>AEA2012_ZAR2022!P101</f>
        <v>3304876.1886484213</v>
      </c>
      <c r="V45" s="960">
        <f>AEA2012_ZAR2022!Q101</f>
        <v>3325918.2651405209</v>
      </c>
      <c r="W45" s="960">
        <f>AEA2012_ZAR2022!R101</f>
        <v>3346960.3416326209</v>
      </c>
      <c r="X45" s="951">
        <v>2.0250000000000001E-2</v>
      </c>
      <c r="Y45" s="951" t="s">
        <v>1434</v>
      </c>
      <c r="Z45" s="960">
        <f t="shared" si="10"/>
        <v>73639.861070149913</v>
      </c>
      <c r="AA45" s="960">
        <f t="shared" si="11"/>
        <v>69832.821647658478</v>
      </c>
      <c r="AB45" s="960">
        <f t="shared" si="12"/>
        <v>66025.782225167044</v>
      </c>
      <c r="AC45" s="960">
        <f t="shared" si="13"/>
        <v>66474.762522648787</v>
      </c>
      <c r="AD45" s="960">
        <f t="shared" si="14"/>
        <v>66923.74282013053</v>
      </c>
      <c r="AE45" s="960">
        <f t="shared" si="15"/>
        <v>67349.844869095556</v>
      </c>
      <c r="AF45" s="960">
        <f t="shared" si="16"/>
        <v>67775.946918060581</v>
      </c>
    </row>
    <row r="46" spans="1:32" x14ac:dyDescent="0.25">
      <c r="A46" s="941" t="s">
        <v>1320</v>
      </c>
      <c r="B46" s="941" t="s">
        <v>613</v>
      </c>
      <c r="C46" s="941" t="s">
        <v>59</v>
      </c>
      <c r="D46" s="941" t="s">
        <v>687</v>
      </c>
      <c r="E46" s="941" t="s">
        <v>60</v>
      </c>
      <c r="F46" s="941"/>
      <c r="G46" s="941"/>
      <c r="H46" s="941" t="s">
        <v>699</v>
      </c>
      <c r="I46" s="941" t="str">
        <f>IF(A46="HGNF",A46,RIGHT(H46,3))</f>
        <v>HGNF</v>
      </c>
      <c r="J46" s="942" t="s">
        <v>1114</v>
      </c>
      <c r="K46" s="941" t="str">
        <f t="shared" si="57"/>
        <v>P</v>
      </c>
      <c r="L46" s="941" t="str">
        <f t="shared" si="58"/>
        <v>PU</v>
      </c>
      <c r="M46" s="941" t="str">
        <f t="shared" si="59"/>
        <v>BRT</v>
      </c>
      <c r="N46" s="941" t="str">
        <f t="shared" si="60"/>
        <v>TPPUBRTHGNF-N</v>
      </c>
      <c r="O46" s="941" t="str">
        <f t="shared" si="61"/>
        <v>TPPUBRTHGNF-E</v>
      </c>
      <c r="P46" s="1006" t="s">
        <v>1451</v>
      </c>
      <c r="Q46" s="960">
        <f>AEA2012_ZAR2022!L102</f>
        <v>4657878.9828369115</v>
      </c>
      <c r="R46" s="1005">
        <f>+$Q46*R45/$Q45</f>
        <v>4417075.5829505101</v>
      </c>
      <c r="S46" s="1005">
        <f t="shared" ref="S46:W46" si="69">+$Q46*S45/$Q45</f>
        <v>4176272.1830641069</v>
      </c>
      <c r="T46" s="1005">
        <f t="shared" si="69"/>
        <v>4204671.1488002846</v>
      </c>
      <c r="U46" s="1005">
        <f t="shared" si="69"/>
        <v>4233070.1145364624</v>
      </c>
      <c r="V46" s="1005">
        <f t="shared" si="69"/>
        <v>4260021.98203832</v>
      </c>
      <c r="W46" s="1005">
        <f t="shared" si="69"/>
        <v>4286973.8495401787</v>
      </c>
      <c r="X46" s="951">
        <v>2.7E-2</v>
      </c>
      <c r="Y46" s="951" t="s">
        <v>1434</v>
      </c>
      <c r="Z46" s="960">
        <f t="shared" si="10"/>
        <v>125762.73253659661</v>
      </c>
      <c r="AA46" s="960">
        <f t="shared" si="11"/>
        <v>119261.04073966377</v>
      </c>
      <c r="AB46" s="960">
        <f t="shared" si="12"/>
        <v>112759.34894273088</v>
      </c>
      <c r="AC46" s="960">
        <f t="shared" si="13"/>
        <v>113526.12101760769</v>
      </c>
      <c r="AD46" s="960">
        <f t="shared" si="14"/>
        <v>114292.89309248448</v>
      </c>
      <c r="AE46" s="960">
        <f t="shared" si="15"/>
        <v>115020.59351503463</v>
      </c>
      <c r="AF46" s="960">
        <f t="shared" si="16"/>
        <v>115748.29393758482</v>
      </c>
    </row>
    <row r="47" spans="1:32" x14ac:dyDescent="0.25">
      <c r="A47" s="941" t="s">
        <v>509</v>
      </c>
      <c r="B47" s="941" t="s">
        <v>613</v>
      </c>
      <c r="C47" s="941" t="s">
        <v>59</v>
      </c>
      <c r="D47" s="941" t="s">
        <v>687</v>
      </c>
      <c r="E47" s="941" t="s">
        <v>60</v>
      </c>
      <c r="F47" s="941"/>
      <c r="G47" s="941"/>
      <c r="H47" s="941" t="s">
        <v>700</v>
      </c>
      <c r="I47" s="941" t="str">
        <f t="shared" ref="I47:I52" si="70">IF(A47="HGN",A47,RIGHT(H47,3))</f>
        <v>ICE</v>
      </c>
      <c r="J47" s="942" t="s">
        <v>1114</v>
      </c>
      <c r="K47" s="941" t="str">
        <f t="shared" si="57"/>
        <v>P</v>
      </c>
      <c r="L47" s="941" t="str">
        <f t="shared" si="58"/>
        <v>PU</v>
      </c>
      <c r="M47" s="941" t="str">
        <f t="shared" si="59"/>
        <v>BRT</v>
      </c>
      <c r="N47" s="941" t="str">
        <f t="shared" si="60"/>
        <v>TPPUBRTGAS-N</v>
      </c>
      <c r="O47" s="941" t="str">
        <f t="shared" si="61"/>
        <v>TPPUBRTGAS-E</v>
      </c>
      <c r="P47" s="997" t="s">
        <v>1431</v>
      </c>
      <c r="Q47" s="960">
        <f>AEA2012_ZAR2022!L104</f>
        <v>2722506.8075861959</v>
      </c>
      <c r="R47" s="960">
        <f>AEA2012_ZAR2022!M104</f>
        <v>2751113.3109205766</v>
      </c>
      <c r="S47" s="960">
        <f>AEA2012_ZAR2022!N104</f>
        <v>2779719.8142549582</v>
      </c>
      <c r="T47" s="960">
        <f>AEA2012_ZAR2022!O104</f>
        <v>2802897.3721842007</v>
      </c>
      <c r="U47" s="960">
        <f>AEA2012_ZAR2022!P104</f>
        <v>2826074.9301134432</v>
      </c>
      <c r="V47" s="960">
        <f>AEA2012_ZAR2022!Q104</f>
        <v>2855888.4715735563</v>
      </c>
      <c r="W47" s="960">
        <f>AEA2012_ZAR2022!R104</f>
        <v>2885702.0130336694</v>
      </c>
      <c r="X47" s="951">
        <v>2.7E-2</v>
      </c>
      <c r="Y47" s="951" t="s">
        <v>1434</v>
      </c>
      <c r="Z47" s="960">
        <f t="shared" si="10"/>
        <v>73507.683804827291</v>
      </c>
      <c r="AA47" s="960">
        <f t="shared" si="11"/>
        <v>74280.059394855562</v>
      </c>
      <c r="AB47" s="960">
        <f t="shared" si="12"/>
        <v>75052.434984883876</v>
      </c>
      <c r="AC47" s="960">
        <f t="shared" si="13"/>
        <v>75678.229048973415</v>
      </c>
      <c r="AD47" s="960">
        <f t="shared" si="14"/>
        <v>76304.023113062969</v>
      </c>
      <c r="AE47" s="960">
        <f t="shared" si="15"/>
        <v>77108.988732486017</v>
      </c>
      <c r="AF47" s="960">
        <f t="shared" si="16"/>
        <v>77913.95435190908</v>
      </c>
    </row>
    <row r="48" spans="1:32" x14ac:dyDescent="0.25">
      <c r="A48" s="941" t="s">
        <v>573</v>
      </c>
      <c r="B48" s="941" t="s">
        <v>653</v>
      </c>
      <c r="C48" s="941" t="s">
        <v>63</v>
      </c>
      <c r="D48" s="941" t="s">
        <v>680</v>
      </c>
      <c r="E48" s="941"/>
      <c r="F48" s="941" t="s">
        <v>460</v>
      </c>
      <c r="G48" s="941"/>
      <c r="H48" s="941" t="s">
        <v>680</v>
      </c>
      <c r="I48" s="941" t="str">
        <f t="shared" si="70"/>
        <v>ICE</v>
      </c>
      <c r="J48" s="942" t="s">
        <v>1114</v>
      </c>
      <c r="K48" s="941" t="str">
        <f t="shared" si="57"/>
        <v>F</v>
      </c>
      <c r="L48" s="941" t="str">
        <f t="shared" si="58"/>
        <v>LCV</v>
      </c>
      <c r="M48" s="941" t="str">
        <f t="shared" si="59"/>
        <v/>
      </c>
      <c r="N48" s="941" t="str">
        <f t="shared" si="60"/>
        <v>TFLCVOGS-N</v>
      </c>
      <c r="O48" s="941" t="str">
        <f t="shared" si="61"/>
        <v>TFLCVOGS-E</v>
      </c>
      <c r="P48" s="954" t="s">
        <v>1439</v>
      </c>
      <c r="Q48" s="960" cm="1">
        <f t="array" ref="Q48">INDEX([2]IEACostData_passengervehs!$B$13:$Z$16,MATCH($H48,[2]IEACostData_passengervehs!$A$13:$A$16,0),MATCH(1,([2]IEACostData_passengervehs!$B$12:$Z$12=Q$8)*([2]IEACostData_passengervehs!$B$5:$Z$5=$F48),0))</f>
        <v>419495.61249999993</v>
      </c>
      <c r="R48" s="960" cm="1">
        <f t="array" ref="R48">INDEX([2]IEACostData_passengervehs!$B$13:$Z$16,MATCH($H48,[2]IEACostData_passengervehs!$A$13:$A$16,0),MATCH(1,([2]IEACostData_passengervehs!$B$12:$Z$12=R$8)*([2]IEACostData_passengervehs!$B$5:$Z$5=$F48),0))</f>
        <v>423608.31458333327</v>
      </c>
      <c r="S48" s="960" cm="1">
        <f t="array" ref="S48">INDEX([2]IEACostData_passengervehs!$B$13:$Z$16,MATCH($H48,[2]IEACostData_passengervehs!$A$13:$A$16,0),MATCH(1,([2]IEACostData_passengervehs!$B$12:$Z$12=S$8)*([2]IEACostData_passengervehs!$B$5:$Z$5=$F48),0))</f>
        <v>427721.0166666666</v>
      </c>
      <c r="T48" s="963">
        <f>$Q48+($S48-$Q48)/($S$8-$Q$8)*(T$8-$Q$8)</f>
        <v>431833.71874999994</v>
      </c>
      <c r="U48" s="963">
        <f>$Q48+($S48-$Q48)/($S$8-$Q$8)*(U$8-$Q$8)</f>
        <v>435946.42083333328</v>
      </c>
      <c r="V48" s="963">
        <f>$Q48+($S48-$Q48)/($S$8-$Q$8)*(V$8-$Q$8)</f>
        <v>440059.12291666662</v>
      </c>
      <c r="W48" s="963">
        <f>$Q48+($S48-$Q48)/($S$8-$Q$8)*(W$8-$Q$8)</f>
        <v>444171.82499999995</v>
      </c>
      <c r="X48" s="951">
        <f>[2]IEACostData_passengervehs!E39</f>
        <v>1.4619883040935672E-2</v>
      </c>
      <c r="Y48" s="951" t="s">
        <v>1429</v>
      </c>
      <c r="Z48" s="960">
        <f t="shared" si="10"/>
        <v>6132.9767909356715</v>
      </c>
      <c r="AA48" s="960">
        <f t="shared" si="11"/>
        <v>6193.1040143762166</v>
      </c>
      <c r="AB48" s="960">
        <f t="shared" si="12"/>
        <v>6253.2312378167626</v>
      </c>
      <c r="AC48" s="960">
        <f t="shared" si="13"/>
        <v>6313.3584612573086</v>
      </c>
      <c r="AD48" s="960">
        <f t="shared" si="14"/>
        <v>6373.4856846978546</v>
      </c>
      <c r="AE48" s="960">
        <f t="shared" si="15"/>
        <v>6433.6129081384006</v>
      </c>
      <c r="AF48" s="960">
        <f t="shared" si="16"/>
        <v>6493.7401315789466</v>
      </c>
    </row>
    <row r="49" spans="1:32" x14ac:dyDescent="0.25">
      <c r="A49" s="941" t="s">
        <v>519</v>
      </c>
      <c r="B49" s="941" t="s">
        <v>653</v>
      </c>
      <c r="C49" s="941" t="s">
        <v>63</v>
      </c>
      <c r="D49" s="941" t="s">
        <v>680</v>
      </c>
      <c r="E49" s="941"/>
      <c r="F49" s="941" t="s">
        <v>460</v>
      </c>
      <c r="G49" s="941"/>
      <c r="H49" s="941" t="s">
        <v>688</v>
      </c>
      <c r="I49" s="941" t="str">
        <f t="shared" si="70"/>
        <v>HEV</v>
      </c>
      <c r="J49" s="942" t="s">
        <v>1114</v>
      </c>
      <c r="K49" s="941" t="str">
        <f t="shared" si="57"/>
        <v>F</v>
      </c>
      <c r="L49" s="941" t="str">
        <f t="shared" si="58"/>
        <v>LCV</v>
      </c>
      <c r="M49" s="941" t="str">
        <f t="shared" si="59"/>
        <v/>
      </c>
      <c r="N49" s="941" t="str">
        <f t="shared" si="60"/>
        <v>TFLCVOGSH-N</v>
      </c>
      <c r="O49" s="941" t="str">
        <f t="shared" si="61"/>
        <v>TFLCVOGSH-E</v>
      </c>
      <c r="P49" s="954" t="s">
        <v>1439</v>
      </c>
      <c r="Q49" s="960" cm="1">
        <f t="array" ref="Q49">INDEX([2]IEACostData_passengervehs!$B$13:$Z$16,MATCH($H49,[2]IEACostData_passengervehs!$A$13:$A$16,0),MATCH(1,([2]IEACostData_passengervehs!$B$12:$Z$12=Q$8)*([2]IEACostData_passengervehs!$B$5:$Z$5=$F49),0))</f>
        <v>523464.7211666666</v>
      </c>
      <c r="R49" s="962">
        <f t="shared" ref="R49:S49" si="71">$Q49*R$3</f>
        <v>482967.59078620322</v>
      </c>
      <c r="S49" s="962">
        <f t="shared" si="71"/>
        <v>455082.62596021092</v>
      </c>
      <c r="T49" s="962">
        <f>$Q49*T$3</f>
        <v>455826.22502223792</v>
      </c>
      <c r="U49" s="962">
        <f>$Q49*U$3</f>
        <v>456569.8240842644</v>
      </c>
      <c r="V49" s="962">
        <f>$Q49*V$3</f>
        <v>457313.42314629088</v>
      </c>
      <c r="W49" s="962">
        <f>$Q49*W$3</f>
        <v>458057.02220831736</v>
      </c>
      <c r="X49" s="951">
        <f>[2]IEACostData_passengervehs!E41</f>
        <v>1.201923076923077E-2</v>
      </c>
      <c r="Y49" s="951" t="s">
        <v>1429</v>
      </c>
      <c r="Z49" s="960">
        <f t="shared" si="10"/>
        <v>6291.6432832532046</v>
      </c>
      <c r="AA49" s="960">
        <f t="shared" si="11"/>
        <v>5804.8989277187893</v>
      </c>
      <c r="AB49" s="960">
        <f t="shared" si="12"/>
        <v>5469.7431004833043</v>
      </c>
      <c r="AC49" s="960">
        <f t="shared" si="13"/>
        <v>5478.6805892095908</v>
      </c>
      <c r="AD49" s="960">
        <f t="shared" si="14"/>
        <v>5487.6180779358701</v>
      </c>
      <c r="AE49" s="960">
        <f t="shared" si="15"/>
        <v>5496.5555666621503</v>
      </c>
      <c r="AF49" s="960">
        <f t="shared" si="16"/>
        <v>5505.4930553884296</v>
      </c>
    </row>
    <row r="50" spans="1:32" x14ac:dyDescent="0.25">
      <c r="A50" s="941" t="s">
        <v>511</v>
      </c>
      <c r="B50" s="941" t="s">
        <v>653</v>
      </c>
      <c r="C50" s="941" t="s">
        <v>63</v>
      </c>
      <c r="D50" s="941" t="s">
        <v>680</v>
      </c>
      <c r="E50" s="941"/>
      <c r="F50" s="941" t="s">
        <v>460</v>
      </c>
      <c r="G50" s="941"/>
      <c r="H50" s="941" t="s">
        <v>687</v>
      </c>
      <c r="I50" s="941" t="str">
        <f t="shared" si="70"/>
        <v>ICE</v>
      </c>
      <c r="J50" s="942" t="s">
        <v>1114</v>
      </c>
      <c r="K50" s="941" t="str">
        <f t="shared" si="57"/>
        <v>F</v>
      </c>
      <c r="L50" s="941" t="str">
        <f t="shared" si="58"/>
        <v>LCV</v>
      </c>
      <c r="M50" s="941" t="str">
        <f t="shared" si="59"/>
        <v/>
      </c>
      <c r="N50" s="941" t="str">
        <f t="shared" si="60"/>
        <v>TFLCVODS-N</v>
      </c>
      <c r="O50" s="941" t="str">
        <f t="shared" si="61"/>
        <v>TFLCVODS-E</v>
      </c>
      <c r="P50" s="954" t="s">
        <v>1439</v>
      </c>
      <c r="Q50" s="960" cm="1">
        <f t="array" ref="Q50">INDEX([2]IEACostData_passengervehs!$B$13:$Z$16,MATCH($H50,[2]IEACostData_passengervehs!$A$13:$A$16,0),MATCH(1,([2]IEACostData_passengervehs!$B$12:$Z$12=Q$8)*([2]IEACostData_passengervehs!$B$5:$Z$5=$F50),0))</f>
        <v>440552.64716666663</v>
      </c>
      <c r="R50" s="960" cm="1">
        <f t="array" ref="R50">INDEX([2]IEACostData_passengervehs!$B$13:$Z$16,MATCH($H50,[2]IEACostData_passengervehs!$A$13:$A$16,0),MATCH(1,([2]IEACostData_passengervehs!$B$12:$Z$12=R$8)*([2]IEACostData_passengervehs!$B$5:$Z$5=$F50),0))</f>
        <v>451656.9427916666</v>
      </c>
      <c r="S50" s="960" cm="1">
        <f t="array" ref="S50">INDEX([2]IEACostData_passengervehs!$B$13:$Z$16,MATCH($H50,[2]IEACostData_passengervehs!$A$13:$A$16,0),MATCH(1,([2]IEACostData_passengervehs!$B$12:$Z$12=S$8)*([2]IEACostData_passengervehs!$B$5:$Z$5=$F50),0))</f>
        <v>462761.23841666663</v>
      </c>
      <c r="T50" s="963">
        <f>$Q50+($S50-$Q50)/($S$8-$Q$8)*(T$8-$Q$8)</f>
        <v>473865.53404166666</v>
      </c>
      <c r="U50" s="963">
        <f>$Q50+($S50-$Q50)/($S$8-$Q$8)*(U$8-$Q$8)</f>
        <v>484969.82966666663</v>
      </c>
      <c r="V50" s="963">
        <f>$Q50+($S50-$Q50)/($S$8-$Q$8)*(V$8-$Q$8)</f>
        <v>496074.12529166666</v>
      </c>
      <c r="W50" s="963">
        <f>$Q50+($S50-$Q50)/($S$8-$Q$8)*(W$8-$Q$8)</f>
        <v>507178.42091666663</v>
      </c>
      <c r="X50" s="951">
        <f>[2]IEACostData_passengervehs!E40</f>
        <v>1.5915119363395226E-2</v>
      </c>
      <c r="Y50" s="951" t="s">
        <v>1429</v>
      </c>
      <c r="Z50" s="960">
        <f t="shared" si="10"/>
        <v>7011.4479655172408</v>
      </c>
      <c r="AA50" s="960">
        <f t="shared" si="11"/>
        <v>7188.1741558355425</v>
      </c>
      <c r="AB50" s="960">
        <f t="shared" si="12"/>
        <v>7364.9003461538459</v>
      </c>
      <c r="AC50" s="960">
        <f t="shared" si="13"/>
        <v>7541.6265364721485</v>
      </c>
      <c r="AD50" s="960">
        <f t="shared" si="14"/>
        <v>7718.3527267904501</v>
      </c>
      <c r="AE50" s="960">
        <f t="shared" si="15"/>
        <v>7895.0789171087536</v>
      </c>
      <c r="AF50" s="960">
        <f t="shared" si="16"/>
        <v>8071.8051074270552</v>
      </c>
    </row>
    <row r="51" spans="1:32" x14ac:dyDescent="0.25">
      <c r="A51" s="941" t="s">
        <v>521</v>
      </c>
      <c r="B51" s="941" t="s">
        <v>653</v>
      </c>
      <c r="C51" s="941" t="s">
        <v>63</v>
      </c>
      <c r="D51" s="941" t="s">
        <v>680</v>
      </c>
      <c r="E51" s="941" t="s">
        <v>701</v>
      </c>
      <c r="F51" s="941"/>
      <c r="G51" s="941"/>
      <c r="H51" s="941" t="s">
        <v>689</v>
      </c>
      <c r="I51" s="941" t="str">
        <f t="shared" si="70"/>
        <v>HEV</v>
      </c>
      <c r="J51" s="942" t="s">
        <v>1114</v>
      </c>
      <c r="K51" s="941" t="str">
        <f t="shared" si="57"/>
        <v>F</v>
      </c>
      <c r="L51" s="941" t="str">
        <f t="shared" si="58"/>
        <v>LCV</v>
      </c>
      <c r="M51" s="941" t="str">
        <f t="shared" si="59"/>
        <v/>
      </c>
      <c r="N51" s="941" t="str">
        <f t="shared" si="60"/>
        <v>TFLCVODSH-N</v>
      </c>
      <c r="O51" s="941" t="str">
        <f t="shared" si="61"/>
        <v>TFLCVODSH-E</v>
      </c>
      <c r="P51" s="964" t="s">
        <v>1445</v>
      </c>
      <c r="Q51" s="996">
        <f>Q23</f>
        <v>561024.06464457815</v>
      </c>
      <c r="R51" s="996">
        <f t="shared" ref="R51:W51" si="72">R23</f>
        <v>517429.84817664715</v>
      </c>
      <c r="S51" s="996">
        <f t="shared" si="72"/>
        <v>487372.51476795628</v>
      </c>
      <c r="T51" s="996">
        <f t="shared" si="72"/>
        <v>488128.58988041553</v>
      </c>
      <c r="U51" s="996">
        <f t="shared" si="72"/>
        <v>488885.26235594234</v>
      </c>
      <c r="V51" s="996">
        <f t="shared" si="72"/>
        <v>489561.01572544704</v>
      </c>
      <c r="W51" s="996">
        <f t="shared" si="72"/>
        <v>490237.25458797789</v>
      </c>
      <c r="X51" s="951">
        <v>2.7E-2</v>
      </c>
      <c r="Y51" s="951" t="s">
        <v>1434</v>
      </c>
      <c r="Z51" s="960">
        <f t="shared" si="10"/>
        <v>15147.649745403609</v>
      </c>
      <c r="AA51" s="960">
        <f t="shared" si="11"/>
        <v>13970.605900769473</v>
      </c>
      <c r="AB51" s="960">
        <f t="shared" si="12"/>
        <v>13159.05789873482</v>
      </c>
      <c r="AC51" s="960">
        <f t="shared" si="13"/>
        <v>13179.471926771219</v>
      </c>
      <c r="AD51" s="960">
        <f t="shared" si="14"/>
        <v>13199.902083610443</v>
      </c>
      <c r="AE51" s="960">
        <f t="shared" si="15"/>
        <v>13218.14742458707</v>
      </c>
      <c r="AF51" s="960">
        <f t="shared" si="16"/>
        <v>13236.405873875403</v>
      </c>
    </row>
    <row r="52" spans="1:32" x14ac:dyDescent="0.25">
      <c r="A52" s="941" t="s">
        <v>501</v>
      </c>
      <c r="B52" s="941" t="s">
        <v>653</v>
      </c>
      <c r="C52" s="941" t="s">
        <v>63</v>
      </c>
      <c r="D52" s="941" t="s">
        <v>680</v>
      </c>
      <c r="E52" s="941"/>
      <c r="F52" s="941"/>
      <c r="G52" s="941" t="s">
        <v>1412</v>
      </c>
      <c r="H52" s="941" t="s">
        <v>692</v>
      </c>
      <c r="I52" s="941" t="str">
        <f t="shared" si="70"/>
        <v>BEV</v>
      </c>
      <c r="J52" s="942" t="s">
        <v>1114</v>
      </c>
      <c r="K52" s="941" t="str">
        <f t="shared" si="57"/>
        <v>F</v>
      </c>
      <c r="L52" s="941" t="str">
        <f t="shared" si="58"/>
        <v>LCV</v>
      </c>
      <c r="M52" s="941" t="str">
        <f t="shared" si="59"/>
        <v/>
      </c>
      <c r="N52" s="941" t="str">
        <f t="shared" si="60"/>
        <v>TFLCVELC-N</v>
      </c>
      <c r="O52" s="941" t="str">
        <f t="shared" si="61"/>
        <v>TFLCVELC-E</v>
      </c>
      <c r="P52" s="953" t="s">
        <v>1432</v>
      </c>
      <c r="Q52" s="962">
        <f>+R52*Q$4/$V$4</f>
        <v>1387568.7699972126</v>
      </c>
      <c r="R52" s="962">
        <f>+S52*R$4/$V$4</f>
        <v>980505.52198871772</v>
      </c>
      <c r="S52" s="962">
        <f>+T52*S$4/$V$4</f>
        <v>781571.70301661338</v>
      </c>
      <c r="T52" s="962">
        <f>+U52*T$4/$V$4</f>
        <v>714478.95140223322</v>
      </c>
      <c r="U52" s="962">
        <f>+V52*U$4/$V$4</f>
        <v>672385.61783124856</v>
      </c>
      <c r="V52" s="962">
        <f>NREL_LCVs!U27</f>
        <v>651977.74764148204</v>
      </c>
      <c r="W52" s="962">
        <f>NREL_LCVs!V27</f>
        <v>648957.12408498651</v>
      </c>
      <c r="X52" s="951">
        <f>IEACostData_passengervehs!E42</f>
        <v>9.9206349206349201E-3</v>
      </c>
      <c r="Y52" s="951" t="s">
        <v>1429</v>
      </c>
      <c r="Z52" s="960">
        <f t="shared" si="10"/>
        <v>13765.563194416791</v>
      </c>
      <c r="AA52" s="960">
        <f t="shared" si="11"/>
        <v>9727.2373213166429</v>
      </c>
      <c r="AB52" s="960">
        <f t="shared" si="12"/>
        <v>7753.6875299267194</v>
      </c>
      <c r="AC52" s="960">
        <f t="shared" si="13"/>
        <v>7088.084835339615</v>
      </c>
      <c r="AD52" s="960">
        <f t="shared" si="14"/>
        <v>6670.4922403893706</v>
      </c>
      <c r="AE52" s="960">
        <f t="shared" si="15"/>
        <v>6468.0332107289878</v>
      </c>
      <c r="AF52" s="960">
        <f t="shared" si="16"/>
        <v>6438.0667071923262</v>
      </c>
    </row>
    <row r="53" spans="1:32" x14ac:dyDescent="0.25">
      <c r="A53" s="941" t="s">
        <v>1320</v>
      </c>
      <c r="B53" s="941" t="s">
        <v>653</v>
      </c>
      <c r="C53" s="941" t="s">
        <v>63</v>
      </c>
      <c r="D53" s="941" t="s">
        <v>680</v>
      </c>
      <c r="E53" s="941"/>
      <c r="F53" s="941"/>
      <c r="G53" s="941" t="s">
        <v>1412</v>
      </c>
      <c r="H53" s="941" t="s">
        <v>699</v>
      </c>
      <c r="I53" s="941" t="str">
        <f>IF(A53="HGNF",A53,RIGHT(H53,3))</f>
        <v>HGNF</v>
      </c>
      <c r="J53" s="942" t="s">
        <v>1114</v>
      </c>
      <c r="K53" s="941" t="str">
        <f t="shared" si="57"/>
        <v>F</v>
      </c>
      <c r="L53" s="941" t="str">
        <f t="shared" si="58"/>
        <v>LCV</v>
      </c>
      <c r="M53" s="941" t="str">
        <f t="shared" si="59"/>
        <v/>
      </c>
      <c r="N53" s="941" t="str">
        <f t="shared" si="60"/>
        <v>TFLCVHGNF-N</v>
      </c>
      <c r="O53" s="941" t="str">
        <f t="shared" si="61"/>
        <v>TFLCVHGNF-E</v>
      </c>
      <c r="P53" s="953" t="s">
        <v>1432</v>
      </c>
      <c r="Q53" s="996">
        <f>Q48*AEA2012_ZAR2022!T40</f>
        <v>1220020.5429054683</v>
      </c>
      <c r="R53" s="996">
        <f>R48*AEA2012_ZAR2022!U40</f>
        <v>928642.34951580525</v>
      </c>
      <c r="S53" s="996">
        <f>S48*AEA2012_ZAR2022!V40</f>
        <v>642261.53794123558</v>
      </c>
      <c r="T53" s="996">
        <f>T48*AEA2012_ZAR2022!W40</f>
        <v>604292.0946604216</v>
      </c>
      <c r="U53" s="996">
        <f>U48*AEA2012_ZAR2022!X40</f>
        <v>567346.78817569662</v>
      </c>
      <c r="V53" s="996">
        <f>V48*AEA2012_ZAR2022!Y40</f>
        <v>559051.4157199281</v>
      </c>
      <c r="W53" s="996">
        <f>W48*AEA2012_ZAR2022!Z40</f>
        <v>550783.84545792337</v>
      </c>
      <c r="X53" s="951">
        <v>2.7E-2</v>
      </c>
      <c r="Y53" s="951" t="s">
        <v>1434</v>
      </c>
      <c r="Z53" s="960">
        <f t="shared" si="10"/>
        <v>32940.55465844764</v>
      </c>
      <c r="AA53" s="960">
        <f t="shared" si="11"/>
        <v>25073.343436926742</v>
      </c>
      <c r="AB53" s="960">
        <f t="shared" si="12"/>
        <v>17341.061524413362</v>
      </c>
      <c r="AC53" s="960">
        <f t="shared" si="13"/>
        <v>16315.886555831383</v>
      </c>
      <c r="AD53" s="960">
        <f t="shared" si="14"/>
        <v>15318.363280743808</v>
      </c>
      <c r="AE53" s="960">
        <f t="shared" si="15"/>
        <v>15094.388224438058</v>
      </c>
      <c r="AF53" s="960">
        <f t="shared" si="16"/>
        <v>14871.163827363931</v>
      </c>
    </row>
    <row r="54" spans="1:32" x14ac:dyDescent="0.25">
      <c r="A54" s="941" t="s">
        <v>509</v>
      </c>
      <c r="B54" s="941" t="s">
        <v>653</v>
      </c>
      <c r="C54" s="941" t="s">
        <v>63</v>
      </c>
      <c r="D54" s="941" t="s">
        <v>680</v>
      </c>
      <c r="E54" s="941"/>
      <c r="F54" s="941"/>
      <c r="G54" s="941" t="s">
        <v>1412</v>
      </c>
      <c r="H54" s="941" t="s">
        <v>700</v>
      </c>
      <c r="I54" s="941" t="str">
        <f t="shared" ref="I54:I57" si="73">IF(A54="HGN",A54,RIGHT(H54,3))</f>
        <v>ICE</v>
      </c>
      <c r="J54" s="942" t="s">
        <v>1114</v>
      </c>
      <c r="K54" s="941" t="str">
        <f t="shared" si="57"/>
        <v>F</v>
      </c>
      <c r="L54" s="941" t="str">
        <f t="shared" si="58"/>
        <v>LCV</v>
      </c>
      <c r="M54" s="941" t="str">
        <f t="shared" si="59"/>
        <v/>
      </c>
      <c r="N54" s="941" t="str">
        <f t="shared" si="60"/>
        <v>TFLCVGAS-N</v>
      </c>
      <c r="O54" s="941" t="str">
        <f t="shared" si="61"/>
        <v>TFLCVGAS-E</v>
      </c>
      <c r="P54" s="953" t="s">
        <v>1432</v>
      </c>
      <c r="Q54" s="996">
        <f>+Q33</f>
        <v>589472.75350728515</v>
      </c>
      <c r="R54" s="996">
        <f t="shared" ref="R54:W54" si="74">+R33</f>
        <v>646245.75917275506</v>
      </c>
      <c r="S54" s="996">
        <f t="shared" si="74"/>
        <v>693661.87508556526</v>
      </c>
      <c r="T54" s="996">
        <f t="shared" si="74"/>
        <v>700357.51315390621</v>
      </c>
      <c r="U54" s="996">
        <f t="shared" si="74"/>
        <v>707053.55800592899</v>
      </c>
      <c r="V54" s="996">
        <f t="shared" si="74"/>
        <v>713750.00765732198</v>
      </c>
      <c r="W54" s="996">
        <f t="shared" si="74"/>
        <v>720446.8601366597</v>
      </c>
      <c r="X54" s="951">
        <v>2.7E-2</v>
      </c>
      <c r="Y54" s="951" t="s">
        <v>1434</v>
      </c>
      <c r="Z54" s="960">
        <f t="shared" si="10"/>
        <v>15915.764344696699</v>
      </c>
      <c r="AA54" s="960">
        <f t="shared" si="11"/>
        <v>17448.635497664385</v>
      </c>
      <c r="AB54" s="960">
        <f t="shared" si="12"/>
        <v>18728.870627310262</v>
      </c>
      <c r="AC54" s="960">
        <f t="shared" si="13"/>
        <v>18909.652855155469</v>
      </c>
      <c r="AD54" s="960">
        <f t="shared" si="14"/>
        <v>19090.446066160082</v>
      </c>
      <c r="AE54" s="960">
        <f t="shared" si="15"/>
        <v>19271.250206747693</v>
      </c>
      <c r="AF54" s="960">
        <f t="shared" si="16"/>
        <v>19452.065223689813</v>
      </c>
    </row>
    <row r="55" spans="1:32" x14ac:dyDescent="0.25">
      <c r="A55" s="941" t="s">
        <v>511</v>
      </c>
      <c r="B55" s="941" t="s">
        <v>653</v>
      </c>
      <c r="C55" s="941" t="s">
        <v>724</v>
      </c>
      <c r="D55" s="941" t="s">
        <v>687</v>
      </c>
      <c r="E55" s="941"/>
      <c r="F55" s="941"/>
      <c r="G55" s="941" t="s">
        <v>1412</v>
      </c>
      <c r="H55" s="941" t="s">
        <v>687</v>
      </c>
      <c r="I55" s="941" t="str">
        <f t="shared" si="73"/>
        <v>ICE</v>
      </c>
      <c r="J55" s="942" t="s">
        <v>1114</v>
      </c>
      <c r="K55" s="941" t="str">
        <f t="shared" si="57"/>
        <v>F</v>
      </c>
      <c r="L55" s="941" t="str">
        <f t="shared" si="58"/>
        <v>HCV1</v>
      </c>
      <c r="M55" s="941" t="str">
        <f t="shared" si="59"/>
        <v/>
      </c>
      <c r="N55" s="941" t="str">
        <f t="shared" si="60"/>
        <v>TFHCV1ODS-N</v>
      </c>
      <c r="O55" s="941" t="str">
        <f t="shared" si="61"/>
        <v>TFHCV1ODS-E</v>
      </c>
      <c r="P55" s="953" t="s">
        <v>1432</v>
      </c>
      <c r="Q55" s="960">
        <f>NREL_LCVs!P23</f>
        <v>490970.88063351967</v>
      </c>
      <c r="R55" s="960">
        <f>NREL_LCVs!Q23</f>
        <v>494847.24255646119</v>
      </c>
      <c r="S55" s="960">
        <f>NREL_LCVs!R23</f>
        <v>499593.89474185096</v>
      </c>
      <c r="T55" s="960">
        <f>NREL_LCVs!S23</f>
        <v>502826.68430327694</v>
      </c>
      <c r="U55" s="960">
        <f>NREL_LCVs!T23</f>
        <v>515565.04220864776</v>
      </c>
      <c r="V55" s="960">
        <f>NREL_LCVs!U23</f>
        <v>501687.95398135477</v>
      </c>
      <c r="W55" s="960">
        <f>NREL_LCVs!V23</f>
        <v>501685.35290862317</v>
      </c>
      <c r="X55" s="951">
        <v>2.7E-2</v>
      </c>
      <c r="Y55" s="951" t="s">
        <v>1434</v>
      </c>
      <c r="Z55" s="960">
        <f t="shared" si="10"/>
        <v>13256.213777105031</v>
      </c>
      <c r="AA55" s="960">
        <f t="shared" si="11"/>
        <v>13360.875549024451</v>
      </c>
      <c r="AB55" s="960">
        <f t="shared" si="12"/>
        <v>13489.035158029976</v>
      </c>
      <c r="AC55" s="960">
        <f t="shared" si="13"/>
        <v>13576.320476188477</v>
      </c>
      <c r="AD55" s="960">
        <f t="shared" si="14"/>
        <v>13920.25613963349</v>
      </c>
      <c r="AE55" s="960">
        <f t="shared" si="15"/>
        <v>13545.574757496579</v>
      </c>
      <c r="AF55" s="960">
        <f t="shared" si="16"/>
        <v>13545.504528532825</v>
      </c>
    </row>
    <row r="56" spans="1:32" x14ac:dyDescent="0.25">
      <c r="A56" s="941" t="s">
        <v>573</v>
      </c>
      <c r="B56" s="941" t="s">
        <v>653</v>
      </c>
      <c r="C56" s="941" t="s">
        <v>724</v>
      </c>
      <c r="D56" s="941" t="s">
        <v>687</v>
      </c>
      <c r="E56" s="941"/>
      <c r="F56" s="941"/>
      <c r="G56" s="941" t="s">
        <v>1412</v>
      </c>
      <c r="H56" s="941" t="s">
        <v>680</v>
      </c>
      <c r="I56" s="941" t="str">
        <f t="shared" si="73"/>
        <v>ICE</v>
      </c>
      <c r="J56" s="942" t="s">
        <v>1114</v>
      </c>
      <c r="K56" s="941" t="str">
        <f t="shared" si="57"/>
        <v>F</v>
      </c>
      <c r="L56" s="941" t="str">
        <f t="shared" si="58"/>
        <v>HCV1</v>
      </c>
      <c r="M56" s="941" t="str">
        <f t="shared" si="59"/>
        <v/>
      </c>
      <c r="N56" s="941" t="str">
        <f t="shared" si="60"/>
        <v>TFHCV1OGS-N</v>
      </c>
      <c r="O56" s="941" t="str">
        <f t="shared" si="61"/>
        <v>TFHCV1OGS-E</v>
      </c>
      <c r="P56" s="953" t="s">
        <v>1432</v>
      </c>
      <c r="Q56" s="960">
        <f>NREL_LCVs!P23</f>
        <v>490970.88063351967</v>
      </c>
      <c r="R56" s="960">
        <f>NREL_LCVs!Q23</f>
        <v>494847.24255646119</v>
      </c>
      <c r="S56" s="960">
        <f>NREL_LCVs!R23</f>
        <v>499593.89474185096</v>
      </c>
      <c r="T56" s="960">
        <f>NREL_LCVs!S23</f>
        <v>502826.68430327694</v>
      </c>
      <c r="U56" s="960">
        <f>NREL_LCVs!T23</f>
        <v>515565.04220864776</v>
      </c>
      <c r="V56" s="960">
        <f>NREL_LCVs!U23</f>
        <v>501687.95398135477</v>
      </c>
      <c r="W56" s="960">
        <f>NREL_LCVs!V23</f>
        <v>501685.35290862317</v>
      </c>
      <c r="X56" s="951">
        <v>2.7E-2</v>
      </c>
      <c r="Y56" s="951" t="s">
        <v>1434</v>
      </c>
      <c r="Z56" s="960">
        <f t="shared" si="10"/>
        <v>13256.213777105031</v>
      </c>
      <c r="AA56" s="960">
        <f t="shared" si="11"/>
        <v>13360.875549024451</v>
      </c>
      <c r="AB56" s="960">
        <f t="shared" si="12"/>
        <v>13489.035158029976</v>
      </c>
      <c r="AC56" s="960">
        <f t="shared" si="13"/>
        <v>13576.320476188477</v>
      </c>
      <c r="AD56" s="960">
        <f t="shared" si="14"/>
        <v>13920.25613963349</v>
      </c>
      <c r="AE56" s="960">
        <f t="shared" si="15"/>
        <v>13545.574757496579</v>
      </c>
      <c r="AF56" s="960">
        <f t="shared" si="16"/>
        <v>13545.504528532825</v>
      </c>
    </row>
    <row r="57" spans="1:32" x14ac:dyDescent="0.25">
      <c r="A57" s="941" t="s">
        <v>501</v>
      </c>
      <c r="B57" s="941" t="s">
        <v>653</v>
      </c>
      <c r="C57" s="941" t="s">
        <v>724</v>
      </c>
      <c r="D57" s="941" t="s">
        <v>687</v>
      </c>
      <c r="E57" s="941"/>
      <c r="F57" s="941"/>
      <c r="G57" s="941" t="s">
        <v>1412</v>
      </c>
      <c r="H57" s="941" t="s">
        <v>692</v>
      </c>
      <c r="I57" s="941" t="str">
        <f t="shared" si="73"/>
        <v>BEV</v>
      </c>
      <c r="J57" s="942" t="s">
        <v>1114</v>
      </c>
      <c r="K57" s="941" t="str">
        <f t="shared" si="57"/>
        <v>F</v>
      </c>
      <c r="L57" s="941" t="str">
        <f t="shared" si="58"/>
        <v>HCV1</v>
      </c>
      <c r="M57" s="941" t="str">
        <f t="shared" si="59"/>
        <v/>
      </c>
      <c r="N57" s="941" t="str">
        <f t="shared" si="60"/>
        <v>TFHCV1ELC-N</v>
      </c>
      <c r="O57" s="941" t="str">
        <f t="shared" si="61"/>
        <v>TFHCV1ELC-E</v>
      </c>
      <c r="P57" s="953" t="s">
        <v>1432</v>
      </c>
      <c r="Q57" s="962">
        <f>+R57*Q$4/$V$4</f>
        <v>1387568.7699972126</v>
      </c>
      <c r="R57" s="962">
        <f>+S57*R$4/$V$4</f>
        <v>980505.52198871772</v>
      </c>
      <c r="S57" s="962">
        <f>+T57*S$4/$V$4</f>
        <v>781571.70301661338</v>
      </c>
      <c r="T57" s="962">
        <f>+U57*T$4/$V$4</f>
        <v>714478.95140223322</v>
      </c>
      <c r="U57" s="962">
        <f>+V57*U$4/$V$4</f>
        <v>672385.61783124856</v>
      </c>
      <c r="V57" s="960">
        <f>NREL_LCVs!U27</f>
        <v>651977.74764148204</v>
      </c>
      <c r="W57" s="960">
        <f>NREL_LCVs!V27</f>
        <v>648957.12408498651</v>
      </c>
      <c r="X57" s="951">
        <v>2.0250000000000001E-2</v>
      </c>
      <c r="Y57" s="951" t="s">
        <v>1434</v>
      </c>
      <c r="Z57" s="960">
        <f t="shared" si="10"/>
        <v>28098.267592443557</v>
      </c>
      <c r="AA57" s="960">
        <f t="shared" si="11"/>
        <v>19855.236820271533</v>
      </c>
      <c r="AB57" s="960">
        <f t="shared" si="12"/>
        <v>15826.826986086422</v>
      </c>
      <c r="AC57" s="960">
        <f t="shared" si="13"/>
        <v>14468.198765895224</v>
      </c>
      <c r="AD57" s="960">
        <f t="shared" si="14"/>
        <v>13615.808761082784</v>
      </c>
      <c r="AE57" s="960">
        <f t="shared" si="15"/>
        <v>13202.549389740012</v>
      </c>
      <c r="AF57" s="960">
        <f t="shared" si="16"/>
        <v>13141.381762720977</v>
      </c>
    </row>
    <row r="58" spans="1:32" x14ac:dyDescent="0.25">
      <c r="A58" s="941" t="s">
        <v>504</v>
      </c>
      <c r="B58" s="941" t="s">
        <v>653</v>
      </c>
      <c r="C58" s="941" t="s">
        <v>724</v>
      </c>
      <c r="D58" s="941" t="s">
        <v>687</v>
      </c>
      <c r="E58" s="941"/>
      <c r="F58" s="941"/>
      <c r="G58" s="941" t="s">
        <v>1412</v>
      </c>
      <c r="H58" s="941" t="s">
        <v>699</v>
      </c>
      <c r="I58" s="941" t="s">
        <v>1320</v>
      </c>
      <c r="J58" s="942" t="s">
        <v>1114</v>
      </c>
      <c r="K58" s="941" t="str">
        <f t="shared" si="57"/>
        <v>F</v>
      </c>
      <c r="L58" s="941" t="str">
        <f t="shared" si="58"/>
        <v>HCV1</v>
      </c>
      <c r="M58" s="941" t="str">
        <f t="shared" si="59"/>
        <v/>
      </c>
      <c r="N58" s="941" t="str">
        <f t="shared" si="60"/>
        <v>TFHCV1HGN-N</v>
      </c>
      <c r="O58" s="941" t="str">
        <f t="shared" si="61"/>
        <v>TFHCV1HGN-E</v>
      </c>
      <c r="P58" s="953" t="s">
        <v>1432</v>
      </c>
      <c r="Q58" s="963">
        <f>+Q$82/Q$81*Q57</f>
        <v>1357567.1301582998</v>
      </c>
      <c r="R58" s="963">
        <f t="shared" ref="R58:U58" si="75">+R$82/R$81*R57</f>
        <v>1047690.4499316232</v>
      </c>
      <c r="S58" s="963">
        <f t="shared" si="75"/>
        <v>933794.42355014663</v>
      </c>
      <c r="T58" s="963">
        <f t="shared" si="75"/>
        <v>848405.14128543087</v>
      </c>
      <c r="U58" s="963">
        <f t="shared" si="75"/>
        <v>793007.91646743892</v>
      </c>
      <c r="V58" s="963">
        <f t="shared" ref="V58" si="76">+V$82/V$81*V57</f>
        <v>770145.36978358077</v>
      </c>
      <c r="W58" s="963">
        <f t="shared" ref="W58" si="77">+W$82/W$81*W57</f>
        <v>767808.35348594305</v>
      </c>
      <c r="X58" s="951">
        <v>2.7E-2</v>
      </c>
      <c r="Y58" s="951" t="s">
        <v>1434</v>
      </c>
      <c r="Z58" s="960">
        <f t="shared" si="10"/>
        <v>36654.312514274097</v>
      </c>
      <c r="AA58" s="960">
        <f t="shared" si="11"/>
        <v>28287.642148153827</v>
      </c>
      <c r="AB58" s="960">
        <f t="shared" si="12"/>
        <v>25212.44943585396</v>
      </c>
      <c r="AC58" s="960">
        <f t="shared" si="13"/>
        <v>22906.938814706635</v>
      </c>
      <c r="AD58" s="960">
        <f t="shared" si="14"/>
        <v>21411.213744620851</v>
      </c>
      <c r="AE58" s="960">
        <f t="shared" si="15"/>
        <v>20793.924984156682</v>
      </c>
      <c r="AF58" s="960">
        <f t="shared" si="16"/>
        <v>20730.825544120464</v>
      </c>
    </row>
    <row r="59" spans="1:32" x14ac:dyDescent="0.25">
      <c r="A59" s="941" t="s">
        <v>509</v>
      </c>
      <c r="B59" s="941" t="s">
        <v>653</v>
      </c>
      <c r="C59" s="941" t="s">
        <v>724</v>
      </c>
      <c r="D59" s="941" t="s">
        <v>687</v>
      </c>
      <c r="E59" s="941"/>
      <c r="F59" s="941"/>
      <c r="G59" s="941" t="s">
        <v>1412</v>
      </c>
      <c r="H59" s="941" t="s">
        <v>700</v>
      </c>
      <c r="I59" s="941" t="str">
        <f t="shared" ref="I59:I61" si="78">IF(A59="HGN",A59,RIGHT(H59,3))</f>
        <v>ICE</v>
      </c>
      <c r="J59" s="942" t="s">
        <v>1114</v>
      </c>
      <c r="K59" s="941" t="str">
        <f t="shared" si="57"/>
        <v>F</v>
      </c>
      <c r="L59" s="941" t="str">
        <f t="shared" si="58"/>
        <v>HCV1</v>
      </c>
      <c r="M59" s="941" t="str">
        <f t="shared" si="59"/>
        <v/>
      </c>
      <c r="N59" s="941" t="str">
        <f t="shared" si="60"/>
        <v>TFHCV1GAS-N</v>
      </c>
      <c r="O59" s="941" t="str">
        <f t="shared" si="61"/>
        <v>TFHCV1GAS-E</v>
      </c>
      <c r="P59" s="953" t="s">
        <v>1432</v>
      </c>
      <c r="Q59" s="963">
        <f t="shared" ref="Q59:U59" si="79">_xlfn.FORECAST.LINEAR(Q$8,$V59:$W59,$V$8:$W$8)</f>
        <v>626095.77316793078</v>
      </c>
      <c r="R59" s="963">
        <f t="shared" si="79"/>
        <v>624935.21780148777</v>
      </c>
      <c r="S59" s="963">
        <f t="shared" si="79"/>
        <v>623774.66243504477</v>
      </c>
      <c r="T59" s="963">
        <f t="shared" si="79"/>
        <v>622614.10706860176</v>
      </c>
      <c r="U59" s="963">
        <f t="shared" si="79"/>
        <v>621453.55170215876</v>
      </c>
      <c r="V59" s="960">
        <f>NREL_LCVs!U25</f>
        <v>620292.99633571575</v>
      </c>
      <c r="W59" s="960">
        <f>NREL_LCVs!V25</f>
        <v>619132.44096927275</v>
      </c>
      <c r="X59" s="951">
        <v>2.7E-2</v>
      </c>
      <c r="Y59" s="951" t="s">
        <v>1434</v>
      </c>
      <c r="Z59" s="960">
        <f t="shared" si="10"/>
        <v>16904.585875534132</v>
      </c>
      <c r="AA59" s="960">
        <f t="shared" si="11"/>
        <v>16873.250880640171</v>
      </c>
      <c r="AB59" s="960">
        <f t="shared" si="12"/>
        <v>16841.91588574621</v>
      </c>
      <c r="AC59" s="960">
        <f t="shared" si="13"/>
        <v>16810.580890852249</v>
      </c>
      <c r="AD59" s="960">
        <f t="shared" si="14"/>
        <v>16779.245895958287</v>
      </c>
      <c r="AE59" s="960">
        <f t="shared" si="15"/>
        <v>16747.910901064326</v>
      </c>
      <c r="AF59" s="960">
        <f t="shared" si="16"/>
        <v>16716.575906170365</v>
      </c>
    </row>
    <row r="60" spans="1:32" x14ac:dyDescent="0.25">
      <c r="A60" s="941" t="s">
        <v>511</v>
      </c>
      <c r="B60" s="941" t="s">
        <v>653</v>
      </c>
      <c r="C60" s="941" t="s">
        <v>728</v>
      </c>
      <c r="D60" s="941" t="s">
        <v>687</v>
      </c>
      <c r="E60" s="941"/>
      <c r="F60" s="941"/>
      <c r="G60" s="941" t="s">
        <v>1412</v>
      </c>
      <c r="H60" s="941" t="s">
        <v>687</v>
      </c>
      <c r="I60" s="941" t="str">
        <f t="shared" si="78"/>
        <v>ICE</v>
      </c>
      <c r="J60" s="942" t="s">
        <v>1114</v>
      </c>
      <c r="K60" s="941" t="str">
        <f t="shared" si="57"/>
        <v>F</v>
      </c>
      <c r="L60" s="941" t="str">
        <f t="shared" si="58"/>
        <v>HCV2</v>
      </c>
      <c r="M60" s="941" t="str">
        <f t="shared" si="59"/>
        <v/>
      </c>
      <c r="N60" s="941" t="str">
        <f t="shared" si="60"/>
        <v>TFHCV2ODS-N</v>
      </c>
      <c r="O60" s="941" t="str">
        <f t="shared" si="61"/>
        <v>TFHCV2ODS-E</v>
      </c>
      <c r="P60" s="953" t="s">
        <v>1432</v>
      </c>
      <c r="Q60" s="960">
        <f>NREL_LCVs!P23</f>
        <v>490970.88063351967</v>
      </c>
      <c r="R60" s="960">
        <f>NREL_LCVs!Q23</f>
        <v>494847.24255646119</v>
      </c>
      <c r="S60" s="960">
        <f>NREL_LCVs!R23</f>
        <v>499593.89474185096</v>
      </c>
      <c r="T60" s="960">
        <f>NREL_LCVs!S23</f>
        <v>502826.68430327694</v>
      </c>
      <c r="U60" s="960">
        <f>NREL_LCVs!T23</f>
        <v>515565.04220864776</v>
      </c>
      <c r="V60" s="960">
        <f>NREL_LCVs!U23</f>
        <v>501687.95398135477</v>
      </c>
      <c r="W60" s="960">
        <f>NREL_LCVs!V23</f>
        <v>501685.35290862317</v>
      </c>
      <c r="X60" s="951">
        <v>2.7E-2</v>
      </c>
      <c r="Y60" s="951" t="s">
        <v>1434</v>
      </c>
      <c r="Z60" s="960">
        <f t="shared" si="10"/>
        <v>13256.213777105031</v>
      </c>
      <c r="AA60" s="960">
        <f t="shared" si="11"/>
        <v>13360.875549024451</v>
      </c>
      <c r="AB60" s="960">
        <f t="shared" si="12"/>
        <v>13489.035158029976</v>
      </c>
      <c r="AC60" s="960">
        <f t="shared" si="13"/>
        <v>13576.320476188477</v>
      </c>
      <c r="AD60" s="960">
        <f t="shared" si="14"/>
        <v>13920.25613963349</v>
      </c>
      <c r="AE60" s="960">
        <f t="shared" si="15"/>
        <v>13545.574757496579</v>
      </c>
      <c r="AF60" s="960">
        <f t="shared" si="16"/>
        <v>13545.504528532825</v>
      </c>
    </row>
    <row r="61" spans="1:32" x14ac:dyDescent="0.25">
      <c r="A61" s="941" t="s">
        <v>501</v>
      </c>
      <c r="B61" s="941" t="s">
        <v>653</v>
      </c>
      <c r="C61" s="941" t="s">
        <v>728</v>
      </c>
      <c r="D61" s="941" t="s">
        <v>687</v>
      </c>
      <c r="E61" s="941"/>
      <c r="F61" s="941"/>
      <c r="G61" s="941" t="s">
        <v>1412</v>
      </c>
      <c r="H61" s="941" t="s">
        <v>692</v>
      </c>
      <c r="I61" s="941" t="str">
        <f t="shared" si="78"/>
        <v>BEV</v>
      </c>
      <c r="J61" s="942" t="s">
        <v>1114</v>
      </c>
      <c r="K61" s="941" t="str">
        <f t="shared" si="57"/>
        <v>F</v>
      </c>
      <c r="L61" s="941" t="str">
        <f t="shared" si="58"/>
        <v>HCV2</v>
      </c>
      <c r="M61" s="941" t="str">
        <f t="shared" si="59"/>
        <v/>
      </c>
      <c r="N61" s="941" t="str">
        <f t="shared" si="60"/>
        <v>TFHCV2ELC-N</v>
      </c>
      <c r="O61" s="941" t="str">
        <f t="shared" si="61"/>
        <v>TFHCV2ELC-E</v>
      </c>
      <c r="P61" s="953" t="s">
        <v>1432</v>
      </c>
      <c r="Q61" s="962">
        <f>+R61*Q$4/$V$4</f>
        <v>1387568.7699972126</v>
      </c>
      <c r="R61" s="962">
        <f>+S61*R$4/$V$4</f>
        <v>980505.52198871772</v>
      </c>
      <c r="S61" s="962">
        <f>+T61*S$4/$V$4</f>
        <v>781571.70301661338</v>
      </c>
      <c r="T61" s="962">
        <f>+U61*T$4/$V$4</f>
        <v>714478.95140223322</v>
      </c>
      <c r="U61" s="962">
        <f>+V61*U$4/$V$4</f>
        <v>672385.61783124856</v>
      </c>
      <c r="V61" s="960">
        <f>NREL_LCVs!U27</f>
        <v>651977.74764148204</v>
      </c>
      <c r="W61" s="960">
        <f>NREL_LCVs!V27</f>
        <v>648957.12408498651</v>
      </c>
      <c r="X61" s="951">
        <v>2.0250000000000001E-2</v>
      </c>
      <c r="Y61" s="951" t="s">
        <v>1434</v>
      </c>
      <c r="Z61" s="960">
        <f t="shared" si="10"/>
        <v>28098.267592443557</v>
      </c>
      <c r="AA61" s="960">
        <f t="shared" si="11"/>
        <v>19855.236820271533</v>
      </c>
      <c r="AB61" s="960">
        <f t="shared" si="12"/>
        <v>15826.826986086422</v>
      </c>
      <c r="AC61" s="960">
        <f t="shared" si="13"/>
        <v>14468.198765895224</v>
      </c>
      <c r="AD61" s="960">
        <f t="shared" si="14"/>
        <v>13615.808761082784</v>
      </c>
      <c r="AE61" s="960">
        <f t="shared" si="15"/>
        <v>13202.549389740012</v>
      </c>
      <c r="AF61" s="960">
        <f t="shared" si="16"/>
        <v>13141.381762720977</v>
      </c>
    </row>
    <row r="62" spans="1:32" x14ac:dyDescent="0.25">
      <c r="A62" s="941" t="s">
        <v>504</v>
      </c>
      <c r="B62" s="941" t="s">
        <v>653</v>
      </c>
      <c r="C62" s="941" t="s">
        <v>728</v>
      </c>
      <c r="D62" s="941" t="s">
        <v>687</v>
      </c>
      <c r="E62" s="941"/>
      <c r="F62" s="941"/>
      <c r="G62" s="941" t="s">
        <v>1412</v>
      </c>
      <c r="H62" s="941" t="s">
        <v>699</v>
      </c>
      <c r="I62" s="941" t="s">
        <v>1320</v>
      </c>
      <c r="J62" s="942" t="s">
        <v>1114</v>
      </c>
      <c r="K62" s="941" t="str">
        <f t="shared" si="57"/>
        <v>F</v>
      </c>
      <c r="L62" s="941" t="str">
        <f t="shared" si="58"/>
        <v>HCV2</v>
      </c>
      <c r="M62" s="941" t="str">
        <f t="shared" si="59"/>
        <v/>
      </c>
      <c r="N62" s="941" t="str">
        <f t="shared" si="60"/>
        <v>TFHCV2HGN-N</v>
      </c>
      <c r="O62" s="941" t="str">
        <f t="shared" si="61"/>
        <v>TFHCV2HGN-E</v>
      </c>
      <c r="P62" s="953" t="s">
        <v>1432</v>
      </c>
      <c r="Q62" s="963">
        <f>+Q$82/Q$81*Q61</f>
        <v>1357567.1301582998</v>
      </c>
      <c r="R62" s="963">
        <f t="shared" ref="R62" si="80">+R$82/R$81*R61</f>
        <v>1047690.4499316232</v>
      </c>
      <c r="S62" s="963">
        <f t="shared" ref="S62" si="81">+S$82/S$81*S61</f>
        <v>933794.42355014663</v>
      </c>
      <c r="T62" s="963">
        <f t="shared" ref="T62" si="82">+T$82/T$81*T61</f>
        <v>848405.14128543087</v>
      </c>
      <c r="U62" s="963">
        <f t="shared" ref="U62" si="83">+U$82/U$81*U61</f>
        <v>793007.91646743892</v>
      </c>
      <c r="V62" s="963">
        <f t="shared" ref="V62" si="84">+V$82/V$81*V61</f>
        <v>770145.36978358077</v>
      </c>
      <c r="W62" s="963">
        <f t="shared" ref="W62" si="85">+W$82/W$81*W61</f>
        <v>767808.35348594305</v>
      </c>
      <c r="X62" s="951">
        <v>2.7E-2</v>
      </c>
      <c r="Y62" s="951" t="s">
        <v>1434</v>
      </c>
      <c r="Z62" s="960">
        <f t="shared" si="10"/>
        <v>36654.312514274097</v>
      </c>
      <c r="AA62" s="960">
        <f t="shared" si="11"/>
        <v>28287.642148153827</v>
      </c>
      <c r="AB62" s="960">
        <f t="shared" si="12"/>
        <v>25212.44943585396</v>
      </c>
      <c r="AC62" s="960">
        <f t="shared" si="13"/>
        <v>22906.938814706635</v>
      </c>
      <c r="AD62" s="960">
        <f t="shared" si="14"/>
        <v>21411.213744620851</v>
      </c>
      <c r="AE62" s="960">
        <f t="shared" si="15"/>
        <v>20793.924984156682</v>
      </c>
      <c r="AF62" s="960">
        <f t="shared" si="16"/>
        <v>20730.825544120464</v>
      </c>
    </row>
    <row r="63" spans="1:32" x14ac:dyDescent="0.25">
      <c r="A63" s="941" t="s">
        <v>509</v>
      </c>
      <c r="B63" s="941" t="s">
        <v>653</v>
      </c>
      <c r="C63" s="941" t="s">
        <v>728</v>
      </c>
      <c r="D63" s="941" t="s">
        <v>687</v>
      </c>
      <c r="E63" s="941"/>
      <c r="F63" s="941"/>
      <c r="G63" s="941" t="s">
        <v>1412</v>
      </c>
      <c r="H63" s="941" t="s">
        <v>700</v>
      </c>
      <c r="I63" s="941" t="str">
        <f t="shared" ref="I63:I65" si="86">IF(A63="HGN",A63,RIGHT(H63,3))</f>
        <v>ICE</v>
      </c>
      <c r="J63" s="942" t="s">
        <v>1114</v>
      </c>
      <c r="K63" s="941" t="str">
        <f t="shared" si="57"/>
        <v>F</v>
      </c>
      <c r="L63" s="941" t="str">
        <f t="shared" si="58"/>
        <v>HCV2</v>
      </c>
      <c r="M63" s="941" t="str">
        <f t="shared" si="59"/>
        <v/>
      </c>
      <c r="N63" s="941" t="str">
        <f t="shared" si="60"/>
        <v>TFHCV2GAS-N</v>
      </c>
      <c r="O63" s="941" t="str">
        <f t="shared" si="61"/>
        <v>TFHCV2GAS-E</v>
      </c>
      <c r="P63" s="953" t="s">
        <v>1432</v>
      </c>
      <c r="Q63" s="963">
        <f t="shared" ref="Q63:U63" si="87">_xlfn.FORECAST.LINEAR(Q$8,$V63:$W63,$V$8:$W$8)</f>
        <v>626095.77316793078</v>
      </c>
      <c r="R63" s="963">
        <f t="shared" si="87"/>
        <v>624935.21780148777</v>
      </c>
      <c r="S63" s="963">
        <f t="shared" si="87"/>
        <v>623774.66243504477</v>
      </c>
      <c r="T63" s="963">
        <f t="shared" si="87"/>
        <v>622614.10706860176</v>
      </c>
      <c r="U63" s="963">
        <f t="shared" si="87"/>
        <v>621453.55170215876</v>
      </c>
      <c r="V63" s="960">
        <f>NREL_LCVs!U25</f>
        <v>620292.99633571575</v>
      </c>
      <c r="W63" s="960">
        <f>NREL_LCVs!V25</f>
        <v>619132.44096927275</v>
      </c>
      <c r="X63" s="951">
        <v>2.7E-2</v>
      </c>
      <c r="Y63" s="951" t="s">
        <v>1434</v>
      </c>
      <c r="Z63" s="960">
        <f t="shared" si="10"/>
        <v>16904.585875534132</v>
      </c>
      <c r="AA63" s="960">
        <f t="shared" si="11"/>
        <v>16873.250880640171</v>
      </c>
      <c r="AB63" s="960">
        <f t="shared" si="12"/>
        <v>16841.91588574621</v>
      </c>
      <c r="AC63" s="960">
        <f t="shared" si="13"/>
        <v>16810.580890852249</v>
      </c>
      <c r="AD63" s="960">
        <f t="shared" si="14"/>
        <v>16779.245895958287</v>
      </c>
      <c r="AE63" s="960">
        <f t="shared" si="15"/>
        <v>16747.910901064326</v>
      </c>
      <c r="AF63" s="960">
        <f t="shared" si="16"/>
        <v>16716.575906170365</v>
      </c>
    </row>
    <row r="64" spans="1:32" x14ac:dyDescent="0.25">
      <c r="A64" s="941" t="s">
        <v>511</v>
      </c>
      <c r="B64" s="941" t="s">
        <v>653</v>
      </c>
      <c r="C64" s="941" t="s">
        <v>731</v>
      </c>
      <c r="D64" s="941" t="s">
        <v>687</v>
      </c>
      <c r="E64" s="941"/>
      <c r="F64" s="941"/>
      <c r="G64" s="941" t="s">
        <v>1412</v>
      </c>
      <c r="H64" s="941" t="s">
        <v>687</v>
      </c>
      <c r="I64" s="941" t="str">
        <f t="shared" si="86"/>
        <v>ICE</v>
      </c>
      <c r="J64" s="942" t="s">
        <v>1114</v>
      </c>
      <c r="K64" s="941" t="str">
        <f t="shared" si="57"/>
        <v>F</v>
      </c>
      <c r="L64" s="941" t="str">
        <f t="shared" si="58"/>
        <v>HCV3</v>
      </c>
      <c r="M64" s="941" t="str">
        <f t="shared" si="59"/>
        <v/>
      </c>
      <c r="N64" s="941" t="str">
        <f t="shared" si="60"/>
        <v>TFHCV3ODS-N</v>
      </c>
      <c r="O64" s="941" t="str">
        <f t="shared" si="61"/>
        <v>TFHCV3ODS-E</v>
      </c>
      <c r="P64" s="953" t="s">
        <v>1432</v>
      </c>
      <c r="Q64" s="960">
        <f>NREL_LCVs!P23</f>
        <v>490970.88063351967</v>
      </c>
      <c r="R64" s="960">
        <f>NREL_LCVs!Q23</f>
        <v>494847.24255646119</v>
      </c>
      <c r="S64" s="960">
        <f>NREL_LCVs!R23</f>
        <v>499593.89474185096</v>
      </c>
      <c r="T64" s="960">
        <f>NREL_LCVs!S23</f>
        <v>502826.68430327694</v>
      </c>
      <c r="U64" s="960">
        <f>NREL_LCVs!T23</f>
        <v>515565.04220864776</v>
      </c>
      <c r="V64" s="960">
        <f>NREL_LCVs!U23</f>
        <v>501687.95398135477</v>
      </c>
      <c r="W64" s="960">
        <f>NREL_LCVs!V23</f>
        <v>501685.35290862317</v>
      </c>
      <c r="X64" s="951">
        <v>2.7E-2</v>
      </c>
      <c r="Y64" s="951" t="s">
        <v>1434</v>
      </c>
      <c r="Z64" s="960">
        <f t="shared" si="10"/>
        <v>13256.213777105031</v>
      </c>
      <c r="AA64" s="960">
        <f t="shared" si="11"/>
        <v>13360.875549024451</v>
      </c>
      <c r="AB64" s="960">
        <f t="shared" si="12"/>
        <v>13489.035158029976</v>
      </c>
      <c r="AC64" s="960">
        <f t="shared" si="13"/>
        <v>13576.320476188477</v>
      </c>
      <c r="AD64" s="960">
        <f t="shared" si="14"/>
        <v>13920.25613963349</v>
      </c>
      <c r="AE64" s="960">
        <f t="shared" si="15"/>
        <v>13545.574757496579</v>
      </c>
      <c r="AF64" s="960">
        <f t="shared" si="16"/>
        <v>13545.504528532825</v>
      </c>
    </row>
    <row r="65" spans="1:32" x14ac:dyDescent="0.25">
      <c r="A65" s="941" t="s">
        <v>501</v>
      </c>
      <c r="B65" s="941" t="s">
        <v>653</v>
      </c>
      <c r="C65" s="941" t="s">
        <v>731</v>
      </c>
      <c r="D65" s="941" t="s">
        <v>687</v>
      </c>
      <c r="E65" s="941"/>
      <c r="F65" s="941"/>
      <c r="G65" s="941" t="s">
        <v>1412</v>
      </c>
      <c r="H65" s="941" t="s">
        <v>692</v>
      </c>
      <c r="I65" s="941" t="str">
        <f t="shared" si="86"/>
        <v>BEV</v>
      </c>
      <c r="J65" s="942" t="s">
        <v>1114</v>
      </c>
      <c r="K65" s="941" t="str">
        <f t="shared" si="57"/>
        <v>F</v>
      </c>
      <c r="L65" s="941" t="str">
        <f t="shared" si="58"/>
        <v>HCV3</v>
      </c>
      <c r="M65" s="941" t="str">
        <f t="shared" si="59"/>
        <v/>
      </c>
      <c r="N65" s="941" t="str">
        <f t="shared" si="60"/>
        <v>TFHCV3ELC-N</v>
      </c>
      <c r="O65" s="941" t="str">
        <f t="shared" si="61"/>
        <v>TFHCV3ELC-E</v>
      </c>
      <c r="P65" s="953" t="s">
        <v>1432</v>
      </c>
      <c r="Q65" s="962">
        <f>+R65*Q$4/$V$4</f>
        <v>1387568.7699972126</v>
      </c>
      <c r="R65" s="962">
        <f>+S65*R$4/$V$4</f>
        <v>980505.52198871772</v>
      </c>
      <c r="S65" s="962">
        <f>+T65*S$4/$V$4</f>
        <v>781571.70301661338</v>
      </c>
      <c r="T65" s="962">
        <f>+U65*T$4/$V$4</f>
        <v>714478.95140223322</v>
      </c>
      <c r="U65" s="962">
        <f>+V65*U$4/$V$4</f>
        <v>672385.61783124856</v>
      </c>
      <c r="V65" s="960">
        <f>NREL_LCVs!U27</f>
        <v>651977.74764148204</v>
      </c>
      <c r="W65" s="960">
        <f>NREL_LCVs!V27</f>
        <v>648957.12408498651</v>
      </c>
      <c r="X65" s="951">
        <v>2.0250000000000001E-2</v>
      </c>
      <c r="Y65" s="951" t="s">
        <v>1434</v>
      </c>
      <c r="Z65" s="960">
        <f t="shared" si="10"/>
        <v>28098.267592443557</v>
      </c>
      <c r="AA65" s="960">
        <f t="shared" si="11"/>
        <v>19855.236820271533</v>
      </c>
      <c r="AB65" s="960">
        <f t="shared" si="12"/>
        <v>15826.826986086422</v>
      </c>
      <c r="AC65" s="960">
        <f t="shared" si="13"/>
        <v>14468.198765895224</v>
      </c>
      <c r="AD65" s="960">
        <f t="shared" si="14"/>
        <v>13615.808761082784</v>
      </c>
      <c r="AE65" s="960">
        <f t="shared" si="15"/>
        <v>13202.549389740012</v>
      </c>
      <c r="AF65" s="960">
        <f t="shared" si="16"/>
        <v>13141.381762720977</v>
      </c>
    </row>
    <row r="66" spans="1:32" x14ac:dyDescent="0.25">
      <c r="A66" s="941" t="s">
        <v>504</v>
      </c>
      <c r="B66" s="941" t="s">
        <v>653</v>
      </c>
      <c r="C66" s="941" t="s">
        <v>731</v>
      </c>
      <c r="D66" s="941" t="s">
        <v>687</v>
      </c>
      <c r="E66" s="941"/>
      <c r="F66" s="941"/>
      <c r="G66" s="941" t="s">
        <v>1412</v>
      </c>
      <c r="H66" s="941" t="s">
        <v>699</v>
      </c>
      <c r="I66" s="941" t="s">
        <v>1320</v>
      </c>
      <c r="J66" s="942" t="s">
        <v>1114</v>
      </c>
      <c r="K66" s="941" t="str">
        <f t="shared" si="57"/>
        <v>F</v>
      </c>
      <c r="L66" s="941" t="str">
        <f t="shared" si="58"/>
        <v>HCV3</v>
      </c>
      <c r="M66" s="941" t="str">
        <f t="shared" si="59"/>
        <v/>
      </c>
      <c r="N66" s="941" t="str">
        <f t="shared" si="60"/>
        <v>TFHCV3HGN-N</v>
      </c>
      <c r="O66" s="941" t="str">
        <f t="shared" si="61"/>
        <v>TFHCV3HGN-E</v>
      </c>
      <c r="P66" s="953" t="s">
        <v>1432</v>
      </c>
      <c r="Q66" s="963">
        <f>+Q$82/Q$81*Q65</f>
        <v>1357567.1301582998</v>
      </c>
      <c r="R66" s="963">
        <f t="shared" ref="R66" si="88">+R$82/R$81*R65</f>
        <v>1047690.4499316232</v>
      </c>
      <c r="S66" s="963">
        <f t="shared" ref="S66" si="89">+S$82/S$81*S65</f>
        <v>933794.42355014663</v>
      </c>
      <c r="T66" s="963">
        <f t="shared" ref="T66" si="90">+T$82/T$81*T65</f>
        <v>848405.14128543087</v>
      </c>
      <c r="U66" s="963">
        <f t="shared" ref="U66" si="91">+U$82/U$81*U65</f>
        <v>793007.91646743892</v>
      </c>
      <c r="V66" s="963">
        <f t="shared" ref="V66" si="92">+V$82/V$81*V65</f>
        <v>770145.36978358077</v>
      </c>
      <c r="W66" s="963">
        <f t="shared" ref="W66" si="93">+W$82/W$81*W65</f>
        <v>767808.35348594305</v>
      </c>
      <c r="X66" s="951">
        <v>2.7E-2</v>
      </c>
      <c r="Y66" s="951" t="s">
        <v>1434</v>
      </c>
      <c r="Z66" s="960">
        <f t="shared" si="10"/>
        <v>36654.312514274097</v>
      </c>
      <c r="AA66" s="960">
        <f t="shared" si="11"/>
        <v>28287.642148153827</v>
      </c>
      <c r="AB66" s="960">
        <f t="shared" si="12"/>
        <v>25212.44943585396</v>
      </c>
      <c r="AC66" s="960">
        <f t="shared" si="13"/>
        <v>22906.938814706635</v>
      </c>
      <c r="AD66" s="960">
        <f t="shared" si="14"/>
        <v>21411.213744620851</v>
      </c>
      <c r="AE66" s="960">
        <f t="shared" si="15"/>
        <v>20793.924984156682</v>
      </c>
      <c r="AF66" s="960">
        <f t="shared" si="16"/>
        <v>20730.825544120464</v>
      </c>
    </row>
    <row r="67" spans="1:32" x14ac:dyDescent="0.25">
      <c r="A67" s="941" t="s">
        <v>509</v>
      </c>
      <c r="B67" s="941" t="s">
        <v>653</v>
      </c>
      <c r="C67" s="941" t="s">
        <v>731</v>
      </c>
      <c r="D67" s="941" t="s">
        <v>687</v>
      </c>
      <c r="E67" s="941"/>
      <c r="F67" s="941"/>
      <c r="G67" s="941" t="s">
        <v>1412</v>
      </c>
      <c r="H67" s="941" t="s">
        <v>700</v>
      </c>
      <c r="I67" s="941" t="str">
        <f t="shared" ref="I67:I69" si="94">IF(A67="HGN",A67,RIGHT(H67,3))</f>
        <v>ICE</v>
      </c>
      <c r="J67" s="942" t="s">
        <v>1114</v>
      </c>
      <c r="K67" s="941" t="str">
        <f t="shared" si="57"/>
        <v>F</v>
      </c>
      <c r="L67" s="941" t="str">
        <f t="shared" si="58"/>
        <v>HCV3</v>
      </c>
      <c r="M67" s="941" t="str">
        <f t="shared" si="59"/>
        <v/>
      </c>
      <c r="N67" s="941" t="str">
        <f t="shared" si="60"/>
        <v>TFHCV3GAS-N</v>
      </c>
      <c r="O67" s="941" t="str">
        <f t="shared" si="61"/>
        <v>TFHCV3GAS-E</v>
      </c>
      <c r="P67" s="953" t="s">
        <v>1432</v>
      </c>
      <c r="Q67" s="963">
        <f t="shared" ref="Q67:U67" si="95">_xlfn.FORECAST.LINEAR(Q$8,$V67:$W67,$V$8:$W$8)</f>
        <v>626095.77316793078</v>
      </c>
      <c r="R67" s="963">
        <f t="shared" si="95"/>
        <v>624935.21780148777</v>
      </c>
      <c r="S67" s="963">
        <f t="shared" si="95"/>
        <v>623774.66243504477</v>
      </c>
      <c r="T67" s="963">
        <f t="shared" si="95"/>
        <v>622614.10706860176</v>
      </c>
      <c r="U67" s="963">
        <f t="shared" si="95"/>
        <v>621453.55170215876</v>
      </c>
      <c r="V67" s="960">
        <f>NREL_LCVs!U25</f>
        <v>620292.99633571575</v>
      </c>
      <c r="W67" s="960">
        <f>NREL_LCVs!V25</f>
        <v>619132.44096927275</v>
      </c>
      <c r="X67" s="951">
        <v>2.7E-2</v>
      </c>
      <c r="Y67" s="951" t="s">
        <v>1434</v>
      </c>
      <c r="Z67" s="960">
        <f t="shared" si="10"/>
        <v>16904.585875534132</v>
      </c>
      <c r="AA67" s="960">
        <f t="shared" si="11"/>
        <v>16873.250880640171</v>
      </c>
      <c r="AB67" s="960">
        <f t="shared" si="12"/>
        <v>16841.91588574621</v>
      </c>
      <c r="AC67" s="960">
        <f t="shared" si="13"/>
        <v>16810.580890852249</v>
      </c>
      <c r="AD67" s="960">
        <f t="shared" si="14"/>
        <v>16779.245895958287</v>
      </c>
      <c r="AE67" s="960">
        <f t="shared" si="15"/>
        <v>16747.910901064326</v>
      </c>
      <c r="AF67" s="960">
        <f t="shared" si="16"/>
        <v>16716.575906170365</v>
      </c>
    </row>
    <row r="68" spans="1:32" x14ac:dyDescent="0.25">
      <c r="A68" s="941" t="s">
        <v>511</v>
      </c>
      <c r="B68" s="941" t="s">
        <v>653</v>
      </c>
      <c r="C68" s="941" t="s">
        <v>732</v>
      </c>
      <c r="D68" s="941" t="s">
        <v>687</v>
      </c>
      <c r="E68" s="941"/>
      <c r="F68" s="941"/>
      <c r="G68" s="941" t="s">
        <v>1404</v>
      </c>
      <c r="H68" s="941" t="s">
        <v>687</v>
      </c>
      <c r="I68" s="941" t="str">
        <f t="shared" si="94"/>
        <v>ICE</v>
      </c>
      <c r="J68" s="942" t="s">
        <v>1114</v>
      </c>
      <c r="K68" s="941" t="str">
        <f t="shared" si="57"/>
        <v>F</v>
      </c>
      <c r="L68" s="941" t="str">
        <f t="shared" si="58"/>
        <v>HCV4</v>
      </c>
      <c r="M68" s="941" t="str">
        <f t="shared" si="59"/>
        <v/>
      </c>
      <c r="N68" s="941" t="str">
        <f t="shared" si="60"/>
        <v>TFHCV4ODS-N</v>
      </c>
      <c r="O68" s="941" t="str">
        <f t="shared" si="61"/>
        <v>TFHCV4ODS-E</v>
      </c>
      <c r="P68" s="953" t="s">
        <v>1440</v>
      </c>
      <c r="Q68" s="960" cm="1">
        <f t="array" ref="Q68">INDEX(NREL_HCVs!$O$9:$U$22,MATCH(1,(NREL_HCVs!$M$9:$M$22=$G68)*(NREL_HCVs!$N$9:$N$22=$H68),0),MATCH(Q$8,NREL_HCVs!$O$7:$U$7,0))</f>
        <v>683942.36766876688</v>
      </c>
      <c r="R68" s="960" cm="1">
        <f t="array" ref="R68">INDEX(NREL_HCVs!$O$9:$U$22,MATCH(1,(NREL_HCVs!$M$9:$M$22=$G68)*(NREL_HCVs!$N$9:$N$22=$H68),0),MATCH(R$8,NREL_HCVs!$O$7:$U$7,0))</f>
        <v>705613.61392123846</v>
      </c>
      <c r="S68" s="960" cm="1">
        <f t="array" ref="S68">INDEX(NREL_HCVs!$O$9:$U$22,MATCH(1,(NREL_HCVs!$M$9:$M$22=$G68)*(NREL_HCVs!$N$9:$N$22=$H68),0),MATCH(S$8,NREL_HCVs!$O$7:$U$7,0))</f>
        <v>712928.9740838632</v>
      </c>
      <c r="T68" s="960" cm="1">
        <f t="array" ref="T68">INDEX(NREL_HCVs!$O$9:$U$22,MATCH(1,(NREL_HCVs!$M$9:$M$22=$G68)*(NREL_HCVs!$N$9:$N$22=$H68),0),MATCH(T$8,NREL_HCVs!$O$7:$U$7,0))</f>
        <v>718004.73098411458</v>
      </c>
      <c r="U68" s="960" cm="1">
        <f t="array" ref="U68">INDEX(NREL_HCVs!$O$9:$U$22,MATCH(1,(NREL_HCVs!$M$9:$M$22=$G68)*(NREL_HCVs!$N$9:$N$22=$H68),0),MATCH(U$8,NREL_HCVs!$O$7:$U$7,0))</f>
        <v>723080.48788436607</v>
      </c>
      <c r="V68" s="960" cm="1">
        <f t="array" ref="V68">INDEX(NREL_HCVs!$O$9:$U$22,MATCH(1,(NREL_HCVs!$M$9:$M$22=$G68)*(NREL_HCVs!$N$9:$N$22=$H68),0),MATCH(V$8,NREL_HCVs!$O$7:$U$7,0))</f>
        <v>719552.8216249994</v>
      </c>
      <c r="W68" s="960" cm="1">
        <f t="array" ref="W68">INDEX(NREL_HCVs!$O$9:$U$22,MATCH(1,(NREL_HCVs!$M$9:$M$22=$G68)*(NREL_HCVs!$N$9:$N$22=$H68),0),MATCH(W$8,NREL_HCVs!$O$7:$U$7,0))</f>
        <v>716025.15536563273</v>
      </c>
      <c r="X68" s="951">
        <v>2.7E-2</v>
      </c>
      <c r="Y68" s="951" t="s">
        <v>1434</v>
      </c>
      <c r="Z68" s="960">
        <f t="shared" si="10"/>
        <v>18466.443927056705</v>
      </c>
      <c r="AA68" s="960">
        <f t="shared" si="11"/>
        <v>19051.56757587344</v>
      </c>
      <c r="AB68" s="960">
        <f t="shared" si="12"/>
        <v>19249.082300264305</v>
      </c>
      <c r="AC68" s="960">
        <f t="shared" si="13"/>
        <v>19386.127736571092</v>
      </c>
      <c r="AD68" s="960">
        <f t="shared" si="14"/>
        <v>19523.173172877883</v>
      </c>
      <c r="AE68" s="960">
        <f t="shared" si="15"/>
        <v>19427.926183874984</v>
      </c>
      <c r="AF68" s="960">
        <f t="shared" si="16"/>
        <v>19332.679194872082</v>
      </c>
    </row>
    <row r="69" spans="1:32" x14ac:dyDescent="0.25">
      <c r="A69" s="941" t="s">
        <v>501</v>
      </c>
      <c r="B69" s="941" t="s">
        <v>653</v>
      </c>
      <c r="C69" s="941" t="s">
        <v>732</v>
      </c>
      <c r="D69" s="941" t="s">
        <v>687</v>
      </c>
      <c r="E69" s="941"/>
      <c r="F69" s="941"/>
      <c r="G69" s="941" t="s">
        <v>1404</v>
      </c>
      <c r="H69" s="941" t="s">
        <v>692</v>
      </c>
      <c r="I69" s="941" t="str">
        <f t="shared" si="94"/>
        <v>BEV</v>
      </c>
      <c r="J69" s="942" t="s">
        <v>1114</v>
      </c>
      <c r="K69" s="941" t="str">
        <f t="shared" si="57"/>
        <v>F</v>
      </c>
      <c r="L69" s="941" t="str">
        <f t="shared" si="58"/>
        <v>HCV4</v>
      </c>
      <c r="M69" s="941" t="str">
        <f t="shared" si="59"/>
        <v/>
      </c>
      <c r="N69" s="941" t="str">
        <f t="shared" si="60"/>
        <v>TFHCV4ELC-N</v>
      </c>
      <c r="O69" s="941" t="str">
        <f t="shared" si="61"/>
        <v>TFHCV4ELC-E</v>
      </c>
      <c r="P69" s="953" t="s">
        <v>1453</v>
      </c>
      <c r="Q69" s="960" cm="1">
        <f t="array" ref="Q69">INDEX(NREL_HCVs!$O$9:$U$22,MATCH(1,(NREL_HCVs!$M$9:$M$22=$G69)*(NREL_HCVs!$N$9:$N$22=$H69),0),MATCH(Q$8,NREL_HCVs!$O$7:$U$7,0))</f>
        <v>1614747.2011580502</v>
      </c>
      <c r="R69" s="962">
        <f>+Q69*R$4</f>
        <v>1431466.8145306834</v>
      </c>
      <c r="S69" s="962" cm="1">
        <f t="array" ref="S69">INDEX(NREL_HCVs!$O$9:$U$22,MATCH(1,(NREL_HCVs!$M$9:$M$22=$G69)*(NREL_HCVs!$N$9:$N$22=$H69),0),MATCH(S$8,NREL_HCVs!$O$7:$U$7,0))</f>
        <v>948380.50200993021</v>
      </c>
      <c r="T69" s="962" cm="1">
        <f t="array" ref="T69">INDEX(NREL_HCVs!$O$9:$U$22,MATCH(1,(NREL_HCVs!$M$9:$M$22=$G69)*(NREL_HCVs!$N$9:$N$22=$H69),0),MATCH(T$8,NREL_HCVs!$O$7:$U$7,0))</f>
        <v>877213.16449052596</v>
      </c>
      <c r="U69" s="962" cm="1">
        <f t="array" ref="U69">INDEX(NREL_HCVs!$O$9:$U$22,MATCH(1,(NREL_HCVs!$M$9:$M$22=$G69)*(NREL_HCVs!$N$9:$N$22=$H69),0),MATCH(U$8,NREL_HCVs!$O$7:$U$7,0))</f>
        <v>806045.8269711202</v>
      </c>
      <c r="V69" s="962" cm="1">
        <f t="array" ref="V69">INDEX(NREL_HCVs!$O$9:$U$22,MATCH(1,(NREL_HCVs!$M$9:$M$22=$G69)*(NREL_HCVs!$N$9:$N$22=$H69),0),MATCH(V$8,NREL_HCVs!$O$7:$U$7,0))</f>
        <v>784468.91189873882</v>
      </c>
      <c r="W69" s="962" cm="1">
        <f t="array" ref="W69">INDEX(NREL_HCVs!$O$9:$U$22,MATCH(1,(NREL_HCVs!$M$9:$M$22=$G69)*(NREL_HCVs!$N$9:$N$22=$H69),0),MATCH(W$8,NREL_HCVs!$O$7:$U$7,0))</f>
        <v>762891.99682635767</v>
      </c>
      <c r="X69" s="951">
        <v>2.0250000000000001E-2</v>
      </c>
      <c r="Y69" s="951" t="s">
        <v>1434</v>
      </c>
      <c r="Z69" s="960">
        <f t="shared" si="10"/>
        <v>32698.63082345052</v>
      </c>
      <c r="AA69" s="960">
        <f t="shared" si="11"/>
        <v>28987.202994246341</v>
      </c>
      <c r="AB69" s="960">
        <f t="shared" si="12"/>
        <v>19204.705165701089</v>
      </c>
      <c r="AC69" s="960">
        <f t="shared" si="13"/>
        <v>17763.566580933151</v>
      </c>
      <c r="AD69" s="960">
        <f t="shared" si="14"/>
        <v>16322.427996165185</v>
      </c>
      <c r="AE69" s="960">
        <f t="shared" si="15"/>
        <v>15885.495465949462</v>
      </c>
      <c r="AF69" s="960">
        <f t="shared" si="16"/>
        <v>15448.562935733744</v>
      </c>
    </row>
    <row r="70" spans="1:32" x14ac:dyDescent="0.25">
      <c r="A70" s="941" t="s">
        <v>504</v>
      </c>
      <c r="B70" s="941" t="s">
        <v>653</v>
      </c>
      <c r="C70" s="941" t="s">
        <v>732</v>
      </c>
      <c r="D70" s="941" t="s">
        <v>687</v>
      </c>
      <c r="E70" s="941"/>
      <c r="F70" s="941"/>
      <c r="G70" s="941" t="s">
        <v>1404</v>
      </c>
      <c r="H70" s="941" t="s">
        <v>699</v>
      </c>
      <c r="I70" s="941" t="s">
        <v>1320</v>
      </c>
      <c r="J70" s="942" t="s">
        <v>1114</v>
      </c>
      <c r="K70" s="941" t="str">
        <f t="shared" si="57"/>
        <v>F</v>
      </c>
      <c r="L70" s="941" t="str">
        <f t="shared" si="58"/>
        <v>HCV4</v>
      </c>
      <c r="M70" s="941" t="str">
        <f t="shared" si="59"/>
        <v/>
      </c>
      <c r="N70" s="941" t="str">
        <f t="shared" si="60"/>
        <v>TFHCV4HGN-N</v>
      </c>
      <c r="O70" s="941" t="str">
        <f t="shared" si="61"/>
        <v>TFHCV4HGN-E</v>
      </c>
      <c r="P70" s="953" t="s">
        <v>1440</v>
      </c>
      <c r="Q70" s="963">
        <f>+Q$82/Q$81*Q69</f>
        <v>1579833.5702032878</v>
      </c>
      <c r="R70" s="963">
        <f t="shared" ref="R70" si="96">+R$82/R$81*R69</f>
        <v>1529551.9273935265</v>
      </c>
      <c r="S70" s="963">
        <f t="shared" ref="S70" si="97">+S$82/S$81*S69</f>
        <v>1133091.7186004326</v>
      </c>
      <c r="T70" s="963">
        <f t="shared" ref="T70" si="98">+T$82/T$81*T69</f>
        <v>1041643.2244734402</v>
      </c>
      <c r="U70" s="963">
        <f t="shared" ref="U70" si="99">+U$82/U$81*U69</f>
        <v>950646.03535893105</v>
      </c>
      <c r="V70" s="963">
        <f t="shared" ref="V70" si="100">+V$82/V$81*V69</f>
        <v>926649.87788846751</v>
      </c>
      <c r="W70" s="963">
        <f t="shared" ref="W70" si="101">+W$82/W$81*W69</f>
        <v>902609.47330957931</v>
      </c>
      <c r="X70" s="951">
        <v>2.7E-2</v>
      </c>
      <c r="Y70" s="951" t="s">
        <v>1434</v>
      </c>
      <c r="Z70" s="960">
        <f t="shared" si="10"/>
        <v>42655.506395488766</v>
      </c>
      <c r="AA70" s="960">
        <f t="shared" si="11"/>
        <v>41297.902039625216</v>
      </c>
      <c r="AB70" s="960">
        <f t="shared" si="12"/>
        <v>30593.47640221168</v>
      </c>
      <c r="AC70" s="960">
        <f t="shared" si="13"/>
        <v>28124.367060782886</v>
      </c>
      <c r="AD70" s="960">
        <f t="shared" si="14"/>
        <v>25667.442954691138</v>
      </c>
      <c r="AE70" s="960">
        <f t="shared" si="15"/>
        <v>25019.546702988624</v>
      </c>
      <c r="AF70" s="960">
        <f t="shared" si="16"/>
        <v>24370.455779358643</v>
      </c>
    </row>
    <row r="71" spans="1:32" x14ac:dyDescent="0.25">
      <c r="A71" s="941" t="s">
        <v>509</v>
      </c>
      <c r="B71" s="941" t="s">
        <v>653</v>
      </c>
      <c r="C71" s="941" t="s">
        <v>732</v>
      </c>
      <c r="D71" s="941" t="s">
        <v>687</v>
      </c>
      <c r="E71" s="941" t="s">
        <v>733</v>
      </c>
      <c r="F71" s="941"/>
      <c r="G71" s="941"/>
      <c r="H71" s="941" t="s">
        <v>700</v>
      </c>
      <c r="I71" s="941" t="str">
        <f t="shared" ref="I71:I73" si="102">IF(A71="HGN",A71,RIGHT(H71,3))</f>
        <v>ICE</v>
      </c>
      <c r="J71" s="942" t="s">
        <v>1114</v>
      </c>
      <c r="K71" s="941" t="str">
        <f t="shared" si="57"/>
        <v>F</v>
      </c>
      <c r="L71" s="941" t="str">
        <f t="shared" si="58"/>
        <v>HCV4</v>
      </c>
      <c r="M71" s="941" t="str">
        <f t="shared" si="59"/>
        <v/>
      </c>
      <c r="N71" s="941" t="str">
        <f t="shared" si="60"/>
        <v>TFHCV4GAS-N</v>
      </c>
      <c r="O71" s="941" t="str">
        <f t="shared" si="61"/>
        <v>TFHCV4GAS-E</v>
      </c>
      <c r="P71" s="964" t="s">
        <v>1445</v>
      </c>
      <c r="Q71" s="996">
        <f>Q68*AEA2012_ZAR2022!T92</f>
        <v>822968.43895314645</v>
      </c>
      <c r="R71" s="996">
        <f>R68*AEA2012_ZAR2022!U92</f>
        <v>828144.24684914376</v>
      </c>
      <c r="S71" s="996">
        <f>S68*AEA2012_ZAR2022!V92</f>
        <v>816715.79676773108</v>
      </c>
      <c r="T71" s="996">
        <f>T68*AEA2012_ZAR2022!W92</f>
        <v>811644.48935129365</v>
      </c>
      <c r="U71" s="996">
        <f>U68*AEA2012_ZAR2022!X92</f>
        <v>806865.25345684181</v>
      </c>
      <c r="V71" s="996">
        <f>V68*AEA2012_ZAR2022!Y92</f>
        <v>795862.59059122356</v>
      </c>
      <c r="W71" s="996">
        <f>W68*AEA2012_ZAR2022!Z92</f>
        <v>785183.17676199239</v>
      </c>
      <c r="X71" s="951">
        <v>2.7E-2</v>
      </c>
      <c r="Y71" s="951" t="s">
        <v>1434</v>
      </c>
      <c r="Z71" s="960">
        <f t="shared" si="10"/>
        <v>22220.147851734953</v>
      </c>
      <c r="AA71" s="960">
        <f t="shared" si="11"/>
        <v>22359.89466492688</v>
      </c>
      <c r="AB71" s="960">
        <f t="shared" si="12"/>
        <v>22051.326512728738</v>
      </c>
      <c r="AC71" s="960">
        <f t="shared" si="13"/>
        <v>21914.401212484929</v>
      </c>
      <c r="AD71" s="960">
        <f t="shared" si="14"/>
        <v>21785.361843334729</v>
      </c>
      <c r="AE71" s="960">
        <f t="shared" si="15"/>
        <v>21488.289945963035</v>
      </c>
      <c r="AF71" s="960">
        <f t="shared" si="16"/>
        <v>21199.945772573796</v>
      </c>
    </row>
    <row r="72" spans="1:32" x14ac:dyDescent="0.25">
      <c r="A72" s="941" t="s">
        <v>511</v>
      </c>
      <c r="B72" s="941" t="s">
        <v>653</v>
      </c>
      <c r="C72" s="941" t="s">
        <v>734</v>
      </c>
      <c r="D72" s="941" t="s">
        <v>687</v>
      </c>
      <c r="E72" s="941"/>
      <c r="F72" s="941"/>
      <c r="G72" s="941" t="s">
        <v>1400</v>
      </c>
      <c r="H72" s="941" t="s">
        <v>687</v>
      </c>
      <c r="I72" s="941" t="str">
        <f t="shared" si="102"/>
        <v>ICE</v>
      </c>
      <c r="J72" s="942" t="s">
        <v>1114</v>
      </c>
      <c r="K72" s="941" t="str">
        <f t="shared" si="57"/>
        <v>F</v>
      </c>
      <c r="L72" s="941" t="str">
        <f t="shared" si="58"/>
        <v>HCV5</v>
      </c>
      <c r="M72" s="941" t="str">
        <f t="shared" si="59"/>
        <v/>
      </c>
      <c r="N72" s="941" t="str">
        <f t="shared" si="60"/>
        <v>TFHCV5ODS-N</v>
      </c>
      <c r="O72" s="941" t="str">
        <f t="shared" si="61"/>
        <v>TFHCV5ODS-E</v>
      </c>
      <c r="P72" s="953" t="s">
        <v>1440</v>
      </c>
      <c r="Q72" s="960" cm="1">
        <f t="array" ref="Q72">INDEX(NREL_HCVs!$O$9:$U$22,MATCH(1,(NREL_HCVs!$M$9:$M$22=$G72)*(NREL_HCVs!$N$9:$N$22=$H72),0),MATCH(Q$8,NREL_HCVs!$O$7:$U$7,0))</f>
        <v>1236875.4586946308</v>
      </c>
      <c r="R72" s="960" cm="1">
        <f t="array" ref="R72">INDEX(NREL_HCVs!$O$9:$U$22,MATCH(1,(NREL_HCVs!$M$9:$M$22=$G72)*(NREL_HCVs!$N$9:$N$22=$H72),0),MATCH(R$8,NREL_HCVs!$O$7:$U$7,0))</f>
        <v>1259300.1215790692</v>
      </c>
      <c r="S72" s="960" cm="1">
        <f t="array" ref="S72">INDEX(NREL_HCVs!$O$9:$U$22,MATCH(1,(NREL_HCVs!$M$9:$M$22=$G72)*(NREL_HCVs!$N$9:$N$22=$H72),0),MATCH(S$8,NREL_HCVs!$O$7:$U$7,0))</f>
        <v>1268606.6034712414</v>
      </c>
      <c r="T72" s="960" cm="1">
        <f t="array" ref="T72">INDEX(NREL_HCVs!$O$9:$U$22,MATCH(1,(NREL_HCVs!$M$9:$M$22=$G72)*(NREL_HCVs!$N$9:$N$22=$H72),0),MATCH(T$8,NREL_HCVs!$O$7:$U$7,0))</f>
        <v>1274447.1991043973</v>
      </c>
      <c r="U72" s="960" cm="1">
        <f t="array" ref="U72">INDEX(NREL_HCVs!$O$9:$U$22,MATCH(1,(NREL_HCVs!$M$9:$M$22=$G72)*(NREL_HCVs!$N$9:$N$22=$H72),0),MATCH(U$8,NREL_HCVs!$O$7:$U$7,0))</f>
        <v>1280287.7947375535</v>
      </c>
      <c r="V72" s="960" cm="1">
        <f t="array" ref="V72">INDEX(NREL_HCVs!$O$9:$U$22,MATCH(1,(NREL_HCVs!$M$9:$M$22=$G72)*(NREL_HCVs!$N$9:$N$22=$H72),0),MATCH(V$8,NREL_HCVs!$O$7:$U$7,0))</f>
        <v>1286818.6131662561</v>
      </c>
      <c r="W72" s="960" cm="1">
        <f t="array" ref="W72">INDEX(NREL_HCVs!$O$9:$U$22,MATCH(1,(NREL_HCVs!$M$9:$M$22=$G72)*(NREL_HCVs!$N$9:$N$22=$H72),0),MATCH(W$8,NREL_HCVs!$O$7:$U$7,0))</f>
        <v>1293349.4315949583</v>
      </c>
      <c r="X72" s="951">
        <v>2.7E-2</v>
      </c>
      <c r="Y72" s="951" t="s">
        <v>1434</v>
      </c>
      <c r="Z72" s="960">
        <f t="shared" si="10"/>
        <v>33395.637384755028</v>
      </c>
      <c r="AA72" s="960">
        <f t="shared" si="11"/>
        <v>34001.103282634867</v>
      </c>
      <c r="AB72" s="960">
        <f t="shared" si="12"/>
        <v>34252.378293723516</v>
      </c>
      <c r="AC72" s="960">
        <f t="shared" si="13"/>
        <v>34410.074375818731</v>
      </c>
      <c r="AD72" s="960">
        <f t="shared" si="14"/>
        <v>34567.770457913946</v>
      </c>
      <c r="AE72" s="960">
        <f t="shared" si="15"/>
        <v>34744.102555488913</v>
      </c>
      <c r="AF72" s="960">
        <f t="shared" si="16"/>
        <v>34920.434653063872</v>
      </c>
    </row>
    <row r="73" spans="1:32" x14ac:dyDescent="0.25">
      <c r="A73" s="941" t="s">
        <v>501</v>
      </c>
      <c r="B73" s="941" t="s">
        <v>653</v>
      </c>
      <c r="C73" s="941" t="s">
        <v>734</v>
      </c>
      <c r="D73" s="941" t="s">
        <v>687</v>
      </c>
      <c r="E73" s="941"/>
      <c r="F73" s="941"/>
      <c r="G73" s="941" t="s">
        <v>1400</v>
      </c>
      <c r="H73" s="941" t="s">
        <v>692</v>
      </c>
      <c r="I73" s="941" t="str">
        <f t="shared" si="102"/>
        <v>BEV</v>
      </c>
      <c r="J73" s="942" t="s">
        <v>1114</v>
      </c>
      <c r="K73" s="941" t="str">
        <f t="shared" ref="K73:K91" si="103">IF(B73="PAS","P","F")</f>
        <v>F</v>
      </c>
      <c r="L73" s="941" t="str">
        <f t="shared" ref="L73:L91" si="104">IF(K73="P",IF(OR(C73="CAR",C73="SUV",C73="MOT"),"PR","PU"),C73)</f>
        <v>HCV5</v>
      </c>
      <c r="M73" s="941" t="str">
        <f t="shared" ref="M73:M91" si="105">IF(K73="P",C73,"")</f>
        <v/>
      </c>
      <c r="N73" s="941" t="str">
        <f t="shared" ref="N73:N91" si="106">J73&amp;K73&amp;L73&amp;M73&amp;A73&amp;"-N"</f>
        <v>TFHCV5ELC-N</v>
      </c>
      <c r="O73" s="941" t="str">
        <f t="shared" ref="O73:O91" si="107">J73&amp;K73&amp;L73&amp;M73&amp;A73&amp;"-E"</f>
        <v>TFHCV5ELC-E</v>
      </c>
      <c r="P73" s="953" t="s">
        <v>1440</v>
      </c>
      <c r="Q73" s="960" cm="1">
        <f t="array" ref="Q73">INDEX(NREL_HCVs!$O$9:$U$22,MATCH(1,(NREL_HCVs!$M$9:$M$22=$G73)*(NREL_HCVs!$N$9:$N$22=$H73),0),MATCH(Q$8,NREL_HCVs!$O$7:$U$7,0))</f>
        <v>2384627.9677860192</v>
      </c>
      <c r="R73" s="960" cm="1">
        <f t="array" ref="R73">INDEX(NREL_HCVs!$O$9:$U$22,MATCH(1,(NREL_HCVs!$M$9:$M$22=$G73)*(NREL_HCVs!$N$9:$N$22=$H73),0),MATCH(R$8,NREL_HCVs!$O$7:$U$7,0))</f>
        <v>1892290.2606066011</v>
      </c>
      <c r="S73" s="960" cm="1">
        <f t="array" ref="S73">INDEX(NREL_HCVs!$O$9:$U$22,MATCH(1,(NREL_HCVs!$M$9:$M$22=$G73)*(NREL_HCVs!$N$9:$N$22=$H73),0),MATCH(S$8,NREL_HCVs!$O$7:$U$7,0))</f>
        <v>1555956.2522543021</v>
      </c>
      <c r="T73" s="960" cm="1">
        <f t="array" ref="T73">INDEX(NREL_HCVs!$O$9:$U$22,MATCH(1,(NREL_HCVs!$M$9:$M$22=$G73)*(NREL_HCVs!$N$9:$N$22=$H73),0),MATCH(T$8,NREL_HCVs!$O$7:$U$7,0))</f>
        <v>1480649.852323113</v>
      </c>
      <c r="U73" s="960" cm="1">
        <f t="array" ref="U73">INDEX(NREL_HCVs!$O$9:$U$22,MATCH(1,(NREL_HCVs!$M$9:$M$22=$G73)*(NREL_HCVs!$N$9:$N$22=$H73),0),MATCH(U$8,NREL_HCVs!$O$7:$U$7,0))</f>
        <v>1405343.4523919236</v>
      </c>
      <c r="V73" s="960" cm="1">
        <f t="array" ref="V73">INDEX(NREL_HCVs!$O$9:$U$22,MATCH(1,(NREL_HCVs!$M$9:$M$22=$G73)*(NREL_HCVs!$N$9:$N$22=$H73),0),MATCH(V$8,NREL_HCVs!$O$7:$U$7,0))</f>
        <v>1379990.4456593245</v>
      </c>
      <c r="W73" s="960" cm="1">
        <f t="array" ref="W73">INDEX(NREL_HCVs!$O$9:$U$22,MATCH(1,(NREL_HCVs!$M$9:$M$22=$G73)*(NREL_HCVs!$N$9:$N$22=$H73),0),MATCH(W$8,NREL_HCVs!$O$7:$U$7,0))</f>
        <v>1354637.4389267245</v>
      </c>
      <c r="X73" s="951">
        <v>2.0250000000000001E-2</v>
      </c>
      <c r="Y73" s="951" t="s">
        <v>1434</v>
      </c>
      <c r="Z73" s="960">
        <f t="shared" si="10"/>
        <v>48288.716347666894</v>
      </c>
      <c r="AA73" s="960">
        <f t="shared" si="11"/>
        <v>38318.877777283677</v>
      </c>
      <c r="AB73" s="960">
        <f t="shared" si="12"/>
        <v>31508.114108149621</v>
      </c>
      <c r="AC73" s="960">
        <f t="shared" si="13"/>
        <v>29983.159509543038</v>
      </c>
      <c r="AD73" s="960">
        <f t="shared" si="14"/>
        <v>28458.204910936456</v>
      </c>
      <c r="AE73" s="960">
        <f t="shared" si="15"/>
        <v>27944.806524601321</v>
      </c>
      <c r="AF73" s="960">
        <f t="shared" si="16"/>
        <v>27431.408138266172</v>
      </c>
    </row>
    <row r="74" spans="1:32" x14ac:dyDescent="0.25">
      <c r="A74" s="941" t="s">
        <v>504</v>
      </c>
      <c r="B74" s="941" t="s">
        <v>653</v>
      </c>
      <c r="C74" s="941" t="s">
        <v>734</v>
      </c>
      <c r="D74" s="941" t="s">
        <v>687</v>
      </c>
      <c r="E74" s="941"/>
      <c r="F74" s="941"/>
      <c r="G74" s="941" t="s">
        <v>1400</v>
      </c>
      <c r="H74" s="941" t="s">
        <v>699</v>
      </c>
      <c r="I74" s="941" t="s">
        <v>1320</v>
      </c>
      <c r="J74" s="942" t="s">
        <v>1114</v>
      </c>
      <c r="K74" s="941" t="str">
        <f t="shared" si="103"/>
        <v>F</v>
      </c>
      <c r="L74" s="941" t="str">
        <f t="shared" si="104"/>
        <v>HCV5</v>
      </c>
      <c r="M74" s="941" t="str">
        <f t="shared" si="105"/>
        <v/>
      </c>
      <c r="N74" s="941" t="str">
        <f t="shared" si="106"/>
        <v>TFHCV5HGN-N</v>
      </c>
      <c r="O74" s="941" t="str">
        <f t="shared" si="107"/>
        <v>TFHCV5HGN-E</v>
      </c>
      <c r="P74" s="953" t="s">
        <v>1440</v>
      </c>
      <c r="Q74" s="960" cm="1">
        <f t="array" ref="Q74">INDEX(NREL_HCVs!$O$9:$U$22,MATCH(1,(NREL_HCVs!$M$9:$M$22=$G74)*(NREL_HCVs!$N$9:$N$22=$H74),0),MATCH(Q$8,NREL_HCVs!$O$7:$U$7,0))</f>
        <v>2103580.8058416173</v>
      </c>
      <c r="R74" s="960" cm="1">
        <f t="array" ref="R74">INDEX(NREL_HCVs!$O$9:$U$22,MATCH(1,(NREL_HCVs!$M$9:$M$22=$G74)*(NREL_HCVs!$N$9:$N$22=$H74),0),MATCH(R$8,NREL_HCVs!$O$7:$U$7,0))</f>
        <v>1852775.5101623938</v>
      </c>
      <c r="S74" s="960" cm="1">
        <f t="array" ref="S74">INDEX(NREL_HCVs!$O$9:$U$22,MATCH(1,(NREL_HCVs!$M$9:$M$22=$G74)*(NREL_HCVs!$N$9:$N$22=$H74),0),MATCH(S$8,NREL_HCVs!$O$7:$U$7,0))</f>
        <v>1739587.6503793534</v>
      </c>
      <c r="T74" s="960" cm="1">
        <f t="array" ref="T74">INDEX(NREL_HCVs!$O$9:$U$22,MATCH(1,(NREL_HCVs!$M$9:$M$22=$G74)*(NREL_HCVs!$N$9:$N$22=$H74),0),MATCH(T$8,NREL_HCVs!$O$7:$U$7,0))</f>
        <v>1651290.4097272744</v>
      </c>
      <c r="U74" s="960" cm="1">
        <f t="array" ref="U74">INDEX(NREL_HCVs!$O$9:$U$22,MATCH(1,(NREL_HCVs!$M$9:$M$22=$G74)*(NREL_HCVs!$N$9:$N$22=$H74),0),MATCH(U$8,NREL_HCVs!$O$7:$U$7,0))</f>
        <v>1562993.1690751896</v>
      </c>
      <c r="V74" s="960" cm="1">
        <f t="array" ref="V74">INDEX(NREL_HCVs!$O$9:$U$22,MATCH(1,(NREL_HCVs!$M$9:$M$22=$G74)*(NREL_HCVs!$N$9:$N$22=$H74),0),MATCH(V$8,NREL_HCVs!$O$7:$U$7,0))</f>
        <v>1550223.6126251831</v>
      </c>
      <c r="W74" s="960" cm="1">
        <f t="array" ref="W74">INDEX(NREL_HCVs!$O$9:$U$22,MATCH(1,(NREL_HCVs!$M$9:$M$22=$G74)*(NREL_HCVs!$N$9:$N$22=$H74),0),MATCH(W$8,NREL_HCVs!$O$7:$U$7,0))</f>
        <v>1537454.0561751763</v>
      </c>
      <c r="X74" s="951">
        <v>2.7E-2</v>
      </c>
      <c r="Y74" s="951" t="s">
        <v>1434</v>
      </c>
      <c r="Z74" s="960">
        <f t="shared" ref="Z74:Z91" si="108">Q74*$X74</f>
        <v>56796.681757723665</v>
      </c>
      <c r="AA74" s="960">
        <f t="shared" ref="AA74:AA91" si="109">R74*$X74</f>
        <v>50024.938774384631</v>
      </c>
      <c r="AB74" s="960">
        <f t="shared" ref="AB74:AB91" si="110">S74*$X74</f>
        <v>46968.866560242539</v>
      </c>
      <c r="AC74" s="960">
        <f t="shared" ref="AC74:AC91" si="111">T74*$X74</f>
        <v>44584.841062636413</v>
      </c>
      <c r="AD74" s="960">
        <f t="shared" ref="AD74:AD91" si="112">U74*$X74</f>
        <v>42200.81556503012</v>
      </c>
      <c r="AE74" s="960">
        <f t="shared" ref="AE74:AE91" si="113">V74*$X74</f>
        <v>41856.037540879945</v>
      </c>
      <c r="AF74" s="960">
        <f t="shared" ref="AF74:AF91" si="114">W74*$X74</f>
        <v>41511.259516729762</v>
      </c>
    </row>
    <row r="75" spans="1:32" x14ac:dyDescent="0.25">
      <c r="A75" s="941" t="s">
        <v>509</v>
      </c>
      <c r="B75" s="941" t="s">
        <v>653</v>
      </c>
      <c r="C75" s="941" t="s">
        <v>734</v>
      </c>
      <c r="D75" s="941" t="s">
        <v>687</v>
      </c>
      <c r="E75" s="941" t="s">
        <v>735</v>
      </c>
      <c r="F75" s="941"/>
      <c r="G75" s="941"/>
      <c r="H75" s="941" t="s">
        <v>700</v>
      </c>
      <c r="I75" s="941" t="str">
        <f t="shared" ref="I75:I77" si="115">IF(A75="HGN",A75,RIGHT(H75,3))</f>
        <v>ICE</v>
      </c>
      <c r="J75" s="942" t="s">
        <v>1114</v>
      </c>
      <c r="K75" s="941" t="str">
        <f t="shared" si="103"/>
        <v>F</v>
      </c>
      <c r="L75" s="941" t="str">
        <f t="shared" si="104"/>
        <v>HCV5</v>
      </c>
      <c r="M75" s="941" t="str">
        <f t="shared" si="105"/>
        <v/>
      </c>
      <c r="N75" s="941" t="str">
        <f t="shared" si="106"/>
        <v>TFHCV5GAS-N</v>
      </c>
      <c r="O75" s="941" t="str">
        <f t="shared" si="107"/>
        <v>TFHCV5GAS-E</v>
      </c>
      <c r="P75" s="964" t="s">
        <v>1445</v>
      </c>
      <c r="Q75" s="996">
        <f>Q72*AEA2012_ZAR2022!T68</f>
        <v>1428418.7997002371</v>
      </c>
      <c r="R75" s="996">
        <f>R72*AEA2012_ZAR2022!U68</f>
        <v>1416866.6801157007</v>
      </c>
      <c r="S75" s="996">
        <f>S72*AEA2012_ZAR2022!V68</f>
        <v>1391903.3152903002</v>
      </c>
      <c r="T75" s="996">
        <f>T72*AEA2012_ZAR2022!W68</f>
        <v>1382519.511232551</v>
      </c>
      <c r="U75" s="996">
        <f>U72*AEA2012_ZAR2022!X68</f>
        <v>1373586.341831147</v>
      </c>
      <c r="V75" s="996">
        <f>V72*AEA2012_ZAR2022!Y68</f>
        <v>1370524.1699219532</v>
      </c>
      <c r="W75" s="996">
        <f>W72*AEA2012_ZAR2022!Z68</f>
        <v>1367676.5656424498</v>
      </c>
      <c r="X75" s="951">
        <v>2.7E-2</v>
      </c>
      <c r="Y75" s="951" t="s">
        <v>1434</v>
      </c>
      <c r="Z75" s="960">
        <f t="shared" si="108"/>
        <v>38567.307591906399</v>
      </c>
      <c r="AA75" s="960">
        <f t="shared" si="109"/>
        <v>38255.400363123917</v>
      </c>
      <c r="AB75" s="960">
        <f t="shared" si="110"/>
        <v>37581.389512838105</v>
      </c>
      <c r="AC75" s="960">
        <f t="shared" si="111"/>
        <v>37328.026803278874</v>
      </c>
      <c r="AD75" s="960">
        <f t="shared" si="112"/>
        <v>37086.83122944097</v>
      </c>
      <c r="AE75" s="960">
        <f t="shared" si="113"/>
        <v>37004.152587892735</v>
      </c>
      <c r="AF75" s="960">
        <f t="shared" si="114"/>
        <v>36927.267272346144</v>
      </c>
    </row>
    <row r="76" spans="1:32" x14ac:dyDescent="0.25">
      <c r="A76" s="941" t="s">
        <v>511</v>
      </c>
      <c r="B76" s="941" t="s">
        <v>653</v>
      </c>
      <c r="C76" s="941" t="s">
        <v>741</v>
      </c>
      <c r="D76" s="941" t="s">
        <v>687</v>
      </c>
      <c r="E76" s="941"/>
      <c r="F76" s="941"/>
      <c r="G76" s="941" t="s">
        <v>1400</v>
      </c>
      <c r="H76" s="941" t="s">
        <v>687</v>
      </c>
      <c r="I76" s="941" t="str">
        <f t="shared" si="115"/>
        <v>ICE</v>
      </c>
      <c r="J76" s="942" t="s">
        <v>1114</v>
      </c>
      <c r="K76" s="941" t="str">
        <f t="shared" si="103"/>
        <v>F</v>
      </c>
      <c r="L76" s="941" t="str">
        <f t="shared" si="104"/>
        <v>HCV6</v>
      </c>
      <c r="M76" s="941" t="str">
        <f t="shared" si="105"/>
        <v/>
      </c>
      <c r="N76" s="941" t="str">
        <f t="shared" si="106"/>
        <v>TFHCV6ODS-N</v>
      </c>
      <c r="O76" s="941" t="str">
        <f t="shared" si="107"/>
        <v>TFHCV6ODS-E</v>
      </c>
      <c r="P76" s="953" t="s">
        <v>1440</v>
      </c>
      <c r="Q76" s="960" cm="1">
        <f t="array" ref="Q76">INDEX(NREL_HCVs!$O$9:$U$22,MATCH(1,(NREL_HCVs!$M$9:$M$22=$G76)*(NREL_HCVs!$N$9:$N$22=$H76),0),MATCH(Q$8,NREL_HCVs!$O$7:$U$7,0))</f>
        <v>1236875.4586946308</v>
      </c>
      <c r="R76" s="960" cm="1">
        <f t="array" ref="R76">INDEX(NREL_HCVs!$O$9:$U$22,MATCH(1,(NREL_HCVs!$M$9:$M$22=$G76)*(NREL_HCVs!$N$9:$N$22=$H76),0),MATCH(R$8,NREL_HCVs!$O$7:$U$7,0))</f>
        <v>1259300.1215790692</v>
      </c>
      <c r="S76" s="960" cm="1">
        <f t="array" ref="S76">INDEX(NREL_HCVs!$O$9:$U$22,MATCH(1,(NREL_HCVs!$M$9:$M$22=$G76)*(NREL_HCVs!$N$9:$N$22=$H76),0),MATCH(S$8,NREL_HCVs!$O$7:$U$7,0))</f>
        <v>1268606.6034712414</v>
      </c>
      <c r="T76" s="960" cm="1">
        <f t="array" ref="T76">INDEX(NREL_HCVs!$O$9:$U$22,MATCH(1,(NREL_HCVs!$M$9:$M$22=$G76)*(NREL_HCVs!$N$9:$N$22=$H76),0),MATCH(T$8,NREL_HCVs!$O$7:$U$7,0))</f>
        <v>1274447.1991043973</v>
      </c>
      <c r="U76" s="960" cm="1">
        <f t="array" ref="U76">INDEX(NREL_HCVs!$O$9:$U$22,MATCH(1,(NREL_HCVs!$M$9:$M$22=$G76)*(NREL_HCVs!$N$9:$N$22=$H76),0),MATCH(U$8,NREL_HCVs!$O$7:$U$7,0))</f>
        <v>1280287.7947375535</v>
      </c>
      <c r="V76" s="960" cm="1">
        <f t="array" ref="V76">INDEX(NREL_HCVs!$O$9:$U$22,MATCH(1,(NREL_HCVs!$M$9:$M$22=$G76)*(NREL_HCVs!$N$9:$N$22=$H76),0),MATCH(V$8,NREL_HCVs!$O$7:$U$7,0))</f>
        <v>1286818.6131662561</v>
      </c>
      <c r="W76" s="960" cm="1">
        <f t="array" ref="W76">INDEX(NREL_HCVs!$O$9:$U$22,MATCH(1,(NREL_HCVs!$M$9:$M$22=$G76)*(NREL_HCVs!$N$9:$N$22=$H76),0),MATCH(W$8,NREL_HCVs!$O$7:$U$7,0))</f>
        <v>1293349.4315949583</v>
      </c>
      <c r="X76" s="951">
        <v>2.7E-2</v>
      </c>
      <c r="Y76" s="951" t="s">
        <v>1434</v>
      </c>
      <c r="Z76" s="960">
        <f t="shared" si="108"/>
        <v>33395.637384755028</v>
      </c>
      <c r="AA76" s="960">
        <f t="shared" si="109"/>
        <v>34001.103282634867</v>
      </c>
      <c r="AB76" s="960">
        <f t="shared" si="110"/>
        <v>34252.378293723516</v>
      </c>
      <c r="AC76" s="960">
        <f t="shared" si="111"/>
        <v>34410.074375818731</v>
      </c>
      <c r="AD76" s="960">
        <f t="shared" si="112"/>
        <v>34567.770457913946</v>
      </c>
      <c r="AE76" s="960">
        <f t="shared" si="113"/>
        <v>34744.102555488913</v>
      </c>
      <c r="AF76" s="960">
        <f t="shared" si="114"/>
        <v>34920.434653063872</v>
      </c>
    </row>
    <row r="77" spans="1:32" x14ac:dyDescent="0.25">
      <c r="A77" s="941" t="s">
        <v>501</v>
      </c>
      <c r="B77" s="941" t="s">
        <v>653</v>
      </c>
      <c r="C77" s="941" t="s">
        <v>741</v>
      </c>
      <c r="D77" s="941" t="s">
        <v>687</v>
      </c>
      <c r="E77" s="941"/>
      <c r="F77" s="941"/>
      <c r="G77" s="941" t="s">
        <v>1400</v>
      </c>
      <c r="H77" s="941" t="s">
        <v>692</v>
      </c>
      <c r="I77" s="941" t="str">
        <f t="shared" si="115"/>
        <v>BEV</v>
      </c>
      <c r="J77" s="942" t="s">
        <v>1114</v>
      </c>
      <c r="K77" s="941" t="str">
        <f t="shared" si="103"/>
        <v>F</v>
      </c>
      <c r="L77" s="941" t="str">
        <f t="shared" si="104"/>
        <v>HCV6</v>
      </c>
      <c r="M77" s="941" t="str">
        <f t="shared" si="105"/>
        <v/>
      </c>
      <c r="N77" s="941" t="str">
        <f t="shared" si="106"/>
        <v>TFHCV6ELC-N</v>
      </c>
      <c r="O77" s="941" t="str">
        <f t="shared" si="107"/>
        <v>TFHCV6ELC-E</v>
      </c>
      <c r="P77" s="953" t="s">
        <v>1440</v>
      </c>
      <c r="Q77" s="960" cm="1">
        <f t="array" ref="Q77">INDEX(NREL_HCVs!$O$9:$U$22,MATCH(1,(NREL_HCVs!$M$9:$M$22=$G77)*(NREL_HCVs!$N$9:$N$22=$H77),0),MATCH(Q$8,NREL_HCVs!$O$7:$U$7,0))</f>
        <v>2384627.9677860192</v>
      </c>
      <c r="R77" s="960" cm="1">
        <f t="array" ref="R77">INDEX(NREL_HCVs!$O$9:$U$22,MATCH(1,(NREL_HCVs!$M$9:$M$22=$G77)*(NREL_HCVs!$N$9:$N$22=$H77),0),MATCH(R$8,NREL_HCVs!$O$7:$U$7,0))</f>
        <v>1892290.2606066011</v>
      </c>
      <c r="S77" s="960" cm="1">
        <f t="array" ref="S77">INDEX(NREL_HCVs!$O$9:$U$22,MATCH(1,(NREL_HCVs!$M$9:$M$22=$G77)*(NREL_HCVs!$N$9:$N$22=$H77),0),MATCH(S$8,NREL_HCVs!$O$7:$U$7,0))</f>
        <v>1555956.2522543021</v>
      </c>
      <c r="T77" s="960" cm="1">
        <f t="array" ref="T77">INDEX(NREL_HCVs!$O$9:$U$22,MATCH(1,(NREL_HCVs!$M$9:$M$22=$G77)*(NREL_HCVs!$N$9:$N$22=$H77),0),MATCH(T$8,NREL_HCVs!$O$7:$U$7,0))</f>
        <v>1480649.852323113</v>
      </c>
      <c r="U77" s="960" cm="1">
        <f t="array" ref="U77">INDEX(NREL_HCVs!$O$9:$U$22,MATCH(1,(NREL_HCVs!$M$9:$M$22=$G77)*(NREL_HCVs!$N$9:$N$22=$H77),0),MATCH(U$8,NREL_HCVs!$O$7:$U$7,0))</f>
        <v>1405343.4523919236</v>
      </c>
      <c r="V77" s="960" cm="1">
        <f t="array" ref="V77">INDEX(NREL_HCVs!$O$9:$U$22,MATCH(1,(NREL_HCVs!$M$9:$M$22=$G77)*(NREL_HCVs!$N$9:$N$22=$H77),0),MATCH(V$8,NREL_HCVs!$O$7:$U$7,0))</f>
        <v>1379990.4456593245</v>
      </c>
      <c r="W77" s="960" cm="1">
        <f t="array" ref="W77">INDEX(NREL_HCVs!$O$9:$U$22,MATCH(1,(NREL_HCVs!$M$9:$M$22=$G77)*(NREL_HCVs!$N$9:$N$22=$H77),0),MATCH(W$8,NREL_HCVs!$O$7:$U$7,0))</f>
        <v>1354637.4389267245</v>
      </c>
      <c r="X77" s="951">
        <v>2.0250000000000001E-2</v>
      </c>
      <c r="Y77" s="951" t="s">
        <v>1434</v>
      </c>
      <c r="Z77" s="960">
        <f t="shared" si="108"/>
        <v>48288.716347666894</v>
      </c>
      <c r="AA77" s="960">
        <f t="shared" si="109"/>
        <v>38318.877777283677</v>
      </c>
      <c r="AB77" s="960">
        <f t="shared" si="110"/>
        <v>31508.114108149621</v>
      </c>
      <c r="AC77" s="960">
        <f t="shared" si="111"/>
        <v>29983.159509543038</v>
      </c>
      <c r="AD77" s="960">
        <f t="shared" si="112"/>
        <v>28458.204910936456</v>
      </c>
      <c r="AE77" s="960">
        <f t="shared" si="113"/>
        <v>27944.806524601321</v>
      </c>
      <c r="AF77" s="960">
        <f t="shared" si="114"/>
        <v>27431.408138266172</v>
      </c>
    </row>
    <row r="78" spans="1:32" x14ac:dyDescent="0.25">
      <c r="A78" s="941" t="s">
        <v>504</v>
      </c>
      <c r="B78" s="941" t="s">
        <v>653</v>
      </c>
      <c r="C78" s="941" t="s">
        <v>741</v>
      </c>
      <c r="D78" s="941" t="s">
        <v>687</v>
      </c>
      <c r="E78" s="941"/>
      <c r="F78" s="941"/>
      <c r="G78" s="941" t="s">
        <v>1400</v>
      </c>
      <c r="H78" s="941" t="s">
        <v>699</v>
      </c>
      <c r="I78" s="941" t="s">
        <v>1320</v>
      </c>
      <c r="J78" s="942" t="s">
        <v>1114</v>
      </c>
      <c r="K78" s="941" t="str">
        <f t="shared" si="103"/>
        <v>F</v>
      </c>
      <c r="L78" s="941" t="str">
        <f t="shared" si="104"/>
        <v>HCV6</v>
      </c>
      <c r="M78" s="941" t="str">
        <f t="shared" si="105"/>
        <v/>
      </c>
      <c r="N78" s="941" t="str">
        <f t="shared" si="106"/>
        <v>TFHCV6HGN-N</v>
      </c>
      <c r="O78" s="941" t="str">
        <f t="shared" si="107"/>
        <v>TFHCV6HGN-E</v>
      </c>
      <c r="P78" s="953" t="s">
        <v>1440</v>
      </c>
      <c r="Q78" s="960" cm="1">
        <f t="array" ref="Q78">INDEX(NREL_HCVs!$O$9:$U$22,MATCH(1,(NREL_HCVs!$M$9:$M$22=$G78)*(NREL_HCVs!$N$9:$N$22=$H78),0),MATCH(Q$8,NREL_HCVs!$O$7:$U$7,0))</f>
        <v>2103580.8058416173</v>
      </c>
      <c r="R78" s="960" cm="1">
        <f t="array" ref="R78">INDEX(NREL_HCVs!$O$9:$U$22,MATCH(1,(NREL_HCVs!$M$9:$M$22=$G78)*(NREL_HCVs!$N$9:$N$22=$H78),0),MATCH(R$8,NREL_HCVs!$O$7:$U$7,0))</f>
        <v>1852775.5101623938</v>
      </c>
      <c r="S78" s="960" cm="1">
        <f t="array" ref="S78">INDEX(NREL_HCVs!$O$9:$U$22,MATCH(1,(NREL_HCVs!$M$9:$M$22=$G78)*(NREL_HCVs!$N$9:$N$22=$H78),0),MATCH(S$8,NREL_HCVs!$O$7:$U$7,0))</f>
        <v>1739587.6503793534</v>
      </c>
      <c r="T78" s="960" cm="1">
        <f t="array" ref="T78">INDEX(NREL_HCVs!$O$9:$U$22,MATCH(1,(NREL_HCVs!$M$9:$M$22=$G78)*(NREL_HCVs!$N$9:$N$22=$H78),0),MATCH(T$8,NREL_HCVs!$O$7:$U$7,0))</f>
        <v>1651290.4097272744</v>
      </c>
      <c r="U78" s="960" cm="1">
        <f t="array" ref="U78">INDEX(NREL_HCVs!$O$9:$U$22,MATCH(1,(NREL_HCVs!$M$9:$M$22=$G78)*(NREL_HCVs!$N$9:$N$22=$H78),0),MATCH(U$8,NREL_HCVs!$O$7:$U$7,0))</f>
        <v>1562993.1690751896</v>
      </c>
      <c r="V78" s="960" cm="1">
        <f t="array" ref="V78">INDEX(NREL_HCVs!$O$9:$U$22,MATCH(1,(NREL_HCVs!$M$9:$M$22=$G78)*(NREL_HCVs!$N$9:$N$22=$H78),0),MATCH(V$8,NREL_HCVs!$O$7:$U$7,0))</f>
        <v>1550223.6126251831</v>
      </c>
      <c r="W78" s="960" cm="1">
        <f t="array" ref="W78">INDEX(NREL_HCVs!$O$9:$U$22,MATCH(1,(NREL_HCVs!$M$9:$M$22=$G78)*(NREL_HCVs!$N$9:$N$22=$H78),0),MATCH(W$8,NREL_HCVs!$O$7:$U$7,0))</f>
        <v>1537454.0561751763</v>
      </c>
      <c r="X78" s="951">
        <v>2.7E-2</v>
      </c>
      <c r="Y78" s="951" t="s">
        <v>1434</v>
      </c>
      <c r="Z78" s="960">
        <f t="shared" si="108"/>
        <v>56796.681757723665</v>
      </c>
      <c r="AA78" s="960">
        <f t="shared" si="109"/>
        <v>50024.938774384631</v>
      </c>
      <c r="AB78" s="960">
        <f t="shared" si="110"/>
        <v>46968.866560242539</v>
      </c>
      <c r="AC78" s="960">
        <f t="shared" si="111"/>
        <v>44584.841062636413</v>
      </c>
      <c r="AD78" s="960">
        <f t="shared" si="112"/>
        <v>42200.81556503012</v>
      </c>
      <c r="AE78" s="960">
        <f t="shared" si="113"/>
        <v>41856.037540879945</v>
      </c>
      <c r="AF78" s="960">
        <f t="shared" si="114"/>
        <v>41511.259516729762</v>
      </c>
    </row>
    <row r="79" spans="1:32" x14ac:dyDescent="0.25">
      <c r="A79" s="941" t="s">
        <v>509</v>
      </c>
      <c r="B79" s="941" t="s">
        <v>653</v>
      </c>
      <c r="C79" s="941" t="s">
        <v>741</v>
      </c>
      <c r="D79" s="941" t="s">
        <v>687</v>
      </c>
      <c r="E79" s="941" t="s">
        <v>735</v>
      </c>
      <c r="F79" s="941"/>
      <c r="G79" s="941"/>
      <c r="H79" s="941" t="s">
        <v>700</v>
      </c>
      <c r="I79" s="941" t="str">
        <f t="shared" ref="I79:I81" si="116">IF(A79="HGN",A79,RIGHT(H79,3))</f>
        <v>ICE</v>
      </c>
      <c r="J79" s="942" t="s">
        <v>1114</v>
      </c>
      <c r="K79" s="941" t="str">
        <f t="shared" si="103"/>
        <v>F</v>
      </c>
      <c r="L79" s="941" t="str">
        <f t="shared" si="104"/>
        <v>HCV6</v>
      </c>
      <c r="M79" s="941" t="str">
        <f t="shared" si="105"/>
        <v/>
      </c>
      <c r="N79" s="941" t="str">
        <f t="shared" si="106"/>
        <v>TFHCV6GAS-N</v>
      </c>
      <c r="O79" s="941" t="str">
        <f t="shared" si="107"/>
        <v>TFHCV6GAS-E</v>
      </c>
      <c r="P79" s="964" t="s">
        <v>1445</v>
      </c>
      <c r="Q79" s="996">
        <f>Q76*AEA2012_ZAR2022!T76</f>
        <v>1356210.0205732421</v>
      </c>
      <c r="R79" s="996">
        <f>R76*AEA2012_ZAR2022!U76</f>
        <v>1350225.5130966215</v>
      </c>
      <c r="S79" s="996">
        <f>S76*AEA2012_ZAR2022!V76</f>
        <v>1330919.1635879462</v>
      </c>
      <c r="T79" s="996">
        <f>T76*AEA2012_ZAR2022!W76</f>
        <v>1321415.7483544094</v>
      </c>
      <c r="U79" s="996">
        <f>U76*AEA2012_ZAR2022!X76</f>
        <v>1312349.2139531781</v>
      </c>
      <c r="V79" s="996">
        <f>V76*AEA2012_ZAR2022!Y76</f>
        <v>1311596.554867326</v>
      </c>
      <c r="W79" s="996">
        <f>W76*AEA2012_ZAR2022!Z76</f>
        <v>1310936.2527254561</v>
      </c>
      <c r="X79" s="951">
        <v>2.7E-2</v>
      </c>
      <c r="Y79" s="951" t="s">
        <v>1434</v>
      </c>
      <c r="Z79" s="960">
        <f t="shared" si="108"/>
        <v>36617.67055547754</v>
      </c>
      <c r="AA79" s="960">
        <f t="shared" si="109"/>
        <v>36456.08885360878</v>
      </c>
      <c r="AB79" s="960">
        <f t="shared" si="110"/>
        <v>35934.817416874546</v>
      </c>
      <c r="AC79" s="960">
        <f t="shared" si="111"/>
        <v>35678.225205569055</v>
      </c>
      <c r="AD79" s="960">
        <f t="shared" si="112"/>
        <v>35433.428776735811</v>
      </c>
      <c r="AE79" s="960">
        <f t="shared" si="113"/>
        <v>35413.106981417804</v>
      </c>
      <c r="AF79" s="960">
        <f t="shared" si="114"/>
        <v>35395.278823587316</v>
      </c>
    </row>
    <row r="80" spans="1:32" x14ac:dyDescent="0.25">
      <c r="A80" s="941" t="s">
        <v>511</v>
      </c>
      <c r="B80" s="941" t="s">
        <v>653</v>
      </c>
      <c r="C80" s="941" t="s">
        <v>746</v>
      </c>
      <c r="D80" s="941" t="s">
        <v>687</v>
      </c>
      <c r="E80" s="941"/>
      <c r="F80" s="941"/>
      <c r="G80" s="941" t="s">
        <v>1403</v>
      </c>
      <c r="H80" s="941" t="s">
        <v>687</v>
      </c>
      <c r="I80" s="941" t="str">
        <f t="shared" si="116"/>
        <v>ICE</v>
      </c>
      <c r="J80" s="942" t="s">
        <v>1114</v>
      </c>
      <c r="K80" s="941" t="str">
        <f t="shared" si="103"/>
        <v>F</v>
      </c>
      <c r="L80" s="941" t="str">
        <f t="shared" si="104"/>
        <v>HCV7</v>
      </c>
      <c r="M80" s="941" t="str">
        <f t="shared" si="105"/>
        <v/>
      </c>
      <c r="N80" s="941" t="str">
        <f t="shared" si="106"/>
        <v>TFHCV7ODS-N</v>
      </c>
      <c r="O80" s="941" t="str">
        <f t="shared" si="107"/>
        <v>TFHCV7ODS-E</v>
      </c>
      <c r="P80" s="953" t="s">
        <v>1440</v>
      </c>
      <c r="Q80" s="960" cm="1">
        <f t="array" ref="Q80">INDEX(NREL_HCVs!$O$9:$U$22,MATCH(1,(NREL_HCVs!$M$9:$M$22=$G80)*(NREL_HCVs!$N$9:$N$22=$H80),0),MATCH(Q$8,NREL_HCVs!$O$7:$U$7,0))</f>
        <v>1949624.2731762372</v>
      </c>
      <c r="R80" s="960" cm="1">
        <f t="array" ref="R80">INDEX(NREL_HCVs!$O$9:$U$22,MATCH(1,(NREL_HCVs!$M$9:$M$22=$G80)*(NREL_HCVs!$N$9:$N$22=$H80),0),MATCH(R$8,NREL_HCVs!$O$7:$U$7,0))</f>
        <v>1983417.2204832013</v>
      </c>
      <c r="S80" s="960" cm="1">
        <f t="array" ref="S80">INDEX(NREL_HCVs!$O$9:$U$22,MATCH(1,(NREL_HCVs!$M$9:$M$22=$G80)*(NREL_HCVs!$N$9:$N$22=$H80),0),MATCH(S$8,NREL_HCVs!$O$7:$U$7,0))</f>
        <v>1990142.9808259746</v>
      </c>
      <c r="T80" s="960" cm="1">
        <f t="array" ref="T80">INDEX(NREL_HCVs!$O$9:$U$22,MATCH(1,(NREL_HCVs!$M$9:$M$22=$G80)*(NREL_HCVs!$N$9:$N$22=$H80),0),MATCH(T$8,NREL_HCVs!$O$7:$U$7,0))</f>
        <v>1999899.8869915053</v>
      </c>
      <c r="U80" s="960" cm="1">
        <f t="array" ref="U80">INDEX(NREL_HCVs!$O$9:$U$22,MATCH(1,(NREL_HCVs!$M$9:$M$22=$G80)*(NREL_HCVs!$N$9:$N$22=$H80),0),MATCH(U$8,NREL_HCVs!$O$7:$U$7,0))</f>
        <v>2009656.793157036</v>
      </c>
      <c r="V80" s="960" cm="1">
        <f t="array" ref="V80">INDEX(NREL_HCVs!$O$9:$U$22,MATCH(1,(NREL_HCVs!$M$9:$M$22=$G80)*(NREL_HCVs!$N$9:$N$22=$H80),0),MATCH(V$8,NREL_HCVs!$O$7:$U$7,0))</f>
        <v>2023085.3854772397</v>
      </c>
      <c r="W80" s="960" cm="1">
        <f t="array" ref="W80">INDEX(NREL_HCVs!$O$9:$U$22,MATCH(1,(NREL_HCVs!$M$9:$M$22=$G80)*(NREL_HCVs!$N$9:$N$22=$H80),0),MATCH(W$8,NREL_HCVs!$O$7:$U$7,0))</f>
        <v>2036513.9777974437</v>
      </c>
      <c r="X80" s="951">
        <v>2.7E-2</v>
      </c>
      <c r="Y80" s="951" t="s">
        <v>1434</v>
      </c>
      <c r="Z80" s="960">
        <f t="shared" si="108"/>
        <v>52639.855375758401</v>
      </c>
      <c r="AA80" s="960">
        <f t="shared" si="109"/>
        <v>53552.264953046433</v>
      </c>
      <c r="AB80" s="960">
        <f t="shared" si="110"/>
        <v>53733.860482301316</v>
      </c>
      <c r="AC80" s="960">
        <f t="shared" si="111"/>
        <v>53997.296948770643</v>
      </c>
      <c r="AD80" s="960">
        <f t="shared" si="112"/>
        <v>54260.733415239971</v>
      </c>
      <c r="AE80" s="960">
        <f t="shared" si="113"/>
        <v>54623.305407885469</v>
      </c>
      <c r="AF80" s="960">
        <f t="shared" si="114"/>
        <v>54985.877400530982</v>
      </c>
    </row>
    <row r="81" spans="1:32" x14ac:dyDescent="0.25">
      <c r="A81" s="941" t="s">
        <v>501</v>
      </c>
      <c r="B81" s="941" t="s">
        <v>653</v>
      </c>
      <c r="C81" s="941" t="s">
        <v>746</v>
      </c>
      <c r="D81" s="941" t="s">
        <v>687</v>
      </c>
      <c r="E81" s="941"/>
      <c r="F81" s="941"/>
      <c r="G81" s="941" t="s">
        <v>1403</v>
      </c>
      <c r="H81" s="941" t="s">
        <v>692</v>
      </c>
      <c r="I81" s="941" t="str">
        <f t="shared" si="116"/>
        <v>BEV</v>
      </c>
      <c r="J81" s="942" t="s">
        <v>1114</v>
      </c>
      <c r="K81" s="941" t="str">
        <f t="shared" si="103"/>
        <v>F</v>
      </c>
      <c r="L81" s="941" t="str">
        <f t="shared" si="104"/>
        <v>HCV7</v>
      </c>
      <c r="M81" s="941" t="str">
        <f t="shared" si="105"/>
        <v/>
      </c>
      <c r="N81" s="941" t="str">
        <f t="shared" si="106"/>
        <v>TFHCV7ELC-N</v>
      </c>
      <c r="O81" s="941" t="str">
        <f t="shared" si="107"/>
        <v>TFHCV7ELC-E</v>
      </c>
      <c r="P81" s="953" t="s">
        <v>1440</v>
      </c>
      <c r="Q81" s="960" cm="1">
        <f t="array" ref="Q81">INDEX(NREL_HCVs!$O$9:$U$22,MATCH(1,(NREL_HCVs!$M$9:$M$22=$G81)*(NREL_HCVs!$N$9:$N$22=$H81),0),MATCH(Q$8,NREL_HCVs!$O$7:$U$7,0))</f>
        <v>3660097.9858331708</v>
      </c>
      <c r="R81" s="960" cm="1">
        <f t="array" ref="R81">INDEX(NREL_HCVs!$O$9:$U$22,MATCH(1,(NREL_HCVs!$M$9:$M$22=$G81)*(NREL_HCVs!$N$9:$N$22=$H81),0),MATCH(R$8,NREL_HCVs!$O$7:$U$7,0))</f>
        <v>2931554.4715875085</v>
      </c>
      <c r="S81" s="960" cm="1">
        <f t="array" ref="S81">INDEX(NREL_HCVs!$O$9:$U$22,MATCH(1,(NREL_HCVs!$M$9:$M$22=$G81)*(NREL_HCVs!$N$9:$N$22=$H81),0),MATCH(S$8,NREL_HCVs!$O$7:$U$7,0))</f>
        <v>2442456.6199664399</v>
      </c>
      <c r="T81" s="960" cm="1">
        <f t="array" ref="T81">INDEX(NREL_HCVs!$O$9:$U$22,MATCH(1,(NREL_HCVs!$M$9:$M$22=$G81)*(NREL_HCVs!$N$9:$N$22=$H81),0),MATCH(T$8,NREL_HCVs!$O$7:$U$7,0))</f>
        <v>2331351.5301096672</v>
      </c>
      <c r="U81" s="960" cm="1">
        <f t="array" ref="U81">INDEX(NREL_HCVs!$O$9:$U$22,MATCH(1,(NREL_HCVs!$M$9:$M$22=$G81)*(NREL_HCVs!$N$9:$N$22=$H81),0),MATCH(U$8,NREL_HCVs!$O$7:$U$7,0))</f>
        <v>2220246.4402529029</v>
      </c>
      <c r="V81" s="960" cm="1">
        <f t="array" ref="V81">INDEX(NREL_HCVs!$O$9:$U$22,MATCH(1,(NREL_HCVs!$M$9:$M$22=$G81)*(NREL_HCVs!$N$9:$N$22=$H81),0),MATCH(V$8,NREL_HCVs!$O$7:$U$7,0))</f>
        <v>2192936.7531741075</v>
      </c>
      <c r="W81" s="960" cm="1">
        <f t="array" ref="W81">INDEX(NREL_HCVs!$O$9:$U$22,MATCH(1,(NREL_HCVs!$M$9:$M$22=$G81)*(NREL_HCVs!$N$9:$N$22=$H81),0),MATCH(W$8,NREL_HCVs!$O$7:$U$7,0))</f>
        <v>2165627.0660953103</v>
      </c>
      <c r="X81" s="951">
        <v>2.0250000000000001E-2</v>
      </c>
      <c r="Y81" s="951" t="s">
        <v>1434</v>
      </c>
      <c r="Z81" s="960">
        <f t="shared" si="108"/>
        <v>74116.984213121716</v>
      </c>
      <c r="AA81" s="960">
        <f t="shared" si="109"/>
        <v>59363.978049647048</v>
      </c>
      <c r="AB81" s="960">
        <f t="shared" si="110"/>
        <v>49459.746554320409</v>
      </c>
      <c r="AC81" s="960">
        <f t="shared" si="111"/>
        <v>47209.868484720762</v>
      </c>
      <c r="AD81" s="960">
        <f t="shared" si="112"/>
        <v>44959.990415121283</v>
      </c>
      <c r="AE81" s="960">
        <f t="shared" si="113"/>
        <v>44406.969251775678</v>
      </c>
      <c r="AF81" s="960">
        <f t="shared" si="114"/>
        <v>43853.948088430036</v>
      </c>
    </row>
    <row r="82" spans="1:32" x14ac:dyDescent="0.25">
      <c r="A82" s="941" t="s">
        <v>504</v>
      </c>
      <c r="B82" s="941" t="s">
        <v>653</v>
      </c>
      <c r="C82" s="941" t="s">
        <v>746</v>
      </c>
      <c r="D82" s="941" t="s">
        <v>687</v>
      </c>
      <c r="E82" s="941"/>
      <c r="F82" s="941"/>
      <c r="G82" s="941" t="s">
        <v>1403</v>
      </c>
      <c r="H82" s="941" t="s">
        <v>699</v>
      </c>
      <c r="I82" s="941" t="s">
        <v>1320</v>
      </c>
      <c r="J82" s="942" t="s">
        <v>1114</v>
      </c>
      <c r="K82" s="941" t="str">
        <f t="shared" si="103"/>
        <v>F</v>
      </c>
      <c r="L82" s="941" t="str">
        <f t="shared" si="104"/>
        <v>HCV7</v>
      </c>
      <c r="M82" s="941" t="str">
        <f t="shared" si="105"/>
        <v/>
      </c>
      <c r="N82" s="941" t="str">
        <f t="shared" si="106"/>
        <v>TFHCV7HGN-N</v>
      </c>
      <c r="O82" s="941" t="str">
        <f t="shared" si="107"/>
        <v>TFHCV7HGN-E</v>
      </c>
      <c r="P82" s="953" t="s">
        <v>1440</v>
      </c>
      <c r="Q82" s="960" cm="1">
        <f t="array" ref="Q82">INDEX(NREL_HCVs!$O$9:$U$22,MATCH(1,(NREL_HCVs!$M$9:$M$22=$G82)*(NREL_HCVs!$N$9:$N$22=$H82),0),MATCH(Q$8,NREL_HCVs!$O$7:$U$7,0))</f>
        <v>3580960.3287163149</v>
      </c>
      <c r="R82" s="960" cm="1">
        <f t="array" ref="R82">INDEX(NREL_HCVs!$O$9:$U$22,MATCH(1,(NREL_HCVs!$M$9:$M$22=$G82)*(NREL_HCVs!$N$9:$N$22=$H82),0),MATCH(R$8,NREL_HCVs!$O$7:$U$7,0))</f>
        <v>3132426.6457031942</v>
      </c>
      <c r="S82" s="960" cm="1">
        <f t="array" ref="S82">INDEX(NREL_HCVs!$O$9:$U$22,MATCH(1,(NREL_HCVs!$M$9:$M$22=$G82)*(NREL_HCVs!$N$9:$N$22=$H82),0),MATCH(S$8,NREL_HCVs!$O$7:$U$7,0))</f>
        <v>2918161.3954098346</v>
      </c>
      <c r="T82" s="960" cm="1">
        <f t="array" ref="T82">INDEX(NREL_HCVs!$O$9:$U$22,MATCH(1,(NREL_HCVs!$M$9:$M$22=$G82)*(NREL_HCVs!$N$9:$N$22=$H82),0),MATCH(T$8,NREL_HCVs!$O$7:$U$7,0))</f>
        <v>2768353.9457765967</v>
      </c>
      <c r="U82" s="960" cm="1">
        <f t="array" ref="U82">INDEX(NREL_HCVs!$O$9:$U$22,MATCH(1,(NREL_HCVs!$M$9:$M$22=$G82)*(NREL_HCVs!$N$9:$N$22=$H82),0),MATCH(U$8,NREL_HCVs!$O$7:$U$7,0))</f>
        <v>2618546.4961433574</v>
      </c>
      <c r="V82" s="960" cm="1">
        <f t="array" ref="V82">INDEX(NREL_HCVs!$O$9:$U$22,MATCH(1,(NREL_HCVs!$M$9:$M$22=$G82)*(NREL_HCVs!$N$9:$N$22=$H82),0),MATCH(V$8,NREL_HCVs!$O$7:$U$7,0))</f>
        <v>2590395.2900152984</v>
      </c>
      <c r="W82" s="960" cm="1">
        <f t="array" ref="W82">INDEX(NREL_HCVs!$O$9:$U$22,MATCH(1,(NREL_HCVs!$M$9:$M$22=$G82)*(NREL_HCVs!$N$9:$N$22=$H82),0),MATCH(W$8,NREL_HCVs!$O$7:$U$7,0))</f>
        <v>2562244.0838872395</v>
      </c>
      <c r="X82" s="951">
        <v>2.7E-2</v>
      </c>
      <c r="Y82" s="951" t="s">
        <v>1434</v>
      </c>
      <c r="Z82" s="960">
        <f t="shared" si="108"/>
        <v>96685.928875340498</v>
      </c>
      <c r="AA82" s="960">
        <f t="shared" si="109"/>
        <v>84575.519433986236</v>
      </c>
      <c r="AB82" s="960">
        <f t="shared" si="110"/>
        <v>78790.357676065527</v>
      </c>
      <c r="AC82" s="960">
        <f t="shared" si="111"/>
        <v>74745.556535968106</v>
      </c>
      <c r="AD82" s="960">
        <f t="shared" si="112"/>
        <v>70700.755395870641</v>
      </c>
      <c r="AE82" s="960">
        <f t="shared" si="113"/>
        <v>69940.672830413052</v>
      </c>
      <c r="AF82" s="960">
        <f t="shared" si="114"/>
        <v>69180.590264955463</v>
      </c>
    </row>
    <row r="83" spans="1:32" x14ac:dyDescent="0.25">
      <c r="A83" s="941" t="s">
        <v>509</v>
      </c>
      <c r="B83" s="941" t="s">
        <v>653</v>
      </c>
      <c r="C83" s="941" t="s">
        <v>746</v>
      </c>
      <c r="D83" s="941" t="s">
        <v>687</v>
      </c>
      <c r="E83" s="941" t="s">
        <v>747</v>
      </c>
      <c r="F83" s="941"/>
      <c r="G83" s="941"/>
      <c r="H83" s="941" t="s">
        <v>700</v>
      </c>
      <c r="I83" s="941" t="str">
        <f t="shared" ref="I83:I85" si="117">IF(A83="HGN",A83,RIGHT(H83,3))</f>
        <v>ICE</v>
      </c>
      <c r="J83" s="942" t="s">
        <v>1114</v>
      </c>
      <c r="K83" s="941" t="str">
        <f t="shared" si="103"/>
        <v>F</v>
      </c>
      <c r="L83" s="941" t="str">
        <f t="shared" si="104"/>
        <v>HCV7</v>
      </c>
      <c r="M83" s="941" t="str">
        <f t="shared" si="105"/>
        <v/>
      </c>
      <c r="N83" s="941" t="str">
        <f t="shared" si="106"/>
        <v>TFHCV7GAS-N</v>
      </c>
      <c r="O83" s="941" t="str">
        <f t="shared" si="107"/>
        <v>TFHCV7GAS-E</v>
      </c>
      <c r="P83" s="964" t="s">
        <v>1445</v>
      </c>
      <c r="Q83" s="996">
        <f>Q80*AEA2012_ZAR2022!T80</f>
        <v>2261026.067842951</v>
      </c>
      <c r="R83" s="996">
        <f>R80*AEA2012_ZAR2022!U80</f>
        <v>2235789.5114027858</v>
      </c>
      <c r="S83" s="996">
        <f>S80*AEA2012_ZAR2022!V80</f>
        <v>2181903.1091055456</v>
      </c>
      <c r="T83" s="996">
        <f>T80*AEA2012_ZAR2022!W80</f>
        <v>2167492.5676747188</v>
      </c>
      <c r="U83" s="996">
        <f>U80*AEA2012_ZAR2022!X80</f>
        <v>2153769.1968837515</v>
      </c>
      <c r="V83" s="996">
        <f>V80*AEA2012_ZAR2022!Y80</f>
        <v>2152889.9182083183</v>
      </c>
      <c r="W83" s="996">
        <f>W80*AEA2012_ZAR2022!Z80</f>
        <v>2152152.8398992391</v>
      </c>
      <c r="X83" s="951">
        <v>2.7E-2</v>
      </c>
      <c r="Y83" s="951" t="s">
        <v>1434</v>
      </c>
      <c r="Z83" s="960">
        <f t="shared" si="108"/>
        <v>61047.703831759674</v>
      </c>
      <c r="AA83" s="960">
        <f t="shared" si="109"/>
        <v>60366.316807875213</v>
      </c>
      <c r="AB83" s="960">
        <f t="shared" si="110"/>
        <v>58911.383945849731</v>
      </c>
      <c r="AC83" s="960">
        <f t="shared" si="111"/>
        <v>58522.299327217406</v>
      </c>
      <c r="AD83" s="960">
        <f t="shared" si="112"/>
        <v>58151.768315861293</v>
      </c>
      <c r="AE83" s="960">
        <f t="shared" si="113"/>
        <v>58128.02779162459</v>
      </c>
      <c r="AF83" s="960">
        <f t="shared" si="114"/>
        <v>58108.126677279455</v>
      </c>
    </row>
    <row r="84" spans="1:32" x14ac:dyDescent="0.25">
      <c r="A84" s="941" t="s">
        <v>511</v>
      </c>
      <c r="B84" s="941" t="s">
        <v>653</v>
      </c>
      <c r="C84" s="941" t="s">
        <v>750</v>
      </c>
      <c r="D84" s="941" t="s">
        <v>687</v>
      </c>
      <c r="E84" s="941"/>
      <c r="F84" s="941"/>
      <c r="G84" s="941" t="s">
        <v>1403</v>
      </c>
      <c r="H84" s="941" t="s">
        <v>687</v>
      </c>
      <c r="I84" s="941" t="str">
        <f t="shared" si="117"/>
        <v>ICE</v>
      </c>
      <c r="J84" s="942" t="s">
        <v>1114</v>
      </c>
      <c r="K84" s="941" t="str">
        <f t="shared" si="103"/>
        <v>F</v>
      </c>
      <c r="L84" s="941" t="str">
        <f t="shared" si="104"/>
        <v>HCV8</v>
      </c>
      <c r="M84" s="941" t="str">
        <f t="shared" si="105"/>
        <v/>
      </c>
      <c r="N84" s="941" t="str">
        <f t="shared" si="106"/>
        <v>TFHCV8ODS-N</v>
      </c>
      <c r="O84" s="941" t="str">
        <f t="shared" si="107"/>
        <v>TFHCV8ODS-E</v>
      </c>
      <c r="P84" s="953" t="s">
        <v>1440</v>
      </c>
      <c r="Q84" s="960" cm="1">
        <f t="array" ref="Q84">INDEX(NREL_HCVs!$O$9:$U$22,MATCH(1,(NREL_HCVs!$M$9:$M$22=$G84)*(NREL_HCVs!$N$9:$N$22=$H84),0),MATCH(Q$8,NREL_HCVs!$O$7:$U$7,0))</f>
        <v>1949624.2731762372</v>
      </c>
      <c r="R84" s="960" cm="1">
        <f t="array" ref="R84">INDEX(NREL_HCVs!$O$9:$U$22,MATCH(1,(NREL_HCVs!$M$9:$M$22=$G84)*(NREL_HCVs!$N$9:$N$22=$H84),0),MATCH(R$8,NREL_HCVs!$O$7:$U$7,0))</f>
        <v>1983417.2204832013</v>
      </c>
      <c r="S84" s="960" cm="1">
        <f t="array" ref="S84">INDEX(NREL_HCVs!$O$9:$U$22,MATCH(1,(NREL_HCVs!$M$9:$M$22=$G84)*(NREL_HCVs!$N$9:$N$22=$H84),0),MATCH(S$8,NREL_HCVs!$O$7:$U$7,0))</f>
        <v>1990142.9808259746</v>
      </c>
      <c r="T84" s="960" cm="1">
        <f t="array" ref="T84">INDEX(NREL_HCVs!$O$9:$U$22,MATCH(1,(NREL_HCVs!$M$9:$M$22=$G84)*(NREL_HCVs!$N$9:$N$22=$H84),0),MATCH(T$8,NREL_HCVs!$O$7:$U$7,0))</f>
        <v>1999899.8869915053</v>
      </c>
      <c r="U84" s="960" cm="1">
        <f t="array" ref="U84">INDEX(NREL_HCVs!$O$9:$U$22,MATCH(1,(NREL_HCVs!$M$9:$M$22=$G84)*(NREL_HCVs!$N$9:$N$22=$H84),0),MATCH(U$8,NREL_HCVs!$O$7:$U$7,0))</f>
        <v>2009656.793157036</v>
      </c>
      <c r="V84" s="960" cm="1">
        <f t="array" ref="V84">INDEX(NREL_HCVs!$O$9:$U$22,MATCH(1,(NREL_HCVs!$M$9:$M$22=$G84)*(NREL_HCVs!$N$9:$N$22=$H84),0),MATCH(V$8,NREL_HCVs!$O$7:$U$7,0))</f>
        <v>2023085.3854772397</v>
      </c>
      <c r="W84" s="960" cm="1">
        <f t="array" ref="W84">INDEX(NREL_HCVs!$O$9:$U$22,MATCH(1,(NREL_HCVs!$M$9:$M$22=$G84)*(NREL_HCVs!$N$9:$N$22=$H84),0),MATCH(W$8,NREL_HCVs!$O$7:$U$7,0))</f>
        <v>2036513.9777974437</v>
      </c>
      <c r="X84" s="951">
        <v>2.7E-2</v>
      </c>
      <c r="Y84" s="951" t="s">
        <v>1434</v>
      </c>
      <c r="Z84" s="960">
        <f t="shared" si="108"/>
        <v>52639.855375758401</v>
      </c>
      <c r="AA84" s="960">
        <f t="shared" si="109"/>
        <v>53552.264953046433</v>
      </c>
      <c r="AB84" s="960">
        <f t="shared" si="110"/>
        <v>53733.860482301316</v>
      </c>
      <c r="AC84" s="960">
        <f t="shared" si="111"/>
        <v>53997.296948770643</v>
      </c>
      <c r="AD84" s="960">
        <f t="shared" si="112"/>
        <v>54260.733415239971</v>
      </c>
      <c r="AE84" s="960">
        <f t="shared" si="113"/>
        <v>54623.305407885469</v>
      </c>
      <c r="AF84" s="960">
        <f t="shared" si="114"/>
        <v>54985.877400530982</v>
      </c>
    </row>
    <row r="85" spans="1:32" x14ac:dyDescent="0.25">
      <c r="A85" s="941" t="s">
        <v>501</v>
      </c>
      <c r="B85" s="941" t="s">
        <v>653</v>
      </c>
      <c r="C85" s="941" t="s">
        <v>750</v>
      </c>
      <c r="D85" s="941" t="s">
        <v>687</v>
      </c>
      <c r="E85" s="941"/>
      <c r="F85" s="941"/>
      <c r="G85" s="941" t="s">
        <v>1403</v>
      </c>
      <c r="H85" s="941" t="s">
        <v>692</v>
      </c>
      <c r="I85" s="941" t="str">
        <f t="shared" si="117"/>
        <v>BEV</v>
      </c>
      <c r="J85" s="942" t="s">
        <v>1114</v>
      </c>
      <c r="K85" s="941" t="str">
        <f t="shared" si="103"/>
        <v>F</v>
      </c>
      <c r="L85" s="941" t="str">
        <f t="shared" si="104"/>
        <v>HCV8</v>
      </c>
      <c r="M85" s="941" t="str">
        <f t="shared" si="105"/>
        <v/>
      </c>
      <c r="N85" s="941" t="str">
        <f t="shared" si="106"/>
        <v>TFHCV8ELC-N</v>
      </c>
      <c r="O85" s="941" t="str">
        <f t="shared" si="107"/>
        <v>TFHCV8ELC-E</v>
      </c>
      <c r="P85" s="953" t="s">
        <v>1440</v>
      </c>
      <c r="Q85" s="960" cm="1">
        <f t="array" ref="Q85">INDEX(NREL_HCVs!$O$9:$U$22,MATCH(1,(NREL_HCVs!$M$9:$M$22=$G85)*(NREL_HCVs!$N$9:$N$22=$H85),0),MATCH(Q$8,NREL_HCVs!$O$7:$U$7,0))</f>
        <v>3660097.9858331708</v>
      </c>
      <c r="R85" s="960" cm="1">
        <f t="array" ref="R85">INDEX(NREL_HCVs!$O$9:$U$22,MATCH(1,(NREL_HCVs!$M$9:$M$22=$G85)*(NREL_HCVs!$N$9:$N$22=$H85),0),MATCH(R$8,NREL_HCVs!$O$7:$U$7,0))</f>
        <v>2931554.4715875085</v>
      </c>
      <c r="S85" s="960" cm="1">
        <f t="array" ref="S85">INDEX(NREL_HCVs!$O$9:$U$22,MATCH(1,(NREL_HCVs!$M$9:$M$22=$G85)*(NREL_HCVs!$N$9:$N$22=$H85),0),MATCH(S$8,NREL_HCVs!$O$7:$U$7,0))</f>
        <v>2442456.6199664399</v>
      </c>
      <c r="T85" s="960" cm="1">
        <f t="array" ref="T85">INDEX(NREL_HCVs!$O$9:$U$22,MATCH(1,(NREL_HCVs!$M$9:$M$22=$G85)*(NREL_HCVs!$N$9:$N$22=$H85),0),MATCH(T$8,NREL_HCVs!$O$7:$U$7,0))</f>
        <v>2331351.5301096672</v>
      </c>
      <c r="U85" s="960" cm="1">
        <f t="array" ref="U85">INDEX(NREL_HCVs!$O$9:$U$22,MATCH(1,(NREL_HCVs!$M$9:$M$22=$G85)*(NREL_HCVs!$N$9:$N$22=$H85),0),MATCH(U$8,NREL_HCVs!$O$7:$U$7,0))</f>
        <v>2220246.4402529029</v>
      </c>
      <c r="V85" s="960" cm="1">
        <f t="array" ref="V85">INDEX(NREL_HCVs!$O$9:$U$22,MATCH(1,(NREL_HCVs!$M$9:$M$22=$G85)*(NREL_HCVs!$N$9:$N$22=$H85),0),MATCH(V$8,NREL_HCVs!$O$7:$U$7,0))</f>
        <v>2192936.7531741075</v>
      </c>
      <c r="W85" s="960" cm="1">
        <f t="array" ref="W85">INDEX(NREL_HCVs!$O$9:$U$22,MATCH(1,(NREL_HCVs!$M$9:$M$22=$G85)*(NREL_HCVs!$N$9:$N$22=$H85),0),MATCH(W$8,NREL_HCVs!$O$7:$U$7,0))</f>
        <v>2165627.0660953103</v>
      </c>
      <c r="X85" s="951">
        <v>2.0250000000000001E-2</v>
      </c>
      <c r="Y85" s="951" t="s">
        <v>1434</v>
      </c>
      <c r="Z85" s="960">
        <f t="shared" si="108"/>
        <v>74116.984213121716</v>
      </c>
      <c r="AA85" s="960">
        <f t="shared" si="109"/>
        <v>59363.978049647048</v>
      </c>
      <c r="AB85" s="960">
        <f t="shared" si="110"/>
        <v>49459.746554320409</v>
      </c>
      <c r="AC85" s="960">
        <f t="shared" si="111"/>
        <v>47209.868484720762</v>
      </c>
      <c r="AD85" s="960">
        <f t="shared" si="112"/>
        <v>44959.990415121283</v>
      </c>
      <c r="AE85" s="960">
        <f t="shared" si="113"/>
        <v>44406.969251775678</v>
      </c>
      <c r="AF85" s="960">
        <f t="shared" si="114"/>
        <v>43853.948088430036</v>
      </c>
    </row>
    <row r="86" spans="1:32" x14ac:dyDescent="0.25">
      <c r="A86" s="941" t="s">
        <v>504</v>
      </c>
      <c r="B86" s="941" t="s">
        <v>653</v>
      </c>
      <c r="C86" s="941" t="s">
        <v>750</v>
      </c>
      <c r="D86" s="941" t="s">
        <v>687</v>
      </c>
      <c r="E86" s="941"/>
      <c r="F86" s="941"/>
      <c r="G86" s="941" t="s">
        <v>1403</v>
      </c>
      <c r="H86" s="941" t="s">
        <v>699</v>
      </c>
      <c r="I86" s="941" t="s">
        <v>1320</v>
      </c>
      <c r="J86" s="942" t="s">
        <v>1114</v>
      </c>
      <c r="K86" s="941" t="str">
        <f t="shared" si="103"/>
        <v>F</v>
      </c>
      <c r="L86" s="941" t="str">
        <f t="shared" si="104"/>
        <v>HCV8</v>
      </c>
      <c r="M86" s="941" t="str">
        <f t="shared" si="105"/>
        <v/>
      </c>
      <c r="N86" s="941" t="str">
        <f t="shared" si="106"/>
        <v>TFHCV8HGN-N</v>
      </c>
      <c r="O86" s="941" t="str">
        <f t="shared" si="107"/>
        <v>TFHCV8HGN-E</v>
      </c>
      <c r="P86" s="953" t="s">
        <v>1440</v>
      </c>
      <c r="Q86" s="960" cm="1">
        <f t="array" ref="Q86">INDEX(NREL_HCVs!$O$9:$U$22,MATCH(1,(NREL_HCVs!$M$9:$M$22=$G86)*(NREL_HCVs!$N$9:$N$22=$H86),0),MATCH(Q$8,NREL_HCVs!$O$7:$U$7,0))</f>
        <v>3580960.3287163149</v>
      </c>
      <c r="R86" s="960" cm="1">
        <f t="array" ref="R86">INDEX(NREL_HCVs!$O$9:$U$22,MATCH(1,(NREL_HCVs!$M$9:$M$22=$G86)*(NREL_HCVs!$N$9:$N$22=$H86),0),MATCH(R$8,NREL_HCVs!$O$7:$U$7,0))</f>
        <v>3132426.6457031942</v>
      </c>
      <c r="S86" s="960" cm="1">
        <f t="array" ref="S86">INDEX(NREL_HCVs!$O$9:$U$22,MATCH(1,(NREL_HCVs!$M$9:$M$22=$G86)*(NREL_HCVs!$N$9:$N$22=$H86),0),MATCH(S$8,NREL_HCVs!$O$7:$U$7,0))</f>
        <v>2918161.3954098346</v>
      </c>
      <c r="T86" s="960" cm="1">
        <f t="array" ref="T86">INDEX(NREL_HCVs!$O$9:$U$22,MATCH(1,(NREL_HCVs!$M$9:$M$22=$G86)*(NREL_HCVs!$N$9:$N$22=$H86),0),MATCH(T$8,NREL_HCVs!$O$7:$U$7,0))</f>
        <v>2768353.9457765967</v>
      </c>
      <c r="U86" s="960" cm="1">
        <f t="array" ref="U86">INDEX(NREL_HCVs!$O$9:$U$22,MATCH(1,(NREL_HCVs!$M$9:$M$22=$G86)*(NREL_HCVs!$N$9:$N$22=$H86),0),MATCH(U$8,NREL_HCVs!$O$7:$U$7,0))</f>
        <v>2618546.4961433574</v>
      </c>
      <c r="V86" s="960" cm="1">
        <f t="array" ref="V86">INDEX(NREL_HCVs!$O$9:$U$22,MATCH(1,(NREL_HCVs!$M$9:$M$22=$G86)*(NREL_HCVs!$N$9:$N$22=$H86),0),MATCH(V$8,NREL_HCVs!$O$7:$U$7,0))</f>
        <v>2590395.2900152984</v>
      </c>
      <c r="W86" s="960" cm="1">
        <f t="array" ref="W86">INDEX(NREL_HCVs!$O$9:$U$22,MATCH(1,(NREL_HCVs!$M$9:$M$22=$G86)*(NREL_HCVs!$N$9:$N$22=$H86),0),MATCH(W$8,NREL_HCVs!$O$7:$U$7,0))</f>
        <v>2562244.0838872395</v>
      </c>
      <c r="X86" s="951">
        <v>2.7E-2</v>
      </c>
      <c r="Y86" s="951" t="s">
        <v>1434</v>
      </c>
      <c r="Z86" s="960">
        <f t="shared" si="108"/>
        <v>96685.928875340498</v>
      </c>
      <c r="AA86" s="960">
        <f t="shared" si="109"/>
        <v>84575.519433986236</v>
      </c>
      <c r="AB86" s="960">
        <f t="shared" si="110"/>
        <v>78790.357676065527</v>
      </c>
      <c r="AC86" s="960">
        <f t="shared" si="111"/>
        <v>74745.556535968106</v>
      </c>
      <c r="AD86" s="960">
        <f t="shared" si="112"/>
        <v>70700.755395870641</v>
      </c>
      <c r="AE86" s="960">
        <f t="shared" si="113"/>
        <v>69940.672830413052</v>
      </c>
      <c r="AF86" s="960">
        <f t="shared" si="114"/>
        <v>69180.590264955463</v>
      </c>
    </row>
    <row r="87" spans="1:32" x14ac:dyDescent="0.25">
      <c r="A87" s="941" t="s">
        <v>509</v>
      </c>
      <c r="B87" s="941" t="s">
        <v>653</v>
      </c>
      <c r="C87" s="941" t="s">
        <v>750</v>
      </c>
      <c r="D87" s="941" t="s">
        <v>687</v>
      </c>
      <c r="E87" s="941" t="s">
        <v>747</v>
      </c>
      <c r="F87" s="941"/>
      <c r="G87" s="941"/>
      <c r="H87" s="941" t="s">
        <v>700</v>
      </c>
      <c r="I87" s="941" t="str">
        <f t="shared" ref="I87:I89" si="118">IF(A87="HGN",A87,RIGHT(H87,3))</f>
        <v>ICE</v>
      </c>
      <c r="J87" s="942" t="s">
        <v>1114</v>
      </c>
      <c r="K87" s="941" t="str">
        <f t="shared" si="103"/>
        <v>F</v>
      </c>
      <c r="L87" s="941" t="str">
        <f t="shared" si="104"/>
        <v>HCV8</v>
      </c>
      <c r="M87" s="941" t="str">
        <f t="shared" si="105"/>
        <v/>
      </c>
      <c r="N87" s="941" t="str">
        <f t="shared" si="106"/>
        <v>TFHCV8GAS-N</v>
      </c>
      <c r="O87" s="941" t="str">
        <f t="shared" si="107"/>
        <v>TFHCV8GAS-E</v>
      </c>
      <c r="P87" s="964" t="s">
        <v>1445</v>
      </c>
      <c r="Q87" s="996">
        <f>Q83</f>
        <v>2261026.067842951</v>
      </c>
      <c r="R87" s="996">
        <f t="shared" ref="R87:W87" si="119">R83</f>
        <v>2235789.5114027858</v>
      </c>
      <c r="S87" s="996">
        <f t="shared" si="119"/>
        <v>2181903.1091055456</v>
      </c>
      <c r="T87" s="996">
        <f t="shared" si="119"/>
        <v>2167492.5676747188</v>
      </c>
      <c r="U87" s="996">
        <f t="shared" si="119"/>
        <v>2153769.1968837515</v>
      </c>
      <c r="V87" s="996">
        <f t="shared" si="119"/>
        <v>2152889.9182083183</v>
      </c>
      <c r="W87" s="996">
        <f t="shared" si="119"/>
        <v>2152152.8398992391</v>
      </c>
      <c r="X87" s="951">
        <v>2.7E-2</v>
      </c>
      <c r="Y87" s="951" t="s">
        <v>1434</v>
      </c>
      <c r="Z87" s="960">
        <f t="shared" si="108"/>
        <v>61047.703831759674</v>
      </c>
      <c r="AA87" s="960">
        <f t="shared" si="109"/>
        <v>60366.316807875213</v>
      </c>
      <c r="AB87" s="960">
        <f t="shared" si="110"/>
        <v>58911.383945849731</v>
      </c>
      <c r="AC87" s="960">
        <f t="shared" si="111"/>
        <v>58522.299327217406</v>
      </c>
      <c r="AD87" s="960">
        <f t="shared" si="112"/>
        <v>58151.768315861293</v>
      </c>
      <c r="AE87" s="960">
        <f t="shared" si="113"/>
        <v>58128.02779162459</v>
      </c>
      <c r="AF87" s="960">
        <f t="shared" si="114"/>
        <v>58108.126677279455</v>
      </c>
    </row>
    <row r="88" spans="1:32" x14ac:dyDescent="0.25">
      <c r="A88" s="941" t="s">
        <v>511</v>
      </c>
      <c r="B88" s="941" t="s">
        <v>653</v>
      </c>
      <c r="C88" s="941" t="s">
        <v>757</v>
      </c>
      <c r="D88" s="941" t="s">
        <v>687</v>
      </c>
      <c r="E88" s="941"/>
      <c r="F88" s="941"/>
      <c r="G88" s="941" t="s">
        <v>1403</v>
      </c>
      <c r="H88" s="941" t="s">
        <v>687</v>
      </c>
      <c r="I88" s="941" t="str">
        <f t="shared" si="118"/>
        <v>ICE</v>
      </c>
      <c r="J88" s="942" t="s">
        <v>1114</v>
      </c>
      <c r="K88" s="941" t="str">
        <f t="shared" si="103"/>
        <v>F</v>
      </c>
      <c r="L88" s="941" t="str">
        <f t="shared" si="104"/>
        <v>HCV9</v>
      </c>
      <c r="M88" s="941" t="str">
        <f t="shared" si="105"/>
        <v/>
      </c>
      <c r="N88" s="941" t="str">
        <f t="shared" si="106"/>
        <v>TFHCV9ODS-N</v>
      </c>
      <c r="O88" s="941" t="str">
        <f t="shared" si="107"/>
        <v>TFHCV9ODS-E</v>
      </c>
      <c r="P88" s="953" t="s">
        <v>1440</v>
      </c>
      <c r="Q88" s="960" cm="1">
        <f t="array" ref="Q88">INDEX(NREL_HCVs!$O$9:$U$22,MATCH(1,(NREL_HCVs!$M$9:$M$22=$G88)*(NREL_HCVs!$N$9:$N$22=$H88),0),MATCH(Q$8,NREL_HCVs!$O$7:$U$7,0))</f>
        <v>1949624.2731762372</v>
      </c>
      <c r="R88" s="960" cm="1">
        <f t="array" ref="R88">INDEX(NREL_HCVs!$O$9:$U$22,MATCH(1,(NREL_HCVs!$M$9:$M$22=$G88)*(NREL_HCVs!$N$9:$N$22=$H88),0),MATCH(R$8,NREL_HCVs!$O$7:$U$7,0))</f>
        <v>1983417.2204832013</v>
      </c>
      <c r="S88" s="960" cm="1">
        <f t="array" ref="S88">INDEX(NREL_HCVs!$O$9:$U$22,MATCH(1,(NREL_HCVs!$M$9:$M$22=$G88)*(NREL_HCVs!$N$9:$N$22=$H88),0),MATCH(S$8,NREL_HCVs!$O$7:$U$7,0))</f>
        <v>1990142.9808259746</v>
      </c>
      <c r="T88" s="960" cm="1">
        <f t="array" ref="T88">INDEX(NREL_HCVs!$O$9:$U$22,MATCH(1,(NREL_HCVs!$M$9:$M$22=$G88)*(NREL_HCVs!$N$9:$N$22=$H88),0),MATCH(T$8,NREL_HCVs!$O$7:$U$7,0))</f>
        <v>1999899.8869915053</v>
      </c>
      <c r="U88" s="960" cm="1">
        <f t="array" ref="U88">INDEX(NREL_HCVs!$O$9:$U$22,MATCH(1,(NREL_HCVs!$M$9:$M$22=$G88)*(NREL_HCVs!$N$9:$N$22=$H88),0),MATCH(U$8,NREL_HCVs!$O$7:$U$7,0))</f>
        <v>2009656.793157036</v>
      </c>
      <c r="V88" s="960" cm="1">
        <f t="array" ref="V88">INDEX(NREL_HCVs!$O$9:$U$22,MATCH(1,(NREL_HCVs!$M$9:$M$22=$G88)*(NREL_HCVs!$N$9:$N$22=$H88),0),MATCH(V$8,NREL_HCVs!$O$7:$U$7,0))</f>
        <v>2023085.3854772397</v>
      </c>
      <c r="W88" s="960" cm="1">
        <f t="array" ref="W88">INDEX(NREL_HCVs!$O$9:$U$22,MATCH(1,(NREL_HCVs!$M$9:$M$22=$G88)*(NREL_HCVs!$N$9:$N$22=$H88),0),MATCH(W$8,NREL_HCVs!$O$7:$U$7,0))</f>
        <v>2036513.9777974437</v>
      </c>
      <c r="X88" s="951">
        <v>2.7E-2</v>
      </c>
      <c r="Y88" s="951" t="s">
        <v>1434</v>
      </c>
      <c r="Z88" s="960">
        <f t="shared" si="108"/>
        <v>52639.855375758401</v>
      </c>
      <c r="AA88" s="960">
        <f t="shared" si="109"/>
        <v>53552.264953046433</v>
      </c>
      <c r="AB88" s="960">
        <f t="shared" si="110"/>
        <v>53733.860482301316</v>
      </c>
      <c r="AC88" s="960">
        <f t="shared" si="111"/>
        <v>53997.296948770643</v>
      </c>
      <c r="AD88" s="960">
        <f t="shared" si="112"/>
        <v>54260.733415239971</v>
      </c>
      <c r="AE88" s="960">
        <f t="shared" si="113"/>
        <v>54623.305407885469</v>
      </c>
      <c r="AF88" s="960">
        <f t="shared" si="114"/>
        <v>54985.877400530982</v>
      </c>
    </row>
    <row r="89" spans="1:32" x14ac:dyDescent="0.25">
      <c r="A89" s="941" t="s">
        <v>501</v>
      </c>
      <c r="B89" s="941" t="s">
        <v>653</v>
      </c>
      <c r="C89" s="941" t="s">
        <v>757</v>
      </c>
      <c r="D89" s="941" t="s">
        <v>687</v>
      </c>
      <c r="E89" s="941"/>
      <c r="F89" s="941"/>
      <c r="G89" s="941" t="s">
        <v>1403</v>
      </c>
      <c r="H89" s="941" t="s">
        <v>692</v>
      </c>
      <c r="I89" s="941" t="str">
        <f t="shared" si="118"/>
        <v>BEV</v>
      </c>
      <c r="J89" s="942" t="s">
        <v>1114</v>
      </c>
      <c r="K89" s="941" t="str">
        <f t="shared" si="103"/>
        <v>F</v>
      </c>
      <c r="L89" s="941" t="str">
        <f t="shared" si="104"/>
        <v>HCV9</v>
      </c>
      <c r="M89" s="941" t="str">
        <f t="shared" si="105"/>
        <v/>
      </c>
      <c r="N89" s="941" t="str">
        <f t="shared" si="106"/>
        <v>TFHCV9ELC-N</v>
      </c>
      <c r="O89" s="941" t="str">
        <f t="shared" si="107"/>
        <v>TFHCV9ELC-E</v>
      </c>
      <c r="P89" s="953" t="s">
        <v>1440</v>
      </c>
      <c r="Q89" s="960" cm="1">
        <f t="array" ref="Q89">INDEX(NREL_HCVs!$O$9:$U$22,MATCH(1,(NREL_HCVs!$M$9:$M$22=$G89)*(NREL_HCVs!$N$9:$N$22=$H89),0),MATCH(Q$8,NREL_HCVs!$O$7:$U$7,0))</f>
        <v>3660097.9858331708</v>
      </c>
      <c r="R89" s="960" cm="1">
        <f t="array" ref="R89">INDEX(NREL_HCVs!$O$9:$U$22,MATCH(1,(NREL_HCVs!$M$9:$M$22=$G89)*(NREL_HCVs!$N$9:$N$22=$H89),0),MATCH(R$8,NREL_HCVs!$O$7:$U$7,0))</f>
        <v>2931554.4715875085</v>
      </c>
      <c r="S89" s="960" cm="1">
        <f t="array" ref="S89">INDEX(NREL_HCVs!$O$9:$U$22,MATCH(1,(NREL_HCVs!$M$9:$M$22=$G89)*(NREL_HCVs!$N$9:$N$22=$H89),0),MATCH(S$8,NREL_HCVs!$O$7:$U$7,0))</f>
        <v>2442456.6199664399</v>
      </c>
      <c r="T89" s="960" cm="1">
        <f t="array" ref="T89">INDEX(NREL_HCVs!$O$9:$U$22,MATCH(1,(NREL_HCVs!$M$9:$M$22=$G89)*(NREL_HCVs!$N$9:$N$22=$H89),0),MATCH(T$8,NREL_HCVs!$O$7:$U$7,0))</f>
        <v>2331351.5301096672</v>
      </c>
      <c r="U89" s="960" cm="1">
        <f t="array" ref="U89">INDEX(NREL_HCVs!$O$9:$U$22,MATCH(1,(NREL_HCVs!$M$9:$M$22=$G89)*(NREL_HCVs!$N$9:$N$22=$H89),0),MATCH(U$8,NREL_HCVs!$O$7:$U$7,0))</f>
        <v>2220246.4402529029</v>
      </c>
      <c r="V89" s="960" cm="1">
        <f t="array" ref="V89">INDEX(NREL_HCVs!$O$9:$U$22,MATCH(1,(NREL_HCVs!$M$9:$M$22=$G89)*(NREL_HCVs!$N$9:$N$22=$H89),0),MATCH(V$8,NREL_HCVs!$O$7:$U$7,0))</f>
        <v>2192936.7531741075</v>
      </c>
      <c r="W89" s="960" cm="1">
        <f t="array" ref="W89">INDEX(NREL_HCVs!$O$9:$U$22,MATCH(1,(NREL_HCVs!$M$9:$M$22=$G89)*(NREL_HCVs!$N$9:$N$22=$H89),0),MATCH(W$8,NREL_HCVs!$O$7:$U$7,0))</f>
        <v>2165627.0660953103</v>
      </c>
      <c r="X89" s="951">
        <v>2.0250000000000001E-2</v>
      </c>
      <c r="Y89" s="951" t="s">
        <v>1434</v>
      </c>
      <c r="Z89" s="960">
        <f t="shared" si="108"/>
        <v>74116.984213121716</v>
      </c>
      <c r="AA89" s="960">
        <f t="shared" si="109"/>
        <v>59363.978049647048</v>
      </c>
      <c r="AB89" s="960">
        <f t="shared" si="110"/>
        <v>49459.746554320409</v>
      </c>
      <c r="AC89" s="960">
        <f t="shared" si="111"/>
        <v>47209.868484720762</v>
      </c>
      <c r="AD89" s="960">
        <f t="shared" si="112"/>
        <v>44959.990415121283</v>
      </c>
      <c r="AE89" s="960">
        <f t="shared" si="113"/>
        <v>44406.969251775678</v>
      </c>
      <c r="AF89" s="960">
        <f t="shared" si="114"/>
        <v>43853.948088430036</v>
      </c>
    </row>
    <row r="90" spans="1:32" x14ac:dyDescent="0.25">
      <c r="A90" s="941" t="s">
        <v>504</v>
      </c>
      <c r="B90" s="941" t="s">
        <v>653</v>
      </c>
      <c r="C90" s="941" t="s">
        <v>757</v>
      </c>
      <c r="D90" s="941" t="s">
        <v>687</v>
      </c>
      <c r="E90" s="941"/>
      <c r="F90" s="941"/>
      <c r="G90" s="941" t="s">
        <v>1403</v>
      </c>
      <c r="H90" s="941" t="s">
        <v>699</v>
      </c>
      <c r="I90" s="941" t="s">
        <v>1320</v>
      </c>
      <c r="J90" s="942" t="s">
        <v>1114</v>
      </c>
      <c r="K90" s="941" t="str">
        <f t="shared" si="103"/>
        <v>F</v>
      </c>
      <c r="L90" s="941" t="str">
        <f t="shared" si="104"/>
        <v>HCV9</v>
      </c>
      <c r="M90" s="941" t="str">
        <f t="shared" si="105"/>
        <v/>
      </c>
      <c r="N90" s="941" t="str">
        <f t="shared" si="106"/>
        <v>TFHCV9HGN-N</v>
      </c>
      <c r="O90" s="941" t="str">
        <f t="shared" si="107"/>
        <v>TFHCV9HGN-E</v>
      </c>
      <c r="P90" s="953" t="s">
        <v>1440</v>
      </c>
      <c r="Q90" s="960" cm="1">
        <f t="array" ref="Q90">INDEX(NREL_HCVs!$O$9:$U$22,MATCH(1,(NREL_HCVs!$M$9:$M$22=$G90)*(NREL_HCVs!$N$9:$N$22=$H90),0),MATCH(Q$8,NREL_HCVs!$O$7:$U$7,0))</f>
        <v>3580960.3287163149</v>
      </c>
      <c r="R90" s="960" cm="1">
        <f t="array" ref="R90">INDEX(NREL_HCVs!$O$9:$U$22,MATCH(1,(NREL_HCVs!$M$9:$M$22=$G90)*(NREL_HCVs!$N$9:$N$22=$H90),0),MATCH(R$8,NREL_HCVs!$O$7:$U$7,0))</f>
        <v>3132426.6457031942</v>
      </c>
      <c r="S90" s="960" cm="1">
        <f t="array" ref="S90">INDEX(NREL_HCVs!$O$9:$U$22,MATCH(1,(NREL_HCVs!$M$9:$M$22=$G90)*(NREL_HCVs!$N$9:$N$22=$H90),0),MATCH(S$8,NREL_HCVs!$O$7:$U$7,0))</f>
        <v>2918161.3954098346</v>
      </c>
      <c r="T90" s="960" cm="1">
        <f t="array" ref="T90">INDEX(NREL_HCVs!$O$9:$U$22,MATCH(1,(NREL_HCVs!$M$9:$M$22=$G90)*(NREL_HCVs!$N$9:$N$22=$H90),0),MATCH(T$8,NREL_HCVs!$O$7:$U$7,0))</f>
        <v>2768353.9457765967</v>
      </c>
      <c r="U90" s="960" cm="1">
        <f t="array" ref="U90">INDEX(NREL_HCVs!$O$9:$U$22,MATCH(1,(NREL_HCVs!$M$9:$M$22=$G90)*(NREL_HCVs!$N$9:$N$22=$H90),0),MATCH(U$8,NREL_HCVs!$O$7:$U$7,0))</f>
        <v>2618546.4961433574</v>
      </c>
      <c r="V90" s="960" cm="1">
        <f t="array" ref="V90">INDEX(NREL_HCVs!$O$9:$U$22,MATCH(1,(NREL_HCVs!$M$9:$M$22=$G90)*(NREL_HCVs!$N$9:$N$22=$H90),0),MATCH(V$8,NREL_HCVs!$O$7:$U$7,0))</f>
        <v>2590395.2900152984</v>
      </c>
      <c r="W90" s="960" cm="1">
        <f t="array" ref="W90">INDEX(NREL_HCVs!$O$9:$U$22,MATCH(1,(NREL_HCVs!$M$9:$M$22=$G90)*(NREL_HCVs!$N$9:$N$22=$H90),0),MATCH(W$8,NREL_HCVs!$O$7:$U$7,0))</f>
        <v>2562244.0838872395</v>
      </c>
      <c r="X90" s="951">
        <v>2.7E-2</v>
      </c>
      <c r="Y90" s="951" t="s">
        <v>1434</v>
      </c>
      <c r="Z90" s="960">
        <f t="shared" si="108"/>
        <v>96685.928875340498</v>
      </c>
      <c r="AA90" s="960">
        <f t="shared" si="109"/>
        <v>84575.519433986236</v>
      </c>
      <c r="AB90" s="960">
        <f t="shared" si="110"/>
        <v>78790.357676065527</v>
      </c>
      <c r="AC90" s="960">
        <f t="shared" si="111"/>
        <v>74745.556535968106</v>
      </c>
      <c r="AD90" s="960">
        <f t="shared" si="112"/>
        <v>70700.755395870641</v>
      </c>
      <c r="AE90" s="960">
        <f t="shared" si="113"/>
        <v>69940.672830413052</v>
      </c>
      <c r="AF90" s="960">
        <f t="shared" si="114"/>
        <v>69180.590264955463</v>
      </c>
    </row>
    <row r="91" spans="1:32" x14ac:dyDescent="0.25">
      <c r="A91" s="941" t="s">
        <v>509</v>
      </c>
      <c r="B91" s="941" t="s">
        <v>653</v>
      </c>
      <c r="C91" s="941" t="s">
        <v>757</v>
      </c>
      <c r="D91" s="941" t="s">
        <v>687</v>
      </c>
      <c r="E91" s="941" t="s">
        <v>747</v>
      </c>
      <c r="F91" s="941"/>
      <c r="G91" s="941"/>
      <c r="H91" s="941" t="s">
        <v>700</v>
      </c>
      <c r="I91" s="941" t="str">
        <f t="shared" ref="I91" si="120">IF(A91="HGN",A91,RIGHT(H91,3))</f>
        <v>ICE</v>
      </c>
      <c r="J91" s="942" t="s">
        <v>1114</v>
      </c>
      <c r="K91" s="941" t="str">
        <f t="shared" si="103"/>
        <v>F</v>
      </c>
      <c r="L91" s="941" t="str">
        <f t="shared" si="104"/>
        <v>HCV9</v>
      </c>
      <c r="M91" s="941" t="str">
        <f t="shared" si="105"/>
        <v/>
      </c>
      <c r="N91" s="941" t="str">
        <f t="shared" si="106"/>
        <v>TFHCV9GAS-N</v>
      </c>
      <c r="O91" s="941" t="str">
        <f t="shared" si="107"/>
        <v>TFHCV9GAS-E</v>
      </c>
      <c r="P91" s="964" t="s">
        <v>1445</v>
      </c>
      <c r="Q91" s="996">
        <f>Q83</f>
        <v>2261026.067842951</v>
      </c>
      <c r="R91" s="996">
        <f t="shared" ref="R91:W91" si="121">R83</f>
        <v>2235789.5114027858</v>
      </c>
      <c r="S91" s="996">
        <f t="shared" si="121"/>
        <v>2181903.1091055456</v>
      </c>
      <c r="T91" s="996">
        <f t="shared" si="121"/>
        <v>2167492.5676747188</v>
      </c>
      <c r="U91" s="996">
        <f t="shared" si="121"/>
        <v>2153769.1968837515</v>
      </c>
      <c r="V91" s="996">
        <f t="shared" si="121"/>
        <v>2152889.9182083183</v>
      </c>
      <c r="W91" s="996">
        <f t="shared" si="121"/>
        <v>2152152.8398992391</v>
      </c>
      <c r="X91" s="951">
        <v>2.7E-2</v>
      </c>
      <c r="Y91" s="951" t="s">
        <v>1434</v>
      </c>
      <c r="Z91" s="960">
        <f t="shared" si="108"/>
        <v>61047.703831759674</v>
      </c>
      <c r="AA91" s="960">
        <f t="shared" si="109"/>
        <v>60366.316807875213</v>
      </c>
      <c r="AB91" s="960">
        <f t="shared" si="110"/>
        <v>58911.383945849731</v>
      </c>
      <c r="AC91" s="960">
        <f t="shared" si="111"/>
        <v>58522.299327217406</v>
      </c>
      <c r="AD91" s="960">
        <f t="shared" si="112"/>
        <v>58151.768315861293</v>
      </c>
      <c r="AE91" s="960">
        <f t="shared" si="113"/>
        <v>58128.02779162459</v>
      </c>
      <c r="AF91" s="960">
        <f t="shared" si="114"/>
        <v>58108.126677279455</v>
      </c>
    </row>
  </sheetData>
  <autoFilter ref="A8:AF91" xr:uid="{9574A656-50C4-4A2B-8928-EE9C17A08ECB}"/>
  <phoneticPr fontId="129" type="noConversion"/>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5DEC0C6-3C89-47A6-ACE1-5CAA0D799E2C}">
          <x14:formula1>
            <xm:f>'IEAWEO2023 cost data'!$B$11:$B$13</xm:f>
          </x14:formula1>
          <xm:sqref>P4</xm:sqref>
        </x14:dataValidation>
        <x14:dataValidation type="list" allowBlank="1" showInputMessage="1" showErrorMessage="1" xr:uid="{7A8DBEE0-DB37-49C3-A072-A469799B7EDC}">
          <x14:formula1>
            <xm:f>'IEAWEO2023 cost data'!$B$17:$B$19</xm:f>
          </x14:formula1>
          <xm:sqref>P3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A687F-9101-4A66-816C-70254C8D67B1}">
  <sheetPr>
    <tabColor rgb="FFFFC1DA"/>
  </sheetPr>
  <dimension ref="A1:AI42"/>
  <sheetViews>
    <sheetView workbookViewId="0"/>
  </sheetViews>
  <sheetFormatPr defaultRowHeight="15" x14ac:dyDescent="0.25"/>
  <cols>
    <col min="1" max="1" width="19.28515625" style="905" customWidth="1"/>
    <col min="2" max="2" width="13.42578125" style="905" bestFit="1" customWidth="1"/>
    <col min="3" max="26" width="13.28515625" style="905" bestFit="1" customWidth="1"/>
    <col min="27" max="16384" width="9.140625" style="905"/>
  </cols>
  <sheetData>
    <row r="1" spans="1:33" x14ac:dyDescent="0.25">
      <c r="A1" s="905" t="s">
        <v>1384</v>
      </c>
      <c r="B1" s="743" t="s">
        <v>1385</v>
      </c>
    </row>
    <row r="2" spans="1:33" x14ac:dyDescent="0.25">
      <c r="A2" s="905" t="s">
        <v>1386</v>
      </c>
      <c r="B2" s="905" t="s">
        <v>1120</v>
      </c>
      <c r="D2" s="905" t="s">
        <v>1340</v>
      </c>
      <c r="E2" s="905">
        <v>1</v>
      </c>
      <c r="F2" s="905" t="s">
        <v>1396</v>
      </c>
      <c r="G2" s="905">
        <v>16.450808333333331</v>
      </c>
      <c r="H2" s="905" t="s">
        <v>1276</v>
      </c>
    </row>
    <row r="4" spans="1:33" x14ac:dyDescent="0.25">
      <c r="A4" s="906" t="s">
        <v>1387</v>
      </c>
      <c r="B4" s="922" t="s">
        <v>1422</v>
      </c>
      <c r="C4" s="922"/>
      <c r="D4" s="922"/>
      <c r="E4" s="922"/>
      <c r="F4" s="922"/>
      <c r="G4" s="922"/>
      <c r="H4" s="922"/>
      <c r="I4" s="922"/>
      <c r="J4" s="922"/>
      <c r="K4" s="922"/>
      <c r="L4" s="925" t="s">
        <v>1423</v>
      </c>
      <c r="M4" s="925"/>
      <c r="N4" s="925"/>
      <c r="O4" s="925"/>
      <c r="P4" s="925"/>
      <c r="Q4" s="925"/>
      <c r="R4" s="925"/>
      <c r="S4" s="925"/>
      <c r="T4" s="925"/>
      <c r="U4" s="925"/>
      <c r="V4" s="925"/>
      <c r="W4" s="925"/>
      <c r="X4" s="925"/>
      <c r="Y4" s="925"/>
      <c r="Z4" s="925"/>
      <c r="AC4" s="932" t="s">
        <v>1425</v>
      </c>
    </row>
    <row r="5" spans="1:33" x14ac:dyDescent="0.25">
      <c r="B5" s="1002" t="s">
        <v>1388</v>
      </c>
      <c r="C5" s="1002" t="s">
        <v>1389</v>
      </c>
      <c r="D5" s="1002" t="s">
        <v>1390</v>
      </c>
      <c r="E5" s="1002" t="s">
        <v>1391</v>
      </c>
      <c r="F5" s="1002" t="s">
        <v>460</v>
      </c>
      <c r="G5" s="922" t="s">
        <v>1388</v>
      </c>
      <c r="H5" s="922" t="s">
        <v>1389</v>
      </c>
      <c r="I5" s="922" t="s">
        <v>1390</v>
      </c>
      <c r="J5" s="922" t="s">
        <v>1391</v>
      </c>
      <c r="K5" s="922" t="s">
        <v>460</v>
      </c>
      <c r="L5" s="925" t="s">
        <v>1388</v>
      </c>
      <c r="M5" s="925" t="s">
        <v>1389</v>
      </c>
      <c r="N5" s="925" t="s">
        <v>1390</v>
      </c>
      <c r="O5" s="925" t="s">
        <v>1391</v>
      </c>
      <c r="P5" s="925" t="s">
        <v>460</v>
      </c>
      <c r="Q5" s="925" t="s">
        <v>1388</v>
      </c>
      <c r="R5" s="925" t="s">
        <v>1389</v>
      </c>
      <c r="S5" s="925" t="s">
        <v>1390</v>
      </c>
      <c r="T5" s="925" t="s">
        <v>1391</v>
      </c>
      <c r="U5" s="925" t="s">
        <v>460</v>
      </c>
      <c r="V5" s="925" t="s">
        <v>1388</v>
      </c>
      <c r="W5" s="925" t="s">
        <v>1389</v>
      </c>
      <c r="X5" s="925" t="s">
        <v>1390</v>
      </c>
      <c r="Y5" s="925" t="s">
        <v>1391</v>
      </c>
      <c r="Z5" s="925" t="s">
        <v>460</v>
      </c>
      <c r="AC5" s="905" t="s">
        <v>1388</v>
      </c>
      <c r="AD5" s="905" t="s">
        <v>1389</v>
      </c>
      <c r="AE5" s="905" t="s">
        <v>1390</v>
      </c>
      <c r="AF5" s="905" t="s">
        <v>1391</v>
      </c>
      <c r="AG5" s="905" t="s">
        <v>460</v>
      </c>
    </row>
    <row r="6" spans="1:33" x14ac:dyDescent="0.25">
      <c r="A6" s="907" t="s">
        <v>1334</v>
      </c>
      <c r="B6" s="1002">
        <v>2022</v>
      </c>
      <c r="C6" s="1002">
        <v>2022</v>
      </c>
      <c r="D6" s="1002">
        <v>2022</v>
      </c>
      <c r="E6" s="1002">
        <v>2022</v>
      </c>
      <c r="F6" s="1002">
        <v>2022</v>
      </c>
      <c r="G6" s="922">
        <v>2032</v>
      </c>
      <c r="H6" s="922">
        <v>2032</v>
      </c>
      <c r="I6" s="922">
        <v>2032</v>
      </c>
      <c r="J6" s="922">
        <v>2032</v>
      </c>
      <c r="K6" s="922">
        <v>2032</v>
      </c>
      <c r="L6" s="925">
        <v>2020</v>
      </c>
      <c r="M6" s="925">
        <v>2020</v>
      </c>
      <c r="N6" s="925">
        <v>2020</v>
      </c>
      <c r="O6" s="925">
        <v>2020</v>
      </c>
      <c r="P6" s="925">
        <v>2020</v>
      </c>
      <c r="Q6" s="925">
        <v>2025</v>
      </c>
      <c r="R6" s="925">
        <v>2025</v>
      </c>
      <c r="S6" s="925">
        <v>2025</v>
      </c>
      <c r="T6" s="925">
        <v>2025</v>
      </c>
      <c r="U6" s="925">
        <v>2025</v>
      </c>
      <c r="V6" s="925">
        <v>2030</v>
      </c>
      <c r="W6" s="925">
        <v>2030</v>
      </c>
      <c r="X6" s="925">
        <v>2030</v>
      </c>
      <c r="Y6" s="925">
        <v>2030</v>
      </c>
      <c r="Z6" s="925">
        <v>2030</v>
      </c>
      <c r="AC6" s="932" t="s">
        <v>1424</v>
      </c>
      <c r="AD6" s="932"/>
      <c r="AE6" s="932"/>
      <c r="AF6" s="932"/>
      <c r="AG6" s="932"/>
    </row>
    <row r="7" spans="1:33" x14ac:dyDescent="0.25">
      <c r="A7" s="905" t="s">
        <v>484</v>
      </c>
      <c r="B7" s="1003">
        <v>9450</v>
      </c>
      <c r="C7" s="1003">
        <v>13850</v>
      </c>
      <c r="D7" s="1003">
        <v>18300</v>
      </c>
      <c r="E7" s="1003">
        <v>17100</v>
      </c>
      <c r="F7" s="1003">
        <v>25600</v>
      </c>
      <c r="G7" s="923">
        <v>9650</v>
      </c>
      <c r="H7" s="923">
        <v>14150</v>
      </c>
      <c r="I7" s="923">
        <v>18650</v>
      </c>
      <c r="J7" s="923">
        <v>17450</v>
      </c>
      <c r="K7" s="923">
        <v>26100</v>
      </c>
      <c r="L7" s="926">
        <f>B7+(G7-B7)/10*-2</f>
        <v>9410</v>
      </c>
      <c r="M7" s="926">
        <f t="shared" ref="M7:M10" si="0">C7+(H7-C7)/10*-2</f>
        <v>13790</v>
      </c>
      <c r="N7" s="926">
        <f t="shared" ref="N7:N10" si="1">D7+(I7-D7)/10*-2</f>
        <v>18230</v>
      </c>
      <c r="O7" s="926">
        <f t="shared" ref="O7:O10" si="2">E7+(J7-E7)/10*-2</f>
        <v>17030</v>
      </c>
      <c r="P7" s="926">
        <f t="shared" ref="P7:P10" si="3">F7+(K7-F7)/10*-2</f>
        <v>25500</v>
      </c>
      <c r="Q7" s="926">
        <f>B7+(G7-B7)/10*3</f>
        <v>9510</v>
      </c>
      <c r="R7" s="926">
        <f t="shared" ref="R7:R10" si="4">C7+(H7-C7)/10*3</f>
        <v>13940</v>
      </c>
      <c r="S7" s="926">
        <f t="shared" ref="S7:S10" si="5">D7+(I7-D7)/10*3</f>
        <v>18405</v>
      </c>
      <c r="T7" s="926">
        <f t="shared" ref="T7:T10" si="6">E7+(J7-E7)/10*3</f>
        <v>17205</v>
      </c>
      <c r="U7" s="926">
        <f t="shared" ref="U7:U10" si="7">F7+(K7-F7)/10*3</f>
        <v>25750</v>
      </c>
      <c r="V7" s="926">
        <f>B7+(G7-B7)/10*8</f>
        <v>9610</v>
      </c>
      <c r="W7" s="926">
        <f t="shared" ref="W7:W10" si="8">C7+(H7-C7)/10*8</f>
        <v>14090</v>
      </c>
      <c r="X7" s="926">
        <f t="shared" ref="X7:X10" si="9">D7+(I7-D7)/10*8</f>
        <v>18580</v>
      </c>
      <c r="Y7" s="926">
        <f t="shared" ref="Y7:Y10" si="10">E7+(J7-E7)/10*8</f>
        <v>17380</v>
      </c>
      <c r="Z7" s="926">
        <f t="shared" ref="Z7:Z10" si="11">F7+(K7-F7)/10*8</f>
        <v>26000</v>
      </c>
      <c r="AB7" s="905" t="s">
        <v>484</v>
      </c>
      <c r="AC7" s="908">
        <f>V7/B7</f>
        <v>1.016931216931217</v>
      </c>
      <c r="AD7" s="908">
        <f t="shared" ref="AD7:AD10" si="12">W7/C7</f>
        <v>1.0173285198555957</v>
      </c>
      <c r="AE7" s="908">
        <f t="shared" ref="AE7:AE10" si="13">X7/D7</f>
        <v>1.0153005464480875</v>
      </c>
      <c r="AF7" s="908">
        <f t="shared" ref="AF7:AF10" si="14">Y7/E7</f>
        <v>1.0163742690058479</v>
      </c>
      <c r="AG7" s="908">
        <f t="shared" ref="AG7:AG10" si="15">Z7/F7</f>
        <v>1.015625</v>
      </c>
    </row>
    <row r="8" spans="1:33" x14ac:dyDescent="0.25">
      <c r="A8" s="905" t="s">
        <v>477</v>
      </c>
      <c r="B8" s="1003">
        <v>10200</v>
      </c>
      <c r="C8" s="1003">
        <v>15400</v>
      </c>
      <c r="D8" s="1003">
        <v>19350</v>
      </c>
      <c r="E8" s="1003">
        <v>18850</v>
      </c>
      <c r="F8" s="1003">
        <v>27050</v>
      </c>
      <c r="G8" s="923">
        <v>10700</v>
      </c>
      <c r="H8" s="923">
        <v>16150</v>
      </c>
      <c r="I8" s="923">
        <v>20300</v>
      </c>
      <c r="J8" s="923">
        <v>19800</v>
      </c>
      <c r="K8" s="923">
        <v>28400</v>
      </c>
      <c r="L8" s="926">
        <f t="shared" ref="L8:L10" si="16">B8+(G8-B8)/10*-2</f>
        <v>10100</v>
      </c>
      <c r="M8" s="926">
        <f t="shared" si="0"/>
        <v>15250</v>
      </c>
      <c r="N8" s="926">
        <f t="shared" si="1"/>
        <v>19160</v>
      </c>
      <c r="O8" s="926">
        <f t="shared" si="2"/>
        <v>18660</v>
      </c>
      <c r="P8" s="926">
        <f t="shared" si="3"/>
        <v>26780</v>
      </c>
      <c r="Q8" s="926">
        <f t="shared" ref="Q8:Q10" si="17">B8+(G8-B8)/10*3</f>
        <v>10350</v>
      </c>
      <c r="R8" s="926">
        <f t="shared" si="4"/>
        <v>15625</v>
      </c>
      <c r="S8" s="926">
        <f t="shared" si="5"/>
        <v>19635</v>
      </c>
      <c r="T8" s="926">
        <f t="shared" si="6"/>
        <v>19135</v>
      </c>
      <c r="U8" s="926">
        <f t="shared" si="7"/>
        <v>27455</v>
      </c>
      <c r="V8" s="926">
        <f t="shared" ref="V8:V10" si="18">B8+(G8-B8)/10*8</f>
        <v>10600</v>
      </c>
      <c r="W8" s="926">
        <f t="shared" si="8"/>
        <v>16000</v>
      </c>
      <c r="X8" s="926">
        <f t="shared" si="9"/>
        <v>20110</v>
      </c>
      <c r="Y8" s="926">
        <f t="shared" si="10"/>
        <v>19610</v>
      </c>
      <c r="Z8" s="926">
        <f t="shared" si="11"/>
        <v>28130</v>
      </c>
      <c r="AB8" s="905" t="s">
        <v>477</v>
      </c>
      <c r="AC8" s="908">
        <f t="shared" ref="AC8:AC10" si="19">V8/B8</f>
        <v>1.0392156862745099</v>
      </c>
      <c r="AD8" s="908">
        <f t="shared" si="12"/>
        <v>1.0389610389610389</v>
      </c>
      <c r="AE8" s="908">
        <f t="shared" si="13"/>
        <v>1.0392764857881136</v>
      </c>
      <c r="AF8" s="908">
        <f t="shared" si="14"/>
        <v>1.040318302387268</v>
      </c>
      <c r="AG8" s="908">
        <f t="shared" si="15"/>
        <v>1.0399260628465805</v>
      </c>
    </row>
    <row r="9" spans="1:33" x14ac:dyDescent="0.25">
      <c r="A9" s="905" t="s">
        <v>1392</v>
      </c>
      <c r="B9" s="1003">
        <v>12350</v>
      </c>
      <c r="C9" s="1003">
        <v>18200</v>
      </c>
      <c r="D9" s="1003">
        <v>22300</v>
      </c>
      <c r="E9" s="1003">
        <v>20800</v>
      </c>
      <c r="F9" s="1003">
        <v>31200</v>
      </c>
      <c r="G9" s="923">
        <v>10100</v>
      </c>
      <c r="H9" s="923">
        <v>14850</v>
      </c>
      <c r="I9" s="923">
        <v>18200</v>
      </c>
      <c r="J9" s="923">
        <v>16950</v>
      </c>
      <c r="K9" s="923">
        <v>28100</v>
      </c>
      <c r="L9" s="926">
        <f t="shared" si="16"/>
        <v>12800</v>
      </c>
      <c r="M9" s="926">
        <f t="shared" si="0"/>
        <v>18870</v>
      </c>
      <c r="N9" s="926">
        <f t="shared" si="1"/>
        <v>23120</v>
      </c>
      <c r="O9" s="926">
        <f t="shared" si="2"/>
        <v>21570</v>
      </c>
      <c r="P9" s="926">
        <f t="shared" si="3"/>
        <v>31820</v>
      </c>
      <c r="Q9" s="926">
        <f t="shared" si="17"/>
        <v>11675</v>
      </c>
      <c r="R9" s="926">
        <f t="shared" si="4"/>
        <v>17195</v>
      </c>
      <c r="S9" s="926">
        <f t="shared" si="5"/>
        <v>21070</v>
      </c>
      <c r="T9" s="926">
        <f t="shared" si="6"/>
        <v>19645</v>
      </c>
      <c r="U9" s="926">
        <f t="shared" si="7"/>
        <v>30270</v>
      </c>
      <c r="V9" s="926">
        <f t="shared" si="18"/>
        <v>10550</v>
      </c>
      <c r="W9" s="926">
        <f t="shared" si="8"/>
        <v>15520</v>
      </c>
      <c r="X9" s="926">
        <f t="shared" si="9"/>
        <v>19020</v>
      </c>
      <c r="Y9" s="926">
        <f t="shared" si="10"/>
        <v>17720</v>
      </c>
      <c r="Z9" s="926">
        <f t="shared" si="11"/>
        <v>28720</v>
      </c>
      <c r="AB9" s="905" t="s">
        <v>1392</v>
      </c>
      <c r="AC9" s="936">
        <f t="shared" si="19"/>
        <v>0.85425101214574894</v>
      </c>
      <c r="AD9" s="908">
        <f t="shared" si="12"/>
        <v>0.85274725274725272</v>
      </c>
      <c r="AE9" s="908">
        <f t="shared" si="13"/>
        <v>0.85291479820627802</v>
      </c>
      <c r="AF9" s="908">
        <f t="shared" si="14"/>
        <v>0.85192307692307689</v>
      </c>
      <c r="AG9" s="908">
        <f t="shared" si="15"/>
        <v>0.92051282051282046</v>
      </c>
    </row>
    <row r="10" spans="1:33" x14ac:dyDescent="0.25">
      <c r="A10" s="905" t="s">
        <v>1393</v>
      </c>
      <c r="B10" s="1003">
        <v>12600</v>
      </c>
      <c r="C10" s="1003">
        <v>19150</v>
      </c>
      <c r="D10" s="1003">
        <v>24450</v>
      </c>
      <c r="E10" s="1003">
        <v>25200</v>
      </c>
      <c r="F10" s="1003">
        <v>34250</v>
      </c>
      <c r="G10" s="923">
        <v>8800</v>
      </c>
      <c r="H10" s="923">
        <v>13400</v>
      </c>
      <c r="I10" s="923">
        <v>17100</v>
      </c>
      <c r="J10" s="923">
        <v>17650</v>
      </c>
      <c r="K10" s="923">
        <v>24000</v>
      </c>
      <c r="L10" s="926">
        <f t="shared" si="16"/>
        <v>13360</v>
      </c>
      <c r="M10" s="926">
        <f t="shared" si="0"/>
        <v>20300</v>
      </c>
      <c r="N10" s="926">
        <f t="shared" si="1"/>
        <v>25920</v>
      </c>
      <c r="O10" s="926">
        <f t="shared" si="2"/>
        <v>26710</v>
      </c>
      <c r="P10" s="926">
        <f t="shared" si="3"/>
        <v>36300</v>
      </c>
      <c r="Q10" s="926">
        <f t="shared" si="17"/>
        <v>11460</v>
      </c>
      <c r="R10" s="926">
        <f t="shared" si="4"/>
        <v>17425</v>
      </c>
      <c r="S10" s="926">
        <f t="shared" si="5"/>
        <v>22245</v>
      </c>
      <c r="T10" s="926">
        <f t="shared" si="6"/>
        <v>22935</v>
      </c>
      <c r="U10" s="926">
        <f t="shared" si="7"/>
        <v>31175</v>
      </c>
      <c r="V10" s="926">
        <f t="shared" si="18"/>
        <v>9560</v>
      </c>
      <c r="W10" s="926">
        <f t="shared" si="8"/>
        <v>14550</v>
      </c>
      <c r="X10" s="926">
        <f t="shared" si="9"/>
        <v>18570</v>
      </c>
      <c r="Y10" s="926">
        <f t="shared" si="10"/>
        <v>19160</v>
      </c>
      <c r="Z10" s="926">
        <f t="shared" si="11"/>
        <v>26050</v>
      </c>
      <c r="AB10" s="905" t="s">
        <v>1393</v>
      </c>
      <c r="AC10" s="934">
        <f t="shared" si="19"/>
        <v>0.7587301587301587</v>
      </c>
      <c r="AD10" s="908">
        <f t="shared" si="12"/>
        <v>0.75979112271540472</v>
      </c>
      <c r="AE10" s="908">
        <f t="shared" si="13"/>
        <v>0.75950920245398768</v>
      </c>
      <c r="AF10" s="908">
        <f t="shared" si="14"/>
        <v>0.76031746031746028</v>
      </c>
      <c r="AG10" s="908">
        <f t="shared" si="15"/>
        <v>0.76058394160583942</v>
      </c>
    </row>
    <row r="11" spans="1:33" x14ac:dyDescent="0.25">
      <c r="B11" s="922"/>
      <c r="C11" s="922"/>
      <c r="D11" s="922"/>
      <c r="E11" s="922"/>
      <c r="F11" s="922"/>
      <c r="G11" s="922"/>
      <c r="H11" s="922"/>
      <c r="I11" s="922"/>
      <c r="J11" s="922"/>
      <c r="K11" s="922"/>
      <c r="L11" s="925"/>
      <c r="M11" s="925"/>
      <c r="N11" s="925"/>
      <c r="O11" s="925"/>
      <c r="P11" s="925"/>
      <c r="Q11" s="925"/>
      <c r="R11" s="925"/>
      <c r="S11" s="925"/>
      <c r="T11" s="925"/>
      <c r="U11" s="925"/>
      <c r="V11" s="925"/>
      <c r="W11" s="925"/>
      <c r="X11" s="925"/>
      <c r="Y11" s="925"/>
      <c r="Z11" s="925"/>
      <c r="AC11" s="932"/>
    </row>
    <row r="12" spans="1:33" x14ac:dyDescent="0.25">
      <c r="A12" s="907" t="s">
        <v>1276</v>
      </c>
      <c r="B12" s="922">
        <v>2022</v>
      </c>
      <c r="C12" s="922">
        <v>2022</v>
      </c>
      <c r="D12" s="922">
        <v>2022</v>
      </c>
      <c r="E12" s="922">
        <v>2022</v>
      </c>
      <c r="F12" s="922">
        <v>2022</v>
      </c>
      <c r="G12" s="922">
        <v>2032</v>
      </c>
      <c r="H12" s="922">
        <v>2032</v>
      </c>
      <c r="I12" s="922">
        <v>2032</v>
      </c>
      <c r="J12" s="922">
        <v>2032</v>
      </c>
      <c r="K12" s="922">
        <v>2032</v>
      </c>
      <c r="L12" s="925">
        <v>2020</v>
      </c>
      <c r="M12" s="925">
        <v>2020</v>
      </c>
      <c r="N12" s="925">
        <v>2020</v>
      </c>
      <c r="O12" s="925">
        <v>2020</v>
      </c>
      <c r="P12" s="925">
        <v>2020</v>
      </c>
      <c r="Q12" s="925">
        <v>2025</v>
      </c>
      <c r="R12" s="925">
        <v>2025</v>
      </c>
      <c r="S12" s="925">
        <v>2025</v>
      </c>
      <c r="T12" s="925">
        <v>2025</v>
      </c>
      <c r="U12" s="925">
        <v>2025</v>
      </c>
      <c r="V12" s="925">
        <v>2030</v>
      </c>
      <c r="W12" s="925">
        <v>2030</v>
      </c>
      <c r="X12" s="925">
        <v>2030</v>
      </c>
      <c r="Y12" s="925">
        <v>2030</v>
      </c>
      <c r="Z12" s="925">
        <v>2030</v>
      </c>
      <c r="AC12" s="932" t="s">
        <v>1426</v>
      </c>
    </row>
    <row r="13" spans="1:33" x14ac:dyDescent="0.25">
      <c r="A13" s="932" t="s">
        <v>680</v>
      </c>
      <c r="B13" s="928">
        <f>B7*$G$2</f>
        <v>155460.13874999998</v>
      </c>
      <c r="C13" s="928">
        <f t="shared" ref="C13:Z13" si="20">C7*$G$2</f>
        <v>227843.69541666663</v>
      </c>
      <c r="D13" s="928">
        <f t="shared" si="20"/>
        <v>301049.79249999998</v>
      </c>
      <c r="E13" s="928">
        <f t="shared" si="20"/>
        <v>281308.82249999995</v>
      </c>
      <c r="F13" s="928">
        <f t="shared" si="20"/>
        <v>421140.6933333333</v>
      </c>
      <c r="G13" s="928">
        <f t="shared" si="20"/>
        <v>158750.30041666664</v>
      </c>
      <c r="H13" s="928">
        <f t="shared" si="20"/>
        <v>232778.93791666665</v>
      </c>
      <c r="I13" s="928">
        <f t="shared" si="20"/>
        <v>306807.57541666663</v>
      </c>
      <c r="J13" s="928">
        <f t="shared" si="20"/>
        <v>287066.6054166666</v>
      </c>
      <c r="K13" s="928">
        <f t="shared" si="20"/>
        <v>429366.09749999992</v>
      </c>
      <c r="L13" s="929">
        <f t="shared" si="20"/>
        <v>154802.10641666665</v>
      </c>
      <c r="M13" s="929">
        <f t="shared" si="20"/>
        <v>226856.64691666662</v>
      </c>
      <c r="N13" s="929">
        <f t="shared" si="20"/>
        <v>299898.23591666663</v>
      </c>
      <c r="O13" s="929">
        <f t="shared" si="20"/>
        <v>280157.26591666666</v>
      </c>
      <c r="P13" s="929">
        <f t="shared" si="20"/>
        <v>419495.61249999993</v>
      </c>
      <c r="Q13" s="929">
        <f t="shared" si="20"/>
        <v>156447.18724999999</v>
      </c>
      <c r="R13" s="929">
        <f t="shared" si="20"/>
        <v>229324.26816666665</v>
      </c>
      <c r="S13" s="929">
        <f t="shared" si="20"/>
        <v>302777.12737499998</v>
      </c>
      <c r="T13" s="929">
        <f t="shared" si="20"/>
        <v>283036.15737499995</v>
      </c>
      <c r="U13" s="929">
        <f t="shared" si="20"/>
        <v>423608.31458333327</v>
      </c>
      <c r="V13" s="929">
        <f t="shared" si="20"/>
        <v>158092.2680833333</v>
      </c>
      <c r="W13" s="929">
        <f t="shared" si="20"/>
        <v>231791.88941666664</v>
      </c>
      <c r="X13" s="929">
        <f t="shared" si="20"/>
        <v>305656.01883333328</v>
      </c>
      <c r="Y13" s="929">
        <f t="shared" si="20"/>
        <v>285915.04883333331</v>
      </c>
      <c r="Z13" s="929">
        <f t="shared" si="20"/>
        <v>427721.0166666666</v>
      </c>
      <c r="AC13" s="932" t="s">
        <v>1424</v>
      </c>
    </row>
    <row r="14" spans="1:33" x14ac:dyDescent="0.25">
      <c r="A14" s="932" t="s">
        <v>687</v>
      </c>
      <c r="B14" s="928">
        <f t="shared" ref="B14:Z14" si="21">B8*$G$2</f>
        <v>167798.24499999997</v>
      </c>
      <c r="C14" s="928">
        <f t="shared" si="21"/>
        <v>253342.4483333333</v>
      </c>
      <c r="D14" s="928">
        <f t="shared" si="21"/>
        <v>318323.14124999993</v>
      </c>
      <c r="E14" s="928">
        <f t="shared" si="21"/>
        <v>310097.73708333331</v>
      </c>
      <c r="F14" s="928">
        <f t="shared" si="21"/>
        <v>444994.36541666661</v>
      </c>
      <c r="G14" s="928">
        <f t="shared" si="21"/>
        <v>176023.64916666664</v>
      </c>
      <c r="H14" s="928">
        <f t="shared" si="21"/>
        <v>265680.55458333332</v>
      </c>
      <c r="I14" s="928">
        <f t="shared" si="21"/>
        <v>333951.40916666662</v>
      </c>
      <c r="J14" s="928">
        <f t="shared" si="21"/>
        <v>325726.00499999995</v>
      </c>
      <c r="K14" s="928">
        <f t="shared" si="21"/>
        <v>467202.95666666661</v>
      </c>
      <c r="L14" s="929">
        <f t="shared" si="21"/>
        <v>166153.16416666665</v>
      </c>
      <c r="M14" s="929">
        <f t="shared" si="21"/>
        <v>250874.82708333331</v>
      </c>
      <c r="N14" s="929">
        <f t="shared" si="21"/>
        <v>315197.48766666662</v>
      </c>
      <c r="O14" s="929">
        <f t="shared" si="21"/>
        <v>306972.08349999995</v>
      </c>
      <c r="P14" s="929">
        <f t="shared" si="21"/>
        <v>440552.64716666663</v>
      </c>
      <c r="Q14" s="929">
        <f t="shared" si="21"/>
        <v>170265.86624999996</v>
      </c>
      <c r="R14" s="929">
        <f t="shared" si="21"/>
        <v>257043.88020833328</v>
      </c>
      <c r="S14" s="929">
        <f t="shared" si="21"/>
        <v>323011.62162499997</v>
      </c>
      <c r="T14" s="929">
        <f t="shared" si="21"/>
        <v>314786.2174583333</v>
      </c>
      <c r="U14" s="929">
        <f t="shared" si="21"/>
        <v>451656.9427916666</v>
      </c>
      <c r="V14" s="929">
        <f t="shared" si="21"/>
        <v>174378.5683333333</v>
      </c>
      <c r="W14" s="929">
        <f t="shared" si="21"/>
        <v>263212.93333333329</v>
      </c>
      <c r="X14" s="929">
        <f t="shared" si="21"/>
        <v>330825.75558333326</v>
      </c>
      <c r="Y14" s="929">
        <f t="shared" si="21"/>
        <v>322600.35141666664</v>
      </c>
      <c r="Z14" s="929">
        <f t="shared" si="21"/>
        <v>462761.23841666663</v>
      </c>
      <c r="AC14" s="932" t="s">
        <v>1319</v>
      </c>
      <c r="AD14" s="932" t="s">
        <v>1377</v>
      </c>
      <c r="AE14" s="932" t="s">
        <v>1378</v>
      </c>
    </row>
    <row r="15" spans="1:33" x14ac:dyDescent="0.25">
      <c r="A15" s="932" t="s">
        <v>688</v>
      </c>
      <c r="B15" s="928">
        <f t="shared" ref="B15:Z15" si="22">B9*$G$2</f>
        <v>203167.48291666663</v>
      </c>
      <c r="C15" s="928">
        <f t="shared" si="22"/>
        <v>299404.71166666661</v>
      </c>
      <c r="D15" s="928">
        <f t="shared" si="22"/>
        <v>366853.02583333326</v>
      </c>
      <c r="E15" s="928">
        <f t="shared" si="22"/>
        <v>342176.8133333333</v>
      </c>
      <c r="F15" s="928">
        <f t="shared" si="22"/>
        <v>513265.21999999991</v>
      </c>
      <c r="G15" s="928">
        <f t="shared" si="22"/>
        <v>166153.16416666665</v>
      </c>
      <c r="H15" s="928">
        <f t="shared" si="22"/>
        <v>244294.50374999997</v>
      </c>
      <c r="I15" s="928">
        <f t="shared" si="22"/>
        <v>299404.71166666661</v>
      </c>
      <c r="J15" s="928">
        <f t="shared" si="22"/>
        <v>278841.20124999998</v>
      </c>
      <c r="K15" s="928">
        <f t="shared" si="22"/>
        <v>462267.71416666661</v>
      </c>
      <c r="L15" s="929">
        <f t="shared" si="22"/>
        <v>210570.34666666665</v>
      </c>
      <c r="M15" s="929">
        <f t="shared" si="22"/>
        <v>310426.75324999995</v>
      </c>
      <c r="N15" s="929">
        <f t="shared" si="22"/>
        <v>380342.68866666663</v>
      </c>
      <c r="O15" s="929">
        <f t="shared" si="22"/>
        <v>354843.93574999995</v>
      </c>
      <c r="P15" s="929">
        <f t="shared" si="22"/>
        <v>523464.7211666666</v>
      </c>
      <c r="Q15" s="929">
        <f t="shared" si="22"/>
        <v>192063.18729166663</v>
      </c>
      <c r="R15" s="929">
        <f t="shared" si="22"/>
        <v>282871.64929166663</v>
      </c>
      <c r="S15" s="929">
        <f t="shared" si="22"/>
        <v>346618.53158333327</v>
      </c>
      <c r="T15" s="929">
        <f t="shared" si="22"/>
        <v>323176.12970833329</v>
      </c>
      <c r="U15" s="929">
        <f t="shared" si="22"/>
        <v>497965.96824999992</v>
      </c>
      <c r="V15" s="929">
        <f t="shared" si="22"/>
        <v>173556.02791666664</v>
      </c>
      <c r="W15" s="929">
        <f t="shared" si="22"/>
        <v>255316.54533333328</v>
      </c>
      <c r="X15" s="929">
        <f t="shared" si="22"/>
        <v>312894.37449999998</v>
      </c>
      <c r="Y15" s="929">
        <f t="shared" si="22"/>
        <v>291508.32366666663</v>
      </c>
      <c r="Z15" s="929">
        <f t="shared" si="22"/>
        <v>472467.21533333324</v>
      </c>
      <c r="AB15" s="932" t="s">
        <v>692</v>
      </c>
      <c r="AC15" s="933">
        <f>'IEAWEO2023 cost data'!E11</f>
        <v>0.80975609756097566</v>
      </c>
      <c r="AD15" s="933">
        <f>'IEAWEO2023 cost data'!E12</f>
        <v>0.78536585365853662</v>
      </c>
      <c r="AE15" s="933">
        <f>'IEAWEO2023 cost data'!E13</f>
        <v>0.76097560975609757</v>
      </c>
    </row>
    <row r="16" spans="1:33" x14ac:dyDescent="0.25">
      <c r="A16" s="932" t="s">
        <v>692</v>
      </c>
      <c r="B16" s="928">
        <f t="shared" ref="B16:Z16" si="23">B10*$G$2</f>
        <v>207280.18499999997</v>
      </c>
      <c r="C16" s="928">
        <f t="shared" si="23"/>
        <v>315032.9795833333</v>
      </c>
      <c r="D16" s="928">
        <f t="shared" si="23"/>
        <v>402222.26374999993</v>
      </c>
      <c r="E16" s="928">
        <f t="shared" si="23"/>
        <v>414560.36999999994</v>
      </c>
      <c r="F16" s="928">
        <f t="shared" si="23"/>
        <v>563440.18541666656</v>
      </c>
      <c r="G16" s="928">
        <f t="shared" si="23"/>
        <v>144767.11333333331</v>
      </c>
      <c r="H16" s="928">
        <f t="shared" si="23"/>
        <v>220440.83166666664</v>
      </c>
      <c r="I16" s="928">
        <f t="shared" si="23"/>
        <v>281308.82249999995</v>
      </c>
      <c r="J16" s="928">
        <f t="shared" si="23"/>
        <v>290356.76708333328</v>
      </c>
      <c r="K16" s="928">
        <f t="shared" si="23"/>
        <v>394819.39999999997</v>
      </c>
      <c r="L16" s="929">
        <f t="shared" si="23"/>
        <v>219782.7993333333</v>
      </c>
      <c r="M16" s="929">
        <f t="shared" si="23"/>
        <v>333951.40916666662</v>
      </c>
      <c r="N16" s="929">
        <f t="shared" si="23"/>
        <v>426404.95199999993</v>
      </c>
      <c r="O16" s="929">
        <f t="shared" si="23"/>
        <v>439401.09058333328</v>
      </c>
      <c r="P16" s="929">
        <f t="shared" si="23"/>
        <v>597164.34249999991</v>
      </c>
      <c r="Q16" s="929">
        <f t="shared" si="23"/>
        <v>188526.26349999997</v>
      </c>
      <c r="R16" s="929">
        <f t="shared" si="23"/>
        <v>286655.33520833327</v>
      </c>
      <c r="S16" s="929">
        <f t="shared" si="23"/>
        <v>365948.23137499997</v>
      </c>
      <c r="T16" s="929">
        <f t="shared" si="23"/>
        <v>377299.28912499995</v>
      </c>
      <c r="U16" s="929">
        <f t="shared" si="23"/>
        <v>512853.94979166659</v>
      </c>
      <c r="V16" s="929">
        <f t="shared" si="23"/>
        <v>157269.72766666664</v>
      </c>
      <c r="W16" s="929">
        <f t="shared" si="23"/>
        <v>239359.26124999995</v>
      </c>
      <c r="X16" s="929">
        <f t="shared" si="23"/>
        <v>305491.51074999996</v>
      </c>
      <c r="Y16" s="929">
        <f t="shared" si="23"/>
        <v>315197.48766666662</v>
      </c>
      <c r="Z16" s="929">
        <f t="shared" si="23"/>
        <v>428543.55708333326</v>
      </c>
      <c r="AB16" s="932" t="s">
        <v>1318</v>
      </c>
      <c r="AC16" s="935">
        <f>'IEAWEO2023 cost data'!E17</f>
        <v>0.9107142857142857</v>
      </c>
      <c r="AD16" s="935">
        <f>'IEAWEO2023 cost data'!E18</f>
        <v>0.90476190476190477</v>
      </c>
      <c r="AE16" s="935">
        <f>'IEAWEO2023 cost data'!E19</f>
        <v>0.89880952380952384</v>
      </c>
    </row>
    <row r="17" spans="1:35" x14ac:dyDescent="0.25">
      <c r="B17" s="922"/>
      <c r="C17" s="922"/>
      <c r="D17" s="922"/>
      <c r="E17" s="922"/>
      <c r="F17" s="922"/>
      <c r="G17" s="922"/>
      <c r="H17" s="922"/>
      <c r="I17" s="922"/>
      <c r="J17" s="922"/>
      <c r="K17" s="922"/>
      <c r="L17" s="925"/>
      <c r="M17" s="925"/>
      <c r="N17" s="925"/>
      <c r="O17" s="925"/>
      <c r="P17" s="925"/>
      <c r="Q17" s="925"/>
      <c r="R17" s="925"/>
      <c r="S17" s="925"/>
      <c r="T17" s="925"/>
      <c r="U17" s="925"/>
      <c r="V17" s="925"/>
      <c r="W17" s="925"/>
      <c r="X17" s="925"/>
      <c r="Y17" s="925"/>
      <c r="Z17" s="925"/>
      <c r="AC17" s="932"/>
    </row>
    <row r="18" spans="1:35" x14ac:dyDescent="0.25">
      <c r="B18" s="922"/>
      <c r="C18" s="922"/>
      <c r="D18" s="922"/>
      <c r="E18" s="922"/>
      <c r="F18" s="922"/>
      <c r="G18" s="922"/>
      <c r="H18" s="922"/>
      <c r="I18" s="922"/>
      <c r="J18" s="922"/>
      <c r="K18" s="922"/>
      <c r="L18" s="925"/>
      <c r="M18" s="925"/>
      <c r="N18" s="925"/>
      <c r="O18" s="925"/>
      <c r="P18" s="925"/>
      <c r="Q18" s="925"/>
      <c r="R18" s="925"/>
      <c r="S18" s="925"/>
      <c r="T18" s="925"/>
      <c r="U18" s="925"/>
      <c r="V18" s="925"/>
      <c r="W18" s="925"/>
      <c r="X18" s="925"/>
      <c r="Y18" s="925"/>
      <c r="Z18" s="925"/>
      <c r="AC18" s="932" t="s">
        <v>1427</v>
      </c>
    </row>
    <row r="19" spans="1:35" x14ac:dyDescent="0.25">
      <c r="A19" s="1008" t="s">
        <v>1455</v>
      </c>
      <c r="B19" s="922">
        <f>742102</f>
        <v>742102</v>
      </c>
      <c r="C19" s="1009" t="s">
        <v>1456</v>
      </c>
      <c r="D19" s="922">
        <f>B19*(1-0.25)</f>
        <v>556576.5</v>
      </c>
      <c r="E19" s="1009" t="s">
        <v>1459</v>
      </c>
      <c r="F19" s="922">
        <f>D19/D$20</f>
        <v>1.3055430453323573</v>
      </c>
      <c r="G19" s="922"/>
      <c r="H19" s="922"/>
      <c r="I19" s="922"/>
      <c r="J19" s="922"/>
      <c r="K19" s="922"/>
      <c r="L19" s="925"/>
      <c r="M19" s="925"/>
      <c r="N19" s="925"/>
      <c r="O19" s="925"/>
      <c r="P19" s="925"/>
      <c r="Q19" s="925"/>
      <c r="R19" s="925"/>
      <c r="S19" s="925"/>
      <c r="T19" s="925"/>
      <c r="U19" s="925"/>
      <c r="V19" s="925"/>
      <c r="W19" s="925"/>
      <c r="X19" s="925"/>
      <c r="Y19" s="925"/>
      <c r="Z19" s="925"/>
      <c r="AC19" s="932" t="s">
        <v>1319</v>
      </c>
      <c r="AD19" s="932" t="s">
        <v>1377</v>
      </c>
      <c r="AE19" s="932" t="s">
        <v>1378</v>
      </c>
    </row>
    <row r="20" spans="1:35" x14ac:dyDescent="0.25">
      <c r="A20" s="1008" t="s">
        <v>1457</v>
      </c>
      <c r="B20" s="922">
        <v>519900</v>
      </c>
      <c r="C20" s="1009" t="s">
        <v>1458</v>
      </c>
      <c r="D20" s="922">
        <f>B20*(1-0.18)</f>
        <v>426318.00000000006</v>
      </c>
      <c r="E20" s="922"/>
      <c r="F20" s="922">
        <f>D20/D20</f>
        <v>1</v>
      </c>
      <c r="G20" s="922"/>
      <c r="H20" s="922"/>
      <c r="I20" s="922"/>
      <c r="J20" s="922"/>
      <c r="K20" s="922"/>
      <c r="L20" s="925"/>
      <c r="M20" s="925"/>
      <c r="N20" s="925"/>
      <c r="O20" s="925"/>
      <c r="P20" s="925"/>
      <c r="Q20" s="925"/>
      <c r="R20" s="925"/>
      <c r="S20" s="925"/>
      <c r="T20" s="925"/>
      <c r="U20" s="925"/>
      <c r="V20" s="925"/>
      <c r="W20" s="925"/>
      <c r="X20" s="925"/>
      <c r="Y20" s="925"/>
      <c r="Z20" s="925"/>
      <c r="AB20" s="932" t="s">
        <v>692</v>
      </c>
      <c r="AC20" s="905">
        <f>'IEAWEO2023 cost data'!F11</f>
        <v>0.71707317073170729</v>
      </c>
      <c r="AD20" s="905">
        <f>'IEAWEO2023 cost data'!F12</f>
        <v>0.68780487804878043</v>
      </c>
      <c r="AE20" s="905">
        <f>'IEAWEO2023 cost data'!F13</f>
        <v>0.66829268292682931</v>
      </c>
    </row>
    <row r="21" spans="1:35" x14ac:dyDescent="0.25">
      <c r="B21" s="922"/>
      <c r="C21" s="922"/>
      <c r="D21" s="922"/>
      <c r="E21" s="922"/>
      <c r="F21" s="922"/>
      <c r="G21" s="922"/>
      <c r="H21" s="922"/>
      <c r="I21" s="922"/>
      <c r="J21" s="922"/>
      <c r="K21" s="922"/>
      <c r="L21" s="925"/>
      <c r="M21" s="925"/>
      <c r="N21" s="925"/>
      <c r="O21" s="925"/>
      <c r="P21" s="925"/>
      <c r="Q21" s="925"/>
      <c r="R21" s="925"/>
      <c r="S21" s="925"/>
      <c r="T21" s="925"/>
      <c r="U21" s="925"/>
      <c r="V21" s="925"/>
      <c r="W21" s="925"/>
      <c r="X21" s="925"/>
      <c r="Y21" s="925"/>
      <c r="Z21" s="925"/>
      <c r="AB21" s="932" t="s">
        <v>1318</v>
      </c>
      <c r="AC21" s="905">
        <f>'IEAWEO2023 cost data'!F17</f>
        <v>0.91666666666666663</v>
      </c>
      <c r="AD21" s="905">
        <f>'IEAWEO2023 cost data'!F18</f>
        <v>0.9107142857142857</v>
      </c>
      <c r="AE21" s="905">
        <f>'IEAWEO2023 cost data'!F19</f>
        <v>0.90476190476190477</v>
      </c>
    </row>
    <row r="22" spans="1:35" x14ac:dyDescent="0.25">
      <c r="B22" s="922"/>
      <c r="C22" s="922"/>
      <c r="D22" s="922"/>
      <c r="E22" s="922"/>
      <c r="F22" s="922"/>
      <c r="G22" s="922"/>
      <c r="H22" s="922"/>
      <c r="I22" s="922"/>
      <c r="J22" s="922"/>
      <c r="K22" s="922"/>
      <c r="L22" s="925"/>
      <c r="M22" s="925"/>
      <c r="N22" s="925"/>
      <c r="O22" s="925"/>
      <c r="P22" s="925"/>
      <c r="Q22" s="925"/>
      <c r="R22" s="925"/>
      <c r="S22" s="925"/>
      <c r="T22" s="925"/>
      <c r="U22" s="925"/>
      <c r="V22" s="925"/>
      <c r="W22" s="925"/>
      <c r="X22" s="925"/>
      <c r="Y22" s="925"/>
      <c r="Z22" s="925"/>
      <c r="AC22" s="932"/>
    </row>
    <row r="23" spans="1:35" x14ac:dyDescent="0.25">
      <c r="B23" s="922"/>
      <c r="C23" s="922"/>
      <c r="D23" s="922"/>
      <c r="E23" s="922"/>
      <c r="F23" s="922"/>
      <c r="G23" s="922"/>
      <c r="H23" s="922"/>
      <c r="I23" s="922"/>
      <c r="J23" s="922"/>
      <c r="K23" s="922"/>
      <c r="L23" s="925"/>
      <c r="M23" s="925"/>
      <c r="N23" s="925"/>
      <c r="O23" s="925"/>
      <c r="P23" s="925"/>
      <c r="Q23" s="925"/>
      <c r="R23" s="925"/>
      <c r="S23" s="925"/>
      <c r="T23" s="925"/>
      <c r="U23" s="925"/>
      <c r="V23" s="925"/>
      <c r="W23" s="925"/>
      <c r="X23" s="925"/>
      <c r="Y23" s="925"/>
      <c r="Z23" s="925"/>
      <c r="AC23" s="932"/>
      <c r="AI23" s="932"/>
    </row>
    <row r="24" spans="1:35" x14ac:dyDescent="0.25">
      <c r="B24" s="922"/>
      <c r="C24" s="922"/>
      <c r="D24" s="922"/>
      <c r="E24" s="922"/>
      <c r="F24" s="922"/>
      <c r="G24" s="922"/>
      <c r="H24" s="922"/>
      <c r="I24" s="922"/>
      <c r="J24" s="922"/>
      <c r="K24" s="922"/>
      <c r="L24" s="925"/>
      <c r="M24" s="925"/>
      <c r="N24" s="925"/>
      <c r="O24" s="925"/>
      <c r="P24" s="925"/>
      <c r="Q24" s="925"/>
      <c r="R24" s="925"/>
      <c r="S24" s="925"/>
      <c r="T24" s="925"/>
      <c r="U24" s="925"/>
      <c r="V24" s="925"/>
      <c r="W24" s="925"/>
      <c r="X24" s="925"/>
      <c r="Y24" s="925"/>
      <c r="Z24" s="925"/>
    </row>
    <row r="25" spans="1:35" x14ac:dyDescent="0.25">
      <c r="B25" s="922"/>
      <c r="C25" s="922"/>
      <c r="D25" s="922"/>
      <c r="E25" s="922"/>
      <c r="F25" s="922"/>
      <c r="G25" s="922"/>
      <c r="H25" s="922"/>
      <c r="I25" s="922"/>
      <c r="J25" s="922"/>
      <c r="K25" s="922"/>
      <c r="L25" s="925"/>
      <c r="M25" s="925"/>
      <c r="N25" s="925"/>
      <c r="O25" s="925"/>
      <c r="P25" s="925"/>
      <c r="Q25" s="925"/>
      <c r="R25" s="925"/>
      <c r="S25" s="925"/>
      <c r="T25" s="925"/>
      <c r="U25" s="925"/>
      <c r="V25" s="925"/>
      <c r="W25" s="925"/>
      <c r="X25" s="925"/>
      <c r="Y25" s="925"/>
      <c r="Z25" s="925"/>
    </row>
    <row r="26" spans="1:35" x14ac:dyDescent="0.25">
      <c r="B26" s="922"/>
      <c r="C26" s="922"/>
      <c r="D26" s="922"/>
      <c r="E26" s="922"/>
      <c r="F26" s="922"/>
      <c r="G26" s="922"/>
      <c r="H26" s="922"/>
      <c r="I26" s="922"/>
      <c r="J26" s="922"/>
      <c r="K26" s="922"/>
      <c r="L26" s="925"/>
      <c r="M26" s="925"/>
      <c r="N26" s="925"/>
      <c r="O26" s="925"/>
      <c r="P26" s="925"/>
      <c r="Q26" s="925"/>
      <c r="R26" s="925"/>
      <c r="S26" s="925"/>
      <c r="T26" s="925"/>
      <c r="U26" s="925"/>
      <c r="V26" s="925"/>
      <c r="W26" s="925"/>
      <c r="X26" s="925"/>
      <c r="Y26" s="925"/>
      <c r="Z26" s="925"/>
    </row>
    <row r="27" spans="1:35" x14ac:dyDescent="0.25">
      <c r="B27" s="922"/>
      <c r="C27" s="922"/>
      <c r="D27" s="922"/>
      <c r="E27" s="922"/>
      <c r="F27" s="922"/>
      <c r="G27" s="922"/>
      <c r="H27" s="922"/>
      <c r="I27" s="922"/>
      <c r="J27" s="922"/>
      <c r="K27" s="922"/>
      <c r="L27" s="925"/>
      <c r="M27" s="925"/>
      <c r="N27" s="925"/>
      <c r="O27" s="925"/>
      <c r="P27" s="925"/>
      <c r="Q27" s="925"/>
      <c r="R27" s="925"/>
      <c r="S27" s="925"/>
      <c r="T27" s="925"/>
      <c r="U27" s="925"/>
      <c r="V27" s="925"/>
      <c r="W27" s="925"/>
      <c r="X27" s="925"/>
      <c r="Y27" s="925"/>
      <c r="Z27" s="925"/>
    </row>
    <row r="28" spans="1:35" x14ac:dyDescent="0.25">
      <c r="A28" s="906" t="s">
        <v>1394</v>
      </c>
      <c r="B28" s="922"/>
      <c r="C28" s="922"/>
      <c r="D28" s="922"/>
      <c r="E28" s="922"/>
      <c r="F28" s="922"/>
      <c r="G28" s="922"/>
      <c r="H28" s="922"/>
      <c r="I28" s="922"/>
      <c r="J28" s="922"/>
      <c r="K28" s="922"/>
      <c r="L28" s="925"/>
      <c r="M28" s="925"/>
      <c r="N28" s="925"/>
      <c r="O28" s="925"/>
      <c r="P28" s="925"/>
      <c r="Q28" s="925"/>
      <c r="R28" s="925"/>
      <c r="S28" s="925"/>
      <c r="T28" s="925"/>
      <c r="U28" s="925"/>
      <c r="V28" s="925"/>
      <c r="W28" s="925"/>
      <c r="X28" s="925"/>
      <c r="Y28" s="925"/>
      <c r="Z28" s="925"/>
    </row>
    <row r="29" spans="1:35" x14ac:dyDescent="0.25">
      <c r="B29" s="922" t="s">
        <v>1388</v>
      </c>
      <c r="C29" s="922" t="s">
        <v>1389</v>
      </c>
      <c r="D29" s="922" t="s">
        <v>1390</v>
      </c>
      <c r="E29" s="922" t="s">
        <v>1391</v>
      </c>
      <c r="F29" s="922" t="s">
        <v>460</v>
      </c>
      <c r="G29" s="922" t="s">
        <v>1388</v>
      </c>
      <c r="H29" s="922" t="s">
        <v>1389</v>
      </c>
      <c r="I29" s="922" t="s">
        <v>1390</v>
      </c>
      <c r="J29" s="922" t="s">
        <v>1391</v>
      </c>
      <c r="K29" s="922" t="s">
        <v>460</v>
      </c>
      <c r="L29" s="925" t="s">
        <v>1388</v>
      </c>
      <c r="M29" s="925" t="s">
        <v>1389</v>
      </c>
      <c r="N29" s="925" t="s">
        <v>1390</v>
      </c>
      <c r="O29" s="925" t="s">
        <v>1391</v>
      </c>
      <c r="P29" s="925" t="s">
        <v>460</v>
      </c>
      <c r="Q29" s="925" t="s">
        <v>1388</v>
      </c>
      <c r="R29" s="925" t="s">
        <v>1389</v>
      </c>
      <c r="S29" s="925" t="s">
        <v>1390</v>
      </c>
      <c r="T29" s="925" t="s">
        <v>1391</v>
      </c>
      <c r="U29" s="925" t="s">
        <v>460</v>
      </c>
      <c r="V29" s="925" t="s">
        <v>1388</v>
      </c>
      <c r="W29" s="925" t="s">
        <v>1389</v>
      </c>
      <c r="X29" s="925" t="s">
        <v>1390</v>
      </c>
      <c r="Y29" s="925" t="s">
        <v>1391</v>
      </c>
      <c r="Z29" s="925" t="s">
        <v>460</v>
      </c>
    </row>
    <row r="30" spans="1:35" x14ac:dyDescent="0.25">
      <c r="A30" s="907" t="s">
        <v>1334</v>
      </c>
      <c r="B30" s="922">
        <v>2022</v>
      </c>
      <c r="C30" s="922">
        <v>2022</v>
      </c>
      <c r="D30" s="922">
        <v>2022</v>
      </c>
      <c r="E30" s="922">
        <v>2022</v>
      </c>
      <c r="F30" s="922">
        <v>2022</v>
      </c>
      <c r="G30" s="922">
        <v>2032</v>
      </c>
      <c r="H30" s="922">
        <v>2032</v>
      </c>
      <c r="I30" s="922">
        <v>2032</v>
      </c>
      <c r="J30" s="922">
        <v>2032</v>
      </c>
      <c r="K30" s="922">
        <v>2032</v>
      </c>
      <c r="L30" s="925">
        <v>2020</v>
      </c>
      <c r="M30" s="925">
        <v>2020</v>
      </c>
      <c r="N30" s="925">
        <v>2020</v>
      </c>
      <c r="O30" s="925">
        <v>2020</v>
      </c>
      <c r="P30" s="925">
        <v>2020</v>
      </c>
      <c r="Q30" s="925">
        <v>2025</v>
      </c>
      <c r="R30" s="925">
        <v>2025</v>
      </c>
      <c r="S30" s="925">
        <v>2025</v>
      </c>
      <c r="T30" s="925">
        <v>2025</v>
      </c>
      <c r="U30" s="925">
        <v>2025</v>
      </c>
      <c r="V30" s="925">
        <v>2030</v>
      </c>
      <c r="W30" s="925">
        <v>2030</v>
      </c>
      <c r="X30" s="925">
        <v>2030</v>
      </c>
      <c r="Y30" s="925">
        <v>2030</v>
      </c>
      <c r="Z30" s="925">
        <v>2030</v>
      </c>
    </row>
    <row r="31" spans="1:35" x14ac:dyDescent="0.25">
      <c r="A31" s="905" t="s">
        <v>484</v>
      </c>
      <c r="B31" s="923">
        <v>250</v>
      </c>
      <c r="C31" s="923">
        <v>250</v>
      </c>
      <c r="D31" s="923">
        <v>250</v>
      </c>
      <c r="E31" s="923">
        <v>250</v>
      </c>
      <c r="F31" s="923">
        <v>250</v>
      </c>
      <c r="G31" s="923">
        <v>250</v>
      </c>
      <c r="H31" s="923">
        <v>250</v>
      </c>
      <c r="I31" s="923">
        <v>250</v>
      </c>
      <c r="J31" s="923">
        <v>250</v>
      </c>
      <c r="K31" s="923">
        <v>250</v>
      </c>
      <c r="L31" s="926">
        <v>250</v>
      </c>
      <c r="M31" s="926">
        <v>250</v>
      </c>
      <c r="N31" s="926">
        <v>250</v>
      </c>
      <c r="O31" s="926">
        <v>250</v>
      </c>
      <c r="P31" s="926">
        <v>250</v>
      </c>
      <c r="Q31" s="926">
        <v>250</v>
      </c>
      <c r="R31" s="926">
        <v>250</v>
      </c>
      <c r="S31" s="926">
        <v>250</v>
      </c>
      <c r="T31" s="926">
        <v>250</v>
      </c>
      <c r="U31" s="926">
        <v>250</v>
      </c>
      <c r="V31" s="926">
        <v>250</v>
      </c>
      <c r="W31" s="926">
        <v>250</v>
      </c>
      <c r="X31" s="926">
        <v>250</v>
      </c>
      <c r="Y31" s="926">
        <v>250</v>
      </c>
      <c r="Z31" s="926">
        <v>250</v>
      </c>
    </row>
    <row r="32" spans="1:35" x14ac:dyDescent="0.25">
      <c r="A32" s="905" t="s">
        <v>477</v>
      </c>
      <c r="B32" s="923">
        <v>300</v>
      </c>
      <c r="C32" s="923">
        <v>300</v>
      </c>
      <c r="D32" s="923">
        <v>300</v>
      </c>
      <c r="E32" s="923">
        <v>300</v>
      </c>
      <c r="F32" s="923">
        <v>300</v>
      </c>
      <c r="G32" s="923">
        <v>300</v>
      </c>
      <c r="H32" s="923">
        <v>300</v>
      </c>
      <c r="I32" s="923">
        <v>300</v>
      </c>
      <c r="J32" s="923">
        <v>300</v>
      </c>
      <c r="K32" s="923">
        <v>300</v>
      </c>
      <c r="L32" s="926">
        <v>300</v>
      </c>
      <c r="M32" s="926">
        <v>300</v>
      </c>
      <c r="N32" s="926">
        <v>300</v>
      </c>
      <c r="O32" s="926">
        <v>300</v>
      </c>
      <c r="P32" s="926">
        <v>300</v>
      </c>
      <c r="Q32" s="926">
        <v>300</v>
      </c>
      <c r="R32" s="926">
        <v>300</v>
      </c>
      <c r="S32" s="926">
        <v>300</v>
      </c>
      <c r="T32" s="926">
        <v>300</v>
      </c>
      <c r="U32" s="926">
        <v>300</v>
      </c>
      <c r="V32" s="926">
        <v>300</v>
      </c>
      <c r="W32" s="926">
        <v>300</v>
      </c>
      <c r="X32" s="926">
        <v>300</v>
      </c>
      <c r="Y32" s="926">
        <v>300</v>
      </c>
      <c r="Z32" s="926">
        <v>300</v>
      </c>
    </row>
    <row r="33" spans="1:26" x14ac:dyDescent="0.25">
      <c r="A33" s="905" t="s">
        <v>1392</v>
      </c>
      <c r="B33" s="923">
        <v>250</v>
      </c>
      <c r="C33" s="923">
        <v>250</v>
      </c>
      <c r="D33" s="923">
        <v>250</v>
      </c>
      <c r="E33" s="923">
        <v>250</v>
      </c>
      <c r="F33" s="923">
        <v>250</v>
      </c>
      <c r="G33" s="923">
        <v>250</v>
      </c>
      <c r="H33" s="923">
        <v>250</v>
      </c>
      <c r="I33" s="923">
        <v>250</v>
      </c>
      <c r="J33" s="923">
        <v>250</v>
      </c>
      <c r="K33" s="923">
        <v>250</v>
      </c>
      <c r="L33" s="926">
        <v>250</v>
      </c>
      <c r="M33" s="926">
        <v>250</v>
      </c>
      <c r="N33" s="926">
        <v>250</v>
      </c>
      <c r="O33" s="926">
        <v>250</v>
      </c>
      <c r="P33" s="926">
        <v>250</v>
      </c>
      <c r="Q33" s="926">
        <v>250</v>
      </c>
      <c r="R33" s="926">
        <v>250</v>
      </c>
      <c r="S33" s="926">
        <v>250</v>
      </c>
      <c r="T33" s="926">
        <v>250</v>
      </c>
      <c r="U33" s="926">
        <v>250</v>
      </c>
      <c r="V33" s="926">
        <v>250</v>
      </c>
      <c r="W33" s="926">
        <v>250</v>
      </c>
      <c r="X33" s="926">
        <v>250</v>
      </c>
      <c r="Y33" s="926">
        <v>250</v>
      </c>
      <c r="Z33" s="926">
        <v>250</v>
      </c>
    </row>
    <row r="34" spans="1:26" x14ac:dyDescent="0.25">
      <c r="A34" s="905" t="s">
        <v>1393</v>
      </c>
      <c r="B34" s="923">
        <v>250</v>
      </c>
      <c r="C34" s="923">
        <v>250</v>
      </c>
      <c r="D34" s="923">
        <v>250</v>
      </c>
      <c r="E34" s="923">
        <v>250</v>
      </c>
      <c r="F34" s="923">
        <v>250</v>
      </c>
      <c r="G34" s="923">
        <v>250</v>
      </c>
      <c r="H34" s="923">
        <v>250</v>
      </c>
      <c r="I34" s="923">
        <v>250</v>
      </c>
      <c r="J34" s="923">
        <v>250</v>
      </c>
      <c r="K34" s="923">
        <v>250</v>
      </c>
      <c r="L34" s="926">
        <v>250</v>
      </c>
      <c r="M34" s="926">
        <v>250</v>
      </c>
      <c r="N34" s="926">
        <v>250</v>
      </c>
      <c r="O34" s="926">
        <v>250</v>
      </c>
      <c r="P34" s="926">
        <v>250</v>
      </c>
      <c r="Q34" s="926">
        <v>250</v>
      </c>
      <c r="R34" s="926">
        <v>250</v>
      </c>
      <c r="S34" s="926">
        <v>250</v>
      </c>
      <c r="T34" s="926">
        <v>250</v>
      </c>
      <c r="U34" s="926">
        <v>250</v>
      </c>
      <c r="V34" s="926">
        <v>250</v>
      </c>
      <c r="W34" s="926">
        <v>250</v>
      </c>
      <c r="X34" s="926">
        <v>250</v>
      </c>
      <c r="Y34" s="926">
        <v>250</v>
      </c>
      <c r="Z34" s="926">
        <v>250</v>
      </c>
    </row>
    <row r="35" spans="1:26" x14ac:dyDescent="0.25">
      <c r="B35" s="922"/>
      <c r="C35" s="922"/>
      <c r="D35" s="922"/>
      <c r="E35" s="922"/>
      <c r="F35" s="922"/>
      <c r="G35" s="922"/>
      <c r="H35" s="922"/>
      <c r="I35" s="922"/>
      <c r="J35" s="922"/>
      <c r="K35" s="922"/>
      <c r="L35" s="925"/>
      <c r="M35" s="925"/>
      <c r="N35" s="925"/>
      <c r="O35" s="925"/>
      <c r="P35" s="925"/>
      <c r="Q35" s="925"/>
      <c r="R35" s="925"/>
      <c r="S35" s="925"/>
      <c r="T35" s="925"/>
      <c r="U35" s="925"/>
      <c r="V35" s="925"/>
      <c r="W35" s="925"/>
      <c r="X35" s="925"/>
      <c r="Y35" s="925"/>
      <c r="Z35" s="925"/>
    </row>
    <row r="36" spans="1:26" x14ac:dyDescent="0.25">
      <c r="B36" s="922"/>
      <c r="C36" s="922"/>
      <c r="D36" s="922"/>
      <c r="E36" s="922"/>
      <c r="F36" s="922"/>
      <c r="G36" s="922"/>
      <c r="H36" s="922"/>
      <c r="I36" s="922"/>
      <c r="J36" s="922"/>
      <c r="K36" s="922"/>
      <c r="L36" s="925"/>
      <c r="M36" s="925"/>
      <c r="N36" s="925"/>
      <c r="O36" s="925"/>
      <c r="P36" s="925"/>
      <c r="Q36" s="925"/>
      <c r="R36" s="925"/>
      <c r="S36" s="925"/>
      <c r="T36" s="925"/>
      <c r="U36" s="925"/>
      <c r="V36" s="925"/>
      <c r="W36" s="925"/>
      <c r="X36" s="925"/>
      <c r="Y36" s="925"/>
      <c r="Z36" s="925"/>
    </row>
    <row r="37" spans="1:26" x14ac:dyDescent="0.25">
      <c r="A37" s="905" t="s">
        <v>1395</v>
      </c>
      <c r="B37" s="922" t="s">
        <v>1388</v>
      </c>
      <c r="C37" s="922" t="s">
        <v>1389</v>
      </c>
      <c r="D37" s="922" t="s">
        <v>1390</v>
      </c>
      <c r="E37" s="922" t="s">
        <v>1391</v>
      </c>
      <c r="F37" s="922" t="s">
        <v>460</v>
      </c>
      <c r="G37" s="922" t="s">
        <v>1388</v>
      </c>
      <c r="H37" s="922" t="s">
        <v>1389</v>
      </c>
      <c r="I37" s="922" t="s">
        <v>1390</v>
      </c>
      <c r="J37" s="922" t="s">
        <v>1391</v>
      </c>
      <c r="K37" s="922" t="s">
        <v>460</v>
      </c>
      <c r="L37" s="925" t="s">
        <v>1388</v>
      </c>
      <c r="M37" s="925" t="s">
        <v>1389</v>
      </c>
      <c r="N37" s="925" t="s">
        <v>1390</v>
      </c>
      <c r="O37" s="925" t="s">
        <v>1391</v>
      </c>
      <c r="P37" s="925" t="s">
        <v>460</v>
      </c>
      <c r="Q37" s="925" t="s">
        <v>1388</v>
      </c>
      <c r="R37" s="925" t="s">
        <v>1389</v>
      </c>
      <c r="S37" s="925" t="s">
        <v>1390</v>
      </c>
      <c r="T37" s="925" t="s">
        <v>1391</v>
      </c>
      <c r="U37" s="925" t="s">
        <v>460</v>
      </c>
      <c r="V37" s="925" t="s">
        <v>1388</v>
      </c>
      <c r="W37" s="925" t="s">
        <v>1389</v>
      </c>
      <c r="X37" s="925" t="s">
        <v>1390</v>
      </c>
      <c r="Y37" s="925" t="s">
        <v>1391</v>
      </c>
      <c r="Z37" s="925" t="s">
        <v>460</v>
      </c>
    </row>
    <row r="38" spans="1:26" x14ac:dyDescent="0.25">
      <c r="A38" s="907" t="s">
        <v>353</v>
      </c>
      <c r="B38" s="922">
        <v>2022</v>
      </c>
      <c r="C38" s="922">
        <v>2022</v>
      </c>
      <c r="D38" s="922">
        <v>2022</v>
      </c>
      <c r="E38" s="922">
        <v>2022</v>
      </c>
      <c r="F38" s="922">
        <v>2022</v>
      </c>
      <c r="G38" s="922">
        <v>2032</v>
      </c>
      <c r="H38" s="922">
        <v>2032</v>
      </c>
      <c r="I38" s="922">
        <v>2032</v>
      </c>
      <c r="J38" s="922">
        <v>2032</v>
      </c>
      <c r="K38" s="922">
        <v>2032</v>
      </c>
      <c r="L38" s="925">
        <v>2020</v>
      </c>
      <c r="M38" s="925">
        <v>2020</v>
      </c>
      <c r="N38" s="925">
        <v>2020</v>
      </c>
      <c r="O38" s="925">
        <v>2020</v>
      </c>
      <c r="P38" s="925">
        <v>2020</v>
      </c>
      <c r="Q38" s="925">
        <v>2025</v>
      </c>
      <c r="R38" s="925">
        <v>2025</v>
      </c>
      <c r="S38" s="925">
        <v>2025</v>
      </c>
      <c r="T38" s="925">
        <v>2025</v>
      </c>
      <c r="U38" s="925">
        <v>2025</v>
      </c>
      <c r="V38" s="925">
        <v>2030</v>
      </c>
      <c r="W38" s="925">
        <v>2030</v>
      </c>
      <c r="X38" s="925">
        <v>2030</v>
      </c>
      <c r="Y38" s="925">
        <v>2030</v>
      </c>
      <c r="Z38" s="925">
        <v>2030</v>
      </c>
    </row>
    <row r="39" spans="1:26" x14ac:dyDescent="0.25">
      <c r="A39" s="905" t="s">
        <v>484</v>
      </c>
      <c r="B39" s="924">
        <f>B31/B7</f>
        <v>2.6455026455026454E-2</v>
      </c>
      <c r="C39" s="924">
        <f t="shared" ref="C39:K39" si="24">C31/C7</f>
        <v>1.8050541516245487E-2</v>
      </c>
      <c r="D39" s="924">
        <f t="shared" si="24"/>
        <v>1.3661202185792349E-2</v>
      </c>
      <c r="E39" s="924">
        <f t="shared" si="24"/>
        <v>1.4619883040935672E-2</v>
      </c>
      <c r="F39" s="924">
        <f t="shared" si="24"/>
        <v>9.765625E-3</v>
      </c>
      <c r="G39" s="924">
        <f t="shared" si="24"/>
        <v>2.5906735751295335E-2</v>
      </c>
      <c r="H39" s="924">
        <f t="shared" si="24"/>
        <v>1.7667844522968199E-2</v>
      </c>
      <c r="I39" s="924">
        <f t="shared" si="24"/>
        <v>1.3404825737265416E-2</v>
      </c>
      <c r="J39" s="924">
        <f t="shared" si="24"/>
        <v>1.4326647564469915E-2</v>
      </c>
      <c r="K39" s="924">
        <f t="shared" si="24"/>
        <v>9.5785440613026813E-3</v>
      </c>
      <c r="L39" s="927">
        <f>L31/L7</f>
        <v>2.6567481402763018E-2</v>
      </c>
      <c r="M39" s="927">
        <f t="shared" ref="M39:P39" si="25">M31/M7</f>
        <v>1.8129079042784626E-2</v>
      </c>
      <c r="N39" s="927">
        <f t="shared" si="25"/>
        <v>1.3713658804168952E-2</v>
      </c>
      <c r="O39" s="927">
        <f t="shared" si="25"/>
        <v>1.4679976512037582E-2</v>
      </c>
      <c r="P39" s="927">
        <f t="shared" si="25"/>
        <v>9.8039215686274508E-3</v>
      </c>
      <c r="Q39" s="927">
        <f>Q31/Q7</f>
        <v>2.6288117770767613E-2</v>
      </c>
      <c r="R39" s="927">
        <f t="shared" ref="R39:Z39" si="26">R31/R7</f>
        <v>1.7934002869440458E-2</v>
      </c>
      <c r="S39" s="927">
        <f t="shared" si="26"/>
        <v>1.3583265417006248E-2</v>
      </c>
      <c r="T39" s="927">
        <f t="shared" si="26"/>
        <v>1.4530659691950014E-2</v>
      </c>
      <c r="U39" s="927">
        <f t="shared" si="26"/>
        <v>9.7087378640776691E-3</v>
      </c>
      <c r="V39" s="927">
        <f t="shared" si="26"/>
        <v>2.6014568158168574E-2</v>
      </c>
      <c r="W39" s="927">
        <f t="shared" si="26"/>
        <v>1.7743080198722498E-2</v>
      </c>
      <c r="X39" s="927">
        <f t="shared" si="26"/>
        <v>1.3455328310010764E-2</v>
      </c>
      <c r="Y39" s="927">
        <f t="shared" si="26"/>
        <v>1.4384349827387802E-2</v>
      </c>
      <c r="Z39" s="927">
        <f t="shared" si="26"/>
        <v>9.6153846153846159E-3</v>
      </c>
    </row>
    <row r="40" spans="1:26" x14ac:dyDescent="0.25">
      <c r="A40" s="905" t="s">
        <v>477</v>
      </c>
      <c r="B40" s="924">
        <f>B32/B8</f>
        <v>2.9411764705882353E-2</v>
      </c>
      <c r="C40" s="924">
        <f t="shared" ref="C40:K40" si="27">C32/C8</f>
        <v>1.948051948051948E-2</v>
      </c>
      <c r="D40" s="924">
        <f t="shared" si="27"/>
        <v>1.5503875968992248E-2</v>
      </c>
      <c r="E40" s="924">
        <f t="shared" si="27"/>
        <v>1.5915119363395226E-2</v>
      </c>
      <c r="F40" s="924">
        <f t="shared" si="27"/>
        <v>1.1090573012939002E-2</v>
      </c>
      <c r="G40" s="924">
        <f t="shared" si="27"/>
        <v>2.8037383177570093E-2</v>
      </c>
      <c r="H40" s="924">
        <f t="shared" si="27"/>
        <v>1.8575851393188854E-2</v>
      </c>
      <c r="I40" s="924">
        <f t="shared" si="27"/>
        <v>1.4778325123152709E-2</v>
      </c>
      <c r="J40" s="924">
        <f t="shared" si="27"/>
        <v>1.5151515151515152E-2</v>
      </c>
      <c r="K40" s="924">
        <f t="shared" si="27"/>
        <v>1.0563380281690141E-2</v>
      </c>
      <c r="L40" s="927">
        <f>L32/L8</f>
        <v>2.9702970297029702E-2</v>
      </c>
      <c r="M40" s="927">
        <f t="shared" ref="M40:P42" si="28">M32/M8</f>
        <v>1.9672131147540985E-2</v>
      </c>
      <c r="N40" s="927">
        <f t="shared" si="28"/>
        <v>1.5657620041753653E-2</v>
      </c>
      <c r="O40" s="927">
        <f t="shared" si="28"/>
        <v>1.607717041800643E-2</v>
      </c>
      <c r="P40" s="927">
        <f t="shared" si="28"/>
        <v>1.1202389843166542E-2</v>
      </c>
      <c r="Q40" s="927">
        <f t="shared" ref="Q40:Z40" si="29">Q32/Q8</f>
        <v>2.8985507246376812E-2</v>
      </c>
      <c r="R40" s="927">
        <f t="shared" si="29"/>
        <v>1.9199999999999998E-2</v>
      </c>
      <c r="S40" s="927">
        <f t="shared" si="29"/>
        <v>1.5278838808250574E-2</v>
      </c>
      <c r="T40" s="927">
        <f t="shared" si="29"/>
        <v>1.567807682257643E-2</v>
      </c>
      <c r="U40" s="927">
        <f t="shared" si="29"/>
        <v>1.0926971407758149E-2</v>
      </c>
      <c r="V40" s="927">
        <f t="shared" si="29"/>
        <v>2.8301886792452831E-2</v>
      </c>
      <c r="W40" s="927">
        <f t="shared" si="29"/>
        <v>1.8749999999999999E-2</v>
      </c>
      <c r="X40" s="927">
        <f t="shared" si="29"/>
        <v>1.4917951268025857E-2</v>
      </c>
      <c r="Y40" s="927">
        <f t="shared" si="29"/>
        <v>1.5298317185109638E-2</v>
      </c>
      <c r="Z40" s="927">
        <f t="shared" si="29"/>
        <v>1.0664770707429791E-2</v>
      </c>
    </row>
    <row r="41" spans="1:26" x14ac:dyDescent="0.25">
      <c r="A41" s="905" t="s">
        <v>1392</v>
      </c>
      <c r="B41" s="924">
        <f>B33/B9</f>
        <v>2.0242914979757085E-2</v>
      </c>
      <c r="C41" s="924">
        <f t="shared" ref="C41:K41" si="30">C33/C9</f>
        <v>1.3736263736263736E-2</v>
      </c>
      <c r="D41" s="924">
        <f t="shared" si="30"/>
        <v>1.1210762331838564E-2</v>
      </c>
      <c r="E41" s="924">
        <f t="shared" si="30"/>
        <v>1.201923076923077E-2</v>
      </c>
      <c r="F41" s="924">
        <f t="shared" si="30"/>
        <v>8.0128205128205121E-3</v>
      </c>
      <c r="G41" s="924">
        <f t="shared" si="30"/>
        <v>2.4752475247524754E-2</v>
      </c>
      <c r="H41" s="924">
        <f t="shared" si="30"/>
        <v>1.6835016835016835E-2</v>
      </c>
      <c r="I41" s="924">
        <f t="shared" si="30"/>
        <v>1.3736263736263736E-2</v>
      </c>
      <c r="J41" s="924">
        <f t="shared" si="30"/>
        <v>1.4749262536873156E-2</v>
      </c>
      <c r="K41" s="924">
        <f t="shared" si="30"/>
        <v>8.8967971530249119E-3</v>
      </c>
      <c r="L41" s="927">
        <f>L33/L9</f>
        <v>1.953125E-2</v>
      </c>
      <c r="M41" s="927">
        <f t="shared" si="28"/>
        <v>1.3248542660307366E-2</v>
      </c>
      <c r="N41" s="927">
        <f t="shared" si="28"/>
        <v>1.0813148788927335E-2</v>
      </c>
      <c r="O41" s="927">
        <f t="shared" si="28"/>
        <v>1.1590171534538712E-2</v>
      </c>
      <c r="P41" s="927">
        <f t="shared" si="28"/>
        <v>7.8566939032055309E-3</v>
      </c>
      <c r="Q41" s="927">
        <f t="shared" ref="Q41:Z41" si="31">Q33/Q9</f>
        <v>2.1413276231263382E-2</v>
      </c>
      <c r="R41" s="927">
        <f t="shared" si="31"/>
        <v>1.4539110206455364E-2</v>
      </c>
      <c r="S41" s="927">
        <f t="shared" si="31"/>
        <v>1.1865211200759373E-2</v>
      </c>
      <c r="T41" s="927">
        <f t="shared" si="31"/>
        <v>1.2725884448969204E-2</v>
      </c>
      <c r="U41" s="927">
        <f t="shared" si="31"/>
        <v>8.2590023125206479E-3</v>
      </c>
      <c r="V41" s="927">
        <f t="shared" si="31"/>
        <v>2.3696682464454975E-2</v>
      </c>
      <c r="W41" s="927">
        <f t="shared" si="31"/>
        <v>1.6108247422680411E-2</v>
      </c>
      <c r="X41" s="927">
        <f t="shared" si="31"/>
        <v>1.3144058885383806E-2</v>
      </c>
      <c r="Y41" s="927">
        <f t="shared" si="31"/>
        <v>1.4108352144469526E-2</v>
      </c>
      <c r="Z41" s="927">
        <f t="shared" si="31"/>
        <v>8.7047353760445687E-3</v>
      </c>
    </row>
    <row r="42" spans="1:26" x14ac:dyDescent="0.25">
      <c r="A42" s="905" t="s">
        <v>1393</v>
      </c>
      <c r="B42" s="924">
        <f>B34/B10</f>
        <v>1.984126984126984E-2</v>
      </c>
      <c r="C42" s="924">
        <f t="shared" ref="C42:K42" si="32">C34/C10</f>
        <v>1.3054830287206266E-2</v>
      </c>
      <c r="D42" s="924">
        <f t="shared" si="32"/>
        <v>1.0224948875255624E-2</v>
      </c>
      <c r="E42" s="924">
        <f t="shared" si="32"/>
        <v>9.9206349206349201E-3</v>
      </c>
      <c r="F42" s="924">
        <f t="shared" si="32"/>
        <v>7.2992700729927005E-3</v>
      </c>
      <c r="G42" s="924">
        <f t="shared" si="32"/>
        <v>2.8409090909090908E-2</v>
      </c>
      <c r="H42" s="924">
        <f t="shared" si="32"/>
        <v>1.8656716417910446E-2</v>
      </c>
      <c r="I42" s="924">
        <f t="shared" si="32"/>
        <v>1.4619883040935672E-2</v>
      </c>
      <c r="J42" s="924">
        <f t="shared" si="32"/>
        <v>1.4164305949008499E-2</v>
      </c>
      <c r="K42" s="924">
        <f t="shared" si="32"/>
        <v>1.0416666666666666E-2</v>
      </c>
      <c r="L42" s="927">
        <f>L34/L10</f>
        <v>1.87125748502994E-2</v>
      </c>
      <c r="M42" s="927">
        <f t="shared" si="28"/>
        <v>1.2315270935960592E-2</v>
      </c>
      <c r="N42" s="927">
        <f t="shared" si="28"/>
        <v>9.6450617283950612E-3</v>
      </c>
      <c r="O42" s="927">
        <f t="shared" si="28"/>
        <v>9.3597903406963685E-3</v>
      </c>
      <c r="P42" s="927">
        <f t="shared" si="28"/>
        <v>6.8870523415977963E-3</v>
      </c>
      <c r="Q42" s="927">
        <f t="shared" ref="Q42:Z42" si="33">Q34/Q10</f>
        <v>2.181500872600349E-2</v>
      </c>
      <c r="R42" s="927">
        <f t="shared" si="33"/>
        <v>1.4347202295552367E-2</v>
      </c>
      <c r="S42" s="927">
        <f t="shared" si="33"/>
        <v>1.1238480557428635E-2</v>
      </c>
      <c r="T42" s="927">
        <f t="shared" si="33"/>
        <v>1.0900370612600829E-2</v>
      </c>
      <c r="U42" s="927">
        <f t="shared" si="33"/>
        <v>8.0192461908580592E-3</v>
      </c>
      <c r="V42" s="927">
        <f t="shared" si="33"/>
        <v>2.615062761506276E-2</v>
      </c>
      <c r="W42" s="927">
        <f t="shared" si="33"/>
        <v>1.7182130584192441E-2</v>
      </c>
      <c r="X42" s="927">
        <f t="shared" si="33"/>
        <v>1.3462574044157244E-2</v>
      </c>
      <c r="Y42" s="927">
        <f t="shared" si="33"/>
        <v>1.3048016701461378E-2</v>
      </c>
      <c r="Z42" s="927">
        <f t="shared" si="33"/>
        <v>9.5969289827255271E-3</v>
      </c>
    </row>
  </sheetData>
  <hyperlinks>
    <hyperlink ref="B1" r:id="rId1" xr:uid="{5110E705-7DA0-45A9-BB47-B9A8AEF3411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F435-D49B-4E9A-926B-A3D52E978710}">
  <sheetPr>
    <tabColor rgb="FFFFC1DA"/>
  </sheetPr>
  <dimension ref="A2:BE19"/>
  <sheetViews>
    <sheetView workbookViewId="0"/>
  </sheetViews>
  <sheetFormatPr defaultRowHeight="15" x14ac:dyDescent="0.25"/>
  <cols>
    <col min="3" max="3" width="11" customWidth="1"/>
    <col min="4" max="4" width="11.28515625" customWidth="1"/>
    <col min="5" max="5" width="11.7109375" customWidth="1"/>
    <col min="7" max="7" width="11" bestFit="1" customWidth="1"/>
    <col min="8" max="8" width="13.28515625" bestFit="1" customWidth="1"/>
    <col min="9" max="9" width="10" bestFit="1" customWidth="1"/>
  </cols>
  <sheetData>
    <row r="2" spans="1:57" x14ac:dyDescent="0.25">
      <c r="B2" t="s">
        <v>1366</v>
      </c>
      <c r="C2" s="885">
        <v>1</v>
      </c>
      <c r="E2" t="s">
        <v>1367</v>
      </c>
    </row>
    <row r="3" spans="1:57" x14ac:dyDescent="0.25">
      <c r="B3" t="s">
        <v>1368</v>
      </c>
      <c r="C3" s="886">
        <v>16.450808333333331</v>
      </c>
    </row>
    <row r="4" spans="1:57" x14ac:dyDescent="0.25">
      <c r="A4" s="887" t="str">
        <f>'AEA2012 summary'!A14</f>
        <v>Passenger Car</v>
      </c>
      <c r="B4" s="887" t="str">
        <f>'AEA2012 summary'!B14</f>
        <v>BEV</v>
      </c>
      <c r="C4" s="887"/>
    </row>
    <row r="5" spans="1:57" x14ac:dyDescent="0.25">
      <c r="A5" s="887" t="str">
        <f>'AEA2012 summary'!A8</f>
        <v>Passenger Car</v>
      </c>
      <c r="B5" s="887" t="str">
        <f>'AEA2012 summary'!B8</f>
        <v>Petrol HEV</v>
      </c>
      <c r="C5" s="887"/>
    </row>
    <row r="6" spans="1:57" x14ac:dyDescent="0.25">
      <c r="N6" t="s">
        <v>1369</v>
      </c>
    </row>
    <row r="7" spans="1:57" x14ac:dyDescent="0.25">
      <c r="B7" s="69" t="s">
        <v>1370</v>
      </c>
      <c r="C7" s="65">
        <v>2020</v>
      </c>
      <c r="D7" s="65">
        <v>2022</v>
      </c>
      <c r="E7" s="65">
        <v>2030</v>
      </c>
      <c r="F7" s="65">
        <v>2050</v>
      </c>
      <c r="G7" s="65">
        <v>2020</v>
      </c>
      <c r="H7" s="65">
        <v>2025</v>
      </c>
      <c r="I7" s="65">
        <v>2030</v>
      </c>
      <c r="J7" s="65">
        <v>2035</v>
      </c>
      <c r="K7" s="65">
        <v>2040</v>
      </c>
      <c r="L7" s="65">
        <v>2045</v>
      </c>
      <c r="M7" s="65">
        <v>2050</v>
      </c>
      <c r="N7" s="888" t="s">
        <v>1371</v>
      </c>
      <c r="O7" s="65" t="s">
        <v>1372</v>
      </c>
      <c r="P7" s="888" t="s">
        <v>1373</v>
      </c>
      <c r="Q7" s="888">
        <v>2010</v>
      </c>
      <c r="R7" s="65">
        <v>2011</v>
      </c>
      <c r="S7" s="888">
        <v>2012</v>
      </c>
      <c r="T7" s="65">
        <v>2013</v>
      </c>
      <c r="U7" s="888">
        <v>2014</v>
      </c>
      <c r="V7" s="65">
        <v>2015</v>
      </c>
      <c r="W7" s="888">
        <v>2016</v>
      </c>
      <c r="X7" s="65">
        <v>2017</v>
      </c>
      <c r="Y7" s="888">
        <v>2018</v>
      </c>
      <c r="Z7" s="65">
        <v>2019</v>
      </c>
      <c r="AA7" s="888">
        <v>2020</v>
      </c>
      <c r="AB7" s="65">
        <v>2021</v>
      </c>
      <c r="AC7" s="888">
        <v>2022</v>
      </c>
      <c r="AD7" s="65">
        <v>2023</v>
      </c>
      <c r="AE7" s="888">
        <v>2024</v>
      </c>
      <c r="AF7" s="65">
        <v>2025</v>
      </c>
      <c r="AG7" s="888">
        <v>2026</v>
      </c>
      <c r="AH7" s="65">
        <v>2027</v>
      </c>
      <c r="AI7" s="888">
        <v>2028</v>
      </c>
      <c r="AJ7" s="65">
        <v>2029</v>
      </c>
      <c r="AK7" s="888">
        <v>2030</v>
      </c>
      <c r="AL7" s="65">
        <v>2031</v>
      </c>
      <c r="AM7" s="888">
        <v>2032</v>
      </c>
      <c r="AN7" s="65">
        <v>2033</v>
      </c>
      <c r="AO7" s="888">
        <v>2034</v>
      </c>
      <c r="AP7" s="65">
        <v>2035</v>
      </c>
      <c r="AQ7" s="888">
        <v>2036</v>
      </c>
      <c r="AR7" s="65">
        <v>2037</v>
      </c>
      <c r="AS7" s="888">
        <v>2038</v>
      </c>
      <c r="AT7" s="65">
        <v>2039</v>
      </c>
      <c r="AU7" s="888">
        <v>2040</v>
      </c>
      <c r="AV7" s="65">
        <v>2041</v>
      </c>
      <c r="AW7" s="888">
        <v>2042</v>
      </c>
      <c r="AX7" s="65">
        <v>2043</v>
      </c>
      <c r="AY7" s="888">
        <v>2044</v>
      </c>
      <c r="AZ7" s="65">
        <v>2045</v>
      </c>
      <c r="BA7" s="888">
        <v>2046</v>
      </c>
      <c r="BB7" s="65">
        <v>2047</v>
      </c>
      <c r="BC7" s="888">
        <v>2048</v>
      </c>
      <c r="BD7" s="65">
        <v>2049</v>
      </c>
      <c r="BE7" s="888">
        <v>2050</v>
      </c>
    </row>
    <row r="8" spans="1:57" x14ac:dyDescent="0.25">
      <c r="B8" t="s">
        <v>1374</v>
      </c>
      <c r="C8" s="957"/>
      <c r="D8" s="957">
        <v>20500</v>
      </c>
      <c r="E8" s="957">
        <v>16600</v>
      </c>
      <c r="F8" s="957">
        <v>14700</v>
      </c>
    </row>
    <row r="9" spans="1:57" x14ac:dyDescent="0.25">
      <c r="B9" t="s">
        <v>1375</v>
      </c>
      <c r="C9" s="957"/>
      <c r="D9" s="957">
        <v>20500</v>
      </c>
      <c r="E9" s="957">
        <v>16100</v>
      </c>
      <c r="F9" s="957">
        <v>14100</v>
      </c>
    </row>
    <row r="10" spans="1:57" x14ac:dyDescent="0.25">
      <c r="B10" t="s">
        <v>1376</v>
      </c>
      <c r="C10" s="957"/>
      <c r="D10" s="957">
        <v>20500</v>
      </c>
      <c r="E10" s="957">
        <v>15600</v>
      </c>
      <c r="F10" s="957">
        <v>13700</v>
      </c>
    </row>
    <row r="11" spans="1:57" x14ac:dyDescent="0.25">
      <c r="A11" t="s">
        <v>692</v>
      </c>
      <c r="B11" t="s">
        <v>1319</v>
      </c>
      <c r="C11" s="958">
        <f>_xlfn.FORECAST.LINEAR(G$7,D$11:E$11,$D$7:$E$7)</f>
        <v>1.0475609756097555</v>
      </c>
      <c r="D11" s="889">
        <f t="shared" ref="D11:F13" si="0">D8/$D8</f>
        <v>1</v>
      </c>
      <c r="E11" s="889">
        <f t="shared" si="0"/>
        <v>0.80975609756097566</v>
      </c>
      <c r="F11" s="889">
        <f t="shared" si="0"/>
        <v>0.71707317073170729</v>
      </c>
      <c r="G11" s="959">
        <f>INDEX($Q11:$BE11,1,MATCH(G$7,$Q$7:$BE$7,0))/$C11</f>
        <v>1</v>
      </c>
      <c r="H11" s="959">
        <f t="shared" ref="H11:M13" si="1">INDEX($Q11:$BE11,1,MATCH(H$7,$Q$7:$BE$7,0))/$C11</f>
        <v>0.88649592549476275</v>
      </c>
      <c r="I11" s="959">
        <f t="shared" si="1"/>
        <v>0.7729918509895255</v>
      </c>
      <c r="J11" s="959">
        <f t="shared" si="1"/>
        <v>0.75087310826542586</v>
      </c>
      <c r="K11" s="959">
        <f t="shared" si="1"/>
        <v>0.72875436554132778</v>
      </c>
      <c r="L11" s="959">
        <f t="shared" si="1"/>
        <v>0.7066356228172298</v>
      </c>
      <c r="M11" s="959">
        <f t="shared" si="1"/>
        <v>0.68451688009313172</v>
      </c>
      <c r="N11" s="194" t="e">
        <f>(D11-#REF!)/(D$7-#REF!)</f>
        <v>#REF!</v>
      </c>
      <c r="O11" s="194">
        <f t="shared" ref="O11:P13" si="2">(E11-D11)/(E$7-D$7)</f>
        <v>-2.3780487804878042E-2</v>
      </c>
      <c r="P11" s="194">
        <f t="shared" si="2"/>
        <v>-4.6341463414634188E-3</v>
      </c>
      <c r="Q11" s="194">
        <f t="shared" ref="Q11:AC13" si="3">_xlfn.FORECAST.LINEAR(Q$7,$C11:$D11,$C$7:$D$7)</f>
        <v>1.2853658536585328</v>
      </c>
      <c r="R11" s="194">
        <f t="shared" si="3"/>
        <v>1.2615853658536551</v>
      </c>
      <c r="S11" s="194">
        <f t="shared" si="3"/>
        <v>1.2378048780487774</v>
      </c>
      <c r="T11" s="194">
        <f t="shared" si="3"/>
        <v>1.2140243902438996</v>
      </c>
      <c r="U11" s="194">
        <f t="shared" si="3"/>
        <v>1.1902439024390219</v>
      </c>
      <c r="V11" s="194">
        <f t="shared" si="3"/>
        <v>1.1664634146341442</v>
      </c>
      <c r="W11" s="194">
        <f t="shared" si="3"/>
        <v>1.1426829268292664</v>
      </c>
      <c r="X11" s="194">
        <f t="shared" si="3"/>
        <v>1.1189024390243887</v>
      </c>
      <c r="Y11" s="194">
        <f t="shared" si="3"/>
        <v>1.0951219512195109</v>
      </c>
      <c r="Z11" s="194">
        <f t="shared" si="3"/>
        <v>1.0713414634146332</v>
      </c>
      <c r="AA11" s="194">
        <f t="shared" si="3"/>
        <v>1.0475609756097555</v>
      </c>
      <c r="AB11" s="194">
        <f t="shared" si="3"/>
        <v>1.0237804878048777</v>
      </c>
      <c r="AC11" s="194">
        <f t="shared" si="3"/>
        <v>1</v>
      </c>
      <c r="AD11" s="194">
        <f t="shared" ref="AD11:AK13" si="4">_xlfn.FORECAST.LINEAR(AD$7,$D11:$E11,$D$7:$E$7)</f>
        <v>0.97621951219512226</v>
      </c>
      <c r="AE11" s="194">
        <f t="shared" si="4"/>
        <v>0.95243902439024453</v>
      </c>
      <c r="AF11" s="194">
        <f t="shared" si="4"/>
        <v>0.92865853658536679</v>
      </c>
      <c r="AG11" s="194">
        <f t="shared" si="4"/>
        <v>0.90487804878048905</v>
      </c>
      <c r="AH11" s="194">
        <f t="shared" si="4"/>
        <v>0.88109756097561132</v>
      </c>
      <c r="AI11" s="194">
        <f t="shared" si="4"/>
        <v>0.85731707317073358</v>
      </c>
      <c r="AJ11" s="194">
        <f t="shared" si="4"/>
        <v>0.83353658536585584</v>
      </c>
      <c r="AK11" s="194">
        <f t="shared" si="4"/>
        <v>0.80975609756097811</v>
      </c>
      <c r="AL11" s="194">
        <f t="shared" ref="AL11:AU13" si="5">_xlfn.FORECAST.LINEAR(AL$7,$E11:$F11,$E$7:$F$7)</f>
        <v>0.8051219512195118</v>
      </c>
      <c r="AM11" s="194">
        <f t="shared" si="5"/>
        <v>0.80048780487804905</v>
      </c>
      <c r="AN11" s="194">
        <f t="shared" si="5"/>
        <v>0.79585365853658629</v>
      </c>
      <c r="AO11" s="194">
        <f t="shared" si="5"/>
        <v>0.79121951219512177</v>
      </c>
      <c r="AP11" s="194">
        <f t="shared" si="5"/>
        <v>0.78658536585365901</v>
      </c>
      <c r="AQ11" s="194">
        <f t="shared" si="5"/>
        <v>0.78195121951219448</v>
      </c>
      <c r="AR11" s="194">
        <f t="shared" si="5"/>
        <v>0.77731707317073173</v>
      </c>
      <c r="AS11" s="194">
        <f t="shared" si="5"/>
        <v>0.77268292682926898</v>
      </c>
      <c r="AT11" s="194">
        <f t="shared" si="5"/>
        <v>0.76804878048780445</v>
      </c>
      <c r="AU11" s="194">
        <f t="shared" si="5"/>
        <v>0.7634146341463417</v>
      </c>
      <c r="AV11" s="194">
        <f t="shared" ref="AV11:BE13" si="6">_xlfn.FORECAST.LINEAR(AV$7,$E11:$F11,$E$7:$F$7)</f>
        <v>0.75878048780487894</v>
      </c>
      <c r="AW11" s="194">
        <f t="shared" si="6"/>
        <v>0.75414634146341442</v>
      </c>
      <c r="AX11" s="194">
        <f t="shared" si="6"/>
        <v>0.74951219512195166</v>
      </c>
      <c r="AY11" s="194">
        <f t="shared" si="6"/>
        <v>0.74487804878048891</v>
      </c>
      <c r="AZ11" s="194">
        <f t="shared" si="6"/>
        <v>0.74024390243902438</v>
      </c>
      <c r="BA11" s="194">
        <f t="shared" si="6"/>
        <v>0.73560975609756163</v>
      </c>
      <c r="BB11" s="194">
        <f t="shared" si="6"/>
        <v>0.7309756097560971</v>
      </c>
      <c r="BC11" s="194">
        <f t="shared" si="6"/>
        <v>0.72634146341463435</v>
      </c>
      <c r="BD11" s="194">
        <f t="shared" si="6"/>
        <v>0.72170731707317159</v>
      </c>
      <c r="BE11" s="194">
        <f t="shared" si="6"/>
        <v>0.71707317073170707</v>
      </c>
    </row>
    <row r="12" spans="1:57" x14ac:dyDescent="0.25">
      <c r="A12" t="s">
        <v>692</v>
      </c>
      <c r="B12" t="s">
        <v>1377</v>
      </c>
      <c r="C12" s="958">
        <f>_xlfn.FORECAST.LINEAR(G$7,D$11:E$11,$D$7:$E$7)</f>
        <v>1.0475609756097555</v>
      </c>
      <c r="D12" s="889">
        <f t="shared" si="0"/>
        <v>1</v>
      </c>
      <c r="E12" s="889">
        <f t="shared" si="0"/>
        <v>0.78536585365853662</v>
      </c>
      <c r="F12" s="889">
        <f t="shared" si="0"/>
        <v>0.68780487804878043</v>
      </c>
      <c r="G12" s="959">
        <f t="shared" ref="G12:G13" si="7">INDEX($Q12:$BE12,1,MATCH(G$7,$Q$7:$BE$7,0))/$C12</f>
        <v>1</v>
      </c>
      <c r="H12" s="959">
        <f t="shared" si="1"/>
        <v>0.87776484284050804</v>
      </c>
      <c r="I12" s="959">
        <f t="shared" si="1"/>
        <v>0.74970896391152186</v>
      </c>
      <c r="J12" s="959">
        <f t="shared" si="1"/>
        <v>0.72642607683352678</v>
      </c>
      <c r="K12" s="959">
        <f t="shared" si="1"/>
        <v>0.70314318975552992</v>
      </c>
      <c r="L12" s="959">
        <f t="shared" si="1"/>
        <v>0.67986030267753306</v>
      </c>
      <c r="M12" s="959">
        <f t="shared" si="1"/>
        <v>0.65657741559953442</v>
      </c>
      <c r="N12" s="194" t="e">
        <f>(D12-#REF!)/(D$7-#REF!)</f>
        <v>#REF!</v>
      </c>
      <c r="O12" s="194">
        <f t="shared" si="2"/>
        <v>-2.6829268292682923E-2</v>
      </c>
      <c r="P12" s="194">
        <f t="shared" si="2"/>
        <v>-4.8780487804878092E-3</v>
      </c>
      <c r="Q12" s="194">
        <f t="shared" si="3"/>
        <v>1.2853658536585328</v>
      </c>
      <c r="R12" s="194">
        <f t="shared" si="3"/>
        <v>1.2615853658536551</v>
      </c>
      <c r="S12" s="194">
        <f t="shared" si="3"/>
        <v>1.2378048780487774</v>
      </c>
      <c r="T12" s="194">
        <f t="shared" si="3"/>
        <v>1.2140243902438996</v>
      </c>
      <c r="U12" s="194">
        <f t="shared" si="3"/>
        <v>1.1902439024390219</v>
      </c>
      <c r="V12" s="194">
        <f t="shared" si="3"/>
        <v>1.1664634146341442</v>
      </c>
      <c r="W12" s="194">
        <f t="shared" si="3"/>
        <v>1.1426829268292664</v>
      </c>
      <c r="X12" s="194">
        <f t="shared" si="3"/>
        <v>1.1189024390243887</v>
      </c>
      <c r="Y12" s="194">
        <f t="shared" si="3"/>
        <v>1.0951219512195109</v>
      </c>
      <c r="Z12" s="194">
        <f t="shared" si="3"/>
        <v>1.0713414634146332</v>
      </c>
      <c r="AA12" s="194">
        <f t="shared" si="3"/>
        <v>1.0475609756097555</v>
      </c>
      <c r="AB12" s="194">
        <f t="shared" si="3"/>
        <v>1.0237804878048777</v>
      </c>
      <c r="AC12" s="194">
        <f t="shared" si="3"/>
        <v>1</v>
      </c>
      <c r="AD12" s="194">
        <f t="shared" si="4"/>
        <v>0.97317073170731305</v>
      </c>
      <c r="AE12" s="194">
        <f t="shared" si="4"/>
        <v>0.94634146341462611</v>
      </c>
      <c r="AF12" s="194">
        <f t="shared" si="4"/>
        <v>0.91951219512194626</v>
      </c>
      <c r="AG12" s="194">
        <f t="shared" si="4"/>
        <v>0.89268292682926642</v>
      </c>
      <c r="AH12" s="194">
        <f t="shared" si="4"/>
        <v>0.86585365853657947</v>
      </c>
      <c r="AI12" s="194">
        <f t="shared" si="4"/>
        <v>0.83902439024389963</v>
      </c>
      <c r="AJ12" s="194">
        <f t="shared" si="4"/>
        <v>0.81219512195121268</v>
      </c>
      <c r="AK12" s="194">
        <f t="shared" si="4"/>
        <v>0.78536585365853284</v>
      </c>
      <c r="AL12" s="194">
        <f t="shared" si="5"/>
        <v>0.7804878048780477</v>
      </c>
      <c r="AM12" s="194">
        <f t="shared" si="5"/>
        <v>0.77560975609756078</v>
      </c>
      <c r="AN12" s="194">
        <f t="shared" si="5"/>
        <v>0.77073170731707386</v>
      </c>
      <c r="AO12" s="194">
        <f t="shared" si="5"/>
        <v>0.76585365853658516</v>
      </c>
      <c r="AP12" s="194">
        <f t="shared" si="5"/>
        <v>0.76097560975609646</v>
      </c>
      <c r="AQ12" s="194">
        <f t="shared" si="5"/>
        <v>0.75609756097560954</v>
      </c>
      <c r="AR12" s="194">
        <f t="shared" si="5"/>
        <v>0.75121951219512262</v>
      </c>
      <c r="AS12" s="194">
        <f t="shared" si="5"/>
        <v>0.74634146341463392</v>
      </c>
      <c r="AT12" s="194">
        <f t="shared" si="5"/>
        <v>0.74146341463414522</v>
      </c>
      <c r="AU12" s="194">
        <f t="shared" si="5"/>
        <v>0.7365853658536583</v>
      </c>
      <c r="AV12" s="194">
        <f t="shared" si="6"/>
        <v>0.73170731707317138</v>
      </c>
      <c r="AW12" s="194">
        <f t="shared" si="6"/>
        <v>0.72682926829268268</v>
      </c>
      <c r="AX12" s="194">
        <f t="shared" si="6"/>
        <v>0.72195121951219399</v>
      </c>
      <c r="AY12" s="194">
        <f t="shared" si="6"/>
        <v>0.71707317073170707</v>
      </c>
      <c r="AZ12" s="194">
        <f t="shared" si="6"/>
        <v>0.71219512195122014</v>
      </c>
      <c r="BA12" s="194">
        <f t="shared" si="6"/>
        <v>0.70731707317073145</v>
      </c>
      <c r="BB12" s="194">
        <f t="shared" si="6"/>
        <v>0.70243902439024275</v>
      </c>
      <c r="BC12" s="194">
        <f t="shared" si="6"/>
        <v>0.69756097560975583</v>
      </c>
      <c r="BD12" s="194">
        <f t="shared" si="6"/>
        <v>0.69268292682926891</v>
      </c>
      <c r="BE12" s="194">
        <f t="shared" si="6"/>
        <v>0.68780487804878021</v>
      </c>
    </row>
    <row r="13" spans="1:57" x14ac:dyDescent="0.25">
      <c r="A13" t="s">
        <v>692</v>
      </c>
      <c r="B13" t="s">
        <v>1378</v>
      </c>
      <c r="C13" s="958">
        <f>_xlfn.FORECAST.LINEAR(G$7,D$11:E$11,$D$7:$E$7)</f>
        <v>1.0475609756097555</v>
      </c>
      <c r="D13" s="889">
        <f t="shared" si="0"/>
        <v>1</v>
      </c>
      <c r="E13" s="889">
        <f t="shared" si="0"/>
        <v>0.76097560975609757</v>
      </c>
      <c r="F13" s="889">
        <f t="shared" si="0"/>
        <v>0.66829268292682931</v>
      </c>
      <c r="G13" s="959">
        <f t="shared" si="7"/>
        <v>1</v>
      </c>
      <c r="H13" s="959">
        <f t="shared" si="1"/>
        <v>0.86903376018626677</v>
      </c>
      <c r="I13" s="959">
        <f t="shared" si="1"/>
        <v>0.72642607683353178</v>
      </c>
      <c r="J13" s="959">
        <f t="shared" si="1"/>
        <v>0.70430733410943036</v>
      </c>
      <c r="K13" s="959">
        <f t="shared" si="1"/>
        <v>0.68218859138533239</v>
      </c>
      <c r="L13" s="959">
        <f t="shared" si="1"/>
        <v>0.6600698486612343</v>
      </c>
      <c r="M13" s="959">
        <f t="shared" si="1"/>
        <v>0.63795110593713633</v>
      </c>
      <c r="N13" s="194" t="e">
        <f>(D13-#REF!)/(D$7-#REF!)</f>
        <v>#REF!</v>
      </c>
      <c r="O13" s="194">
        <f t="shared" si="2"/>
        <v>-2.9878048780487804E-2</v>
      </c>
      <c r="P13" s="194">
        <f t="shared" si="2"/>
        <v>-4.6341463414634135E-3</v>
      </c>
      <c r="Q13" s="194">
        <f t="shared" si="3"/>
        <v>1.2853658536585328</v>
      </c>
      <c r="R13" s="194">
        <f t="shared" si="3"/>
        <v>1.2615853658536551</v>
      </c>
      <c r="S13" s="194">
        <f t="shared" si="3"/>
        <v>1.2378048780487774</v>
      </c>
      <c r="T13" s="194">
        <f t="shared" si="3"/>
        <v>1.2140243902438996</v>
      </c>
      <c r="U13" s="194">
        <f t="shared" si="3"/>
        <v>1.1902439024390219</v>
      </c>
      <c r="V13" s="194">
        <f t="shared" si="3"/>
        <v>1.1664634146341442</v>
      </c>
      <c r="W13" s="194">
        <f t="shared" si="3"/>
        <v>1.1426829268292664</v>
      </c>
      <c r="X13" s="194">
        <f t="shared" si="3"/>
        <v>1.1189024390243887</v>
      </c>
      <c r="Y13" s="194">
        <f t="shared" si="3"/>
        <v>1.0951219512195109</v>
      </c>
      <c r="Z13" s="194">
        <f t="shared" si="3"/>
        <v>1.0713414634146332</v>
      </c>
      <c r="AA13" s="194">
        <f t="shared" si="3"/>
        <v>1.0475609756097555</v>
      </c>
      <c r="AB13" s="194">
        <f t="shared" si="3"/>
        <v>1.0237804878048777</v>
      </c>
      <c r="AC13" s="194">
        <f t="shared" si="3"/>
        <v>1</v>
      </c>
      <c r="AD13" s="194">
        <f t="shared" si="4"/>
        <v>0.97012195121951805</v>
      </c>
      <c r="AE13" s="194">
        <f t="shared" si="4"/>
        <v>0.940243902439029</v>
      </c>
      <c r="AF13" s="194">
        <f t="shared" si="4"/>
        <v>0.91036585365853995</v>
      </c>
      <c r="AG13" s="194">
        <f t="shared" si="4"/>
        <v>0.88048780487805089</v>
      </c>
      <c r="AH13" s="194">
        <f t="shared" si="4"/>
        <v>0.85060975609756184</v>
      </c>
      <c r="AI13" s="194">
        <f t="shared" si="4"/>
        <v>0.82073170731707279</v>
      </c>
      <c r="AJ13" s="194">
        <f t="shared" si="4"/>
        <v>0.79085365853659084</v>
      </c>
      <c r="AK13" s="194">
        <f t="shared" si="4"/>
        <v>0.76097560975610179</v>
      </c>
      <c r="AL13" s="194">
        <f t="shared" si="5"/>
        <v>0.75634146341463371</v>
      </c>
      <c r="AM13" s="194">
        <f t="shared" si="5"/>
        <v>0.75170731707317096</v>
      </c>
      <c r="AN13" s="194">
        <f t="shared" si="5"/>
        <v>0.7470731707317082</v>
      </c>
      <c r="AO13" s="194">
        <f t="shared" si="5"/>
        <v>0.74243902439024367</v>
      </c>
      <c r="AP13" s="194">
        <f t="shared" si="5"/>
        <v>0.73780487804878092</v>
      </c>
      <c r="AQ13" s="194">
        <f t="shared" si="5"/>
        <v>0.73317073170731639</v>
      </c>
      <c r="AR13" s="194">
        <f t="shared" si="5"/>
        <v>0.72853658536585364</v>
      </c>
      <c r="AS13" s="194">
        <f t="shared" si="5"/>
        <v>0.72390243902439089</v>
      </c>
      <c r="AT13" s="194">
        <f t="shared" si="5"/>
        <v>0.71926829268292636</v>
      </c>
      <c r="AU13" s="194">
        <f t="shared" si="5"/>
        <v>0.71463414634146361</v>
      </c>
      <c r="AV13" s="194">
        <f t="shared" si="6"/>
        <v>0.71000000000000085</v>
      </c>
      <c r="AW13" s="194">
        <f t="shared" si="6"/>
        <v>0.70536585365853632</v>
      </c>
      <c r="AX13" s="194">
        <f t="shared" si="6"/>
        <v>0.70073170731707357</v>
      </c>
      <c r="AY13" s="194">
        <f t="shared" si="6"/>
        <v>0.69609756097560904</v>
      </c>
      <c r="AZ13" s="194">
        <f t="shared" si="6"/>
        <v>0.69146341463414629</v>
      </c>
      <c r="BA13" s="194">
        <f t="shared" si="6"/>
        <v>0.68682926829268354</v>
      </c>
      <c r="BB13" s="194">
        <f t="shared" si="6"/>
        <v>0.68219512195121901</v>
      </c>
      <c r="BC13" s="194">
        <f t="shared" si="6"/>
        <v>0.67756097560975626</v>
      </c>
      <c r="BD13" s="194">
        <f t="shared" si="6"/>
        <v>0.6729268292682935</v>
      </c>
      <c r="BE13" s="194">
        <f t="shared" si="6"/>
        <v>0.66829268292682897</v>
      </c>
    </row>
    <row r="14" spans="1:57" x14ac:dyDescent="0.25">
      <c r="B14" t="s">
        <v>1374</v>
      </c>
      <c r="C14" s="957"/>
      <c r="D14" s="957">
        <v>16800</v>
      </c>
      <c r="E14" s="957">
        <v>15300</v>
      </c>
      <c r="F14" s="957">
        <v>15400</v>
      </c>
      <c r="G14" s="74"/>
      <c r="H14" s="74"/>
      <c r="I14" s="74"/>
      <c r="J14" s="74"/>
      <c r="K14" s="74"/>
      <c r="L14" s="74"/>
      <c r="M14" s="74"/>
    </row>
    <row r="15" spans="1:57" x14ac:dyDescent="0.25">
      <c r="B15" t="s">
        <v>1375</v>
      </c>
      <c r="C15" s="957"/>
      <c r="D15" s="957">
        <v>16800</v>
      </c>
      <c r="E15" s="957">
        <v>15200</v>
      </c>
      <c r="F15" s="957">
        <v>15300</v>
      </c>
      <c r="G15" s="74"/>
      <c r="H15" s="74"/>
      <c r="I15" s="74"/>
      <c r="J15" s="74"/>
      <c r="K15" s="74"/>
      <c r="L15" s="74"/>
      <c r="M15" s="74"/>
    </row>
    <row r="16" spans="1:57" x14ac:dyDescent="0.25">
      <c r="B16" t="s">
        <v>1376</v>
      </c>
      <c r="C16" s="957"/>
      <c r="D16" s="957">
        <v>16800</v>
      </c>
      <c r="E16" s="957">
        <v>15100</v>
      </c>
      <c r="F16" s="957">
        <v>15200</v>
      </c>
      <c r="G16" s="74"/>
      <c r="H16" s="74"/>
      <c r="I16" s="74"/>
      <c r="J16" s="74"/>
      <c r="K16" s="74"/>
      <c r="L16" s="74"/>
      <c r="M16" s="74"/>
    </row>
    <row r="17" spans="1:57" x14ac:dyDescent="0.25">
      <c r="A17" t="s">
        <v>1318</v>
      </c>
      <c r="B17" t="s">
        <v>1319</v>
      </c>
      <c r="C17" s="958">
        <f>_xlfn.FORECAST.LINEAR(G$7,D$11:E$11,$D$7:$E$7)</f>
        <v>1.0475609756097555</v>
      </c>
      <c r="D17" s="889">
        <f t="shared" ref="D17:F19" si="8">D14/$D14</f>
        <v>1</v>
      </c>
      <c r="E17" s="889">
        <f t="shared" si="8"/>
        <v>0.9107142857142857</v>
      </c>
      <c r="F17" s="889">
        <f t="shared" si="8"/>
        <v>0.91666666666666663</v>
      </c>
      <c r="G17" s="959">
        <f>INDEX($Q17:$BE17,1,MATCH(G$7,$Q$7:$BE$7,0))/$C17</f>
        <v>1</v>
      </c>
      <c r="H17" s="959">
        <f t="shared" ref="H17:M19" si="9">INDEX($Q17:$BE17,1,MATCH(H$7,$Q$7:$BE$7,0))/$C17</f>
        <v>0.92263637119574016</v>
      </c>
      <c r="I17" s="959">
        <f t="shared" si="9"/>
        <v>0.86936637285880547</v>
      </c>
      <c r="J17" s="959">
        <f t="shared" si="9"/>
        <v>0.87078690614779142</v>
      </c>
      <c r="K17" s="959">
        <f t="shared" si="9"/>
        <v>0.87220743943677637</v>
      </c>
      <c r="L17" s="959">
        <f t="shared" si="9"/>
        <v>0.87362797272576131</v>
      </c>
      <c r="M17" s="959">
        <f t="shared" si="9"/>
        <v>0.87504850601474626</v>
      </c>
      <c r="N17" s="194" t="e">
        <f>(D17-#REF!)/(D$7-#REF!)</f>
        <v>#REF!</v>
      </c>
      <c r="O17" s="194">
        <f t="shared" ref="O17:P19" si="10">(E17-D17)/(E$7-D$7)</f>
        <v>-1.1160714285714288E-2</v>
      </c>
      <c r="P17" s="194">
        <f t="shared" si="10"/>
        <v>2.9761904761904656E-4</v>
      </c>
      <c r="Q17" s="194">
        <f t="shared" ref="Q17:AC19" si="11">_xlfn.FORECAST.LINEAR(Q$7,$C17:$D17,$C$7:$D$7)</f>
        <v>1.2853658536585328</v>
      </c>
      <c r="R17" s="194">
        <f t="shared" si="11"/>
        <v>1.2615853658536551</v>
      </c>
      <c r="S17" s="194">
        <f t="shared" si="11"/>
        <v>1.2378048780487774</v>
      </c>
      <c r="T17" s="194">
        <f t="shared" si="11"/>
        <v>1.2140243902438996</v>
      </c>
      <c r="U17" s="194">
        <f t="shared" si="11"/>
        <v>1.1902439024390219</v>
      </c>
      <c r="V17" s="194">
        <f t="shared" si="11"/>
        <v>1.1664634146341442</v>
      </c>
      <c r="W17" s="194">
        <f t="shared" si="11"/>
        <v>1.1426829268292664</v>
      </c>
      <c r="X17" s="194">
        <f t="shared" si="11"/>
        <v>1.1189024390243887</v>
      </c>
      <c r="Y17" s="194">
        <f t="shared" si="11"/>
        <v>1.0951219512195109</v>
      </c>
      <c r="Z17" s="194">
        <f t="shared" si="11"/>
        <v>1.0713414634146332</v>
      </c>
      <c r="AA17" s="194">
        <f t="shared" si="11"/>
        <v>1.0475609756097555</v>
      </c>
      <c r="AB17" s="194">
        <f t="shared" si="11"/>
        <v>1.0237804878048777</v>
      </c>
      <c r="AC17" s="194">
        <f t="shared" si="11"/>
        <v>1</v>
      </c>
      <c r="AD17" s="194">
        <f t="shared" ref="AD17:AK19" si="12">_xlfn.FORECAST.LINEAR(AD$7,$D17:$E17,$D$7:$E$7)</f>
        <v>0.9888392857142847</v>
      </c>
      <c r="AE17" s="194">
        <f t="shared" si="12"/>
        <v>0.9776785714285694</v>
      </c>
      <c r="AF17" s="194">
        <f t="shared" si="12"/>
        <v>0.9665178571428541</v>
      </c>
      <c r="AG17" s="194">
        <f t="shared" si="12"/>
        <v>0.95535714285714235</v>
      </c>
      <c r="AH17" s="194">
        <f t="shared" si="12"/>
        <v>0.94419642857142705</v>
      </c>
      <c r="AI17" s="194">
        <f t="shared" si="12"/>
        <v>0.93303571428571175</v>
      </c>
      <c r="AJ17" s="194">
        <f t="shared" si="12"/>
        <v>0.921875</v>
      </c>
      <c r="AK17" s="194">
        <f t="shared" si="12"/>
        <v>0.9107142857142847</v>
      </c>
      <c r="AL17" s="194">
        <f t="shared" ref="AL17:AU19" si="13">_xlfn.FORECAST.LINEAR(AL$7,$E17:$F17,$E$7:$F$7)</f>
        <v>0.91101190476190474</v>
      </c>
      <c r="AM17" s="194">
        <f t="shared" si="13"/>
        <v>0.91130952380952379</v>
      </c>
      <c r="AN17" s="194">
        <f t="shared" si="13"/>
        <v>0.91160714285714284</v>
      </c>
      <c r="AO17" s="194">
        <f t="shared" si="13"/>
        <v>0.91190476190476188</v>
      </c>
      <c r="AP17" s="194">
        <f t="shared" si="13"/>
        <v>0.91220238095238093</v>
      </c>
      <c r="AQ17" s="194">
        <f t="shared" si="13"/>
        <v>0.91249999999999998</v>
      </c>
      <c r="AR17" s="194">
        <f t="shared" si="13"/>
        <v>0.91279761904761902</v>
      </c>
      <c r="AS17" s="194">
        <f t="shared" si="13"/>
        <v>0.91309523809523807</v>
      </c>
      <c r="AT17" s="194">
        <f t="shared" si="13"/>
        <v>0.91339285714285712</v>
      </c>
      <c r="AU17" s="194">
        <f t="shared" si="13"/>
        <v>0.91369047619047616</v>
      </c>
      <c r="AV17" s="194">
        <f t="shared" ref="AV17:BE19" si="14">_xlfn.FORECAST.LINEAR(AV$7,$E17:$F17,$E$7:$F$7)</f>
        <v>0.91398809523809521</v>
      </c>
      <c r="AW17" s="194">
        <f t="shared" si="14"/>
        <v>0.91428571428571426</v>
      </c>
      <c r="AX17" s="194">
        <f t="shared" si="14"/>
        <v>0.9145833333333333</v>
      </c>
      <c r="AY17" s="194">
        <f t="shared" si="14"/>
        <v>0.91488095238095235</v>
      </c>
      <c r="AZ17" s="194">
        <f t="shared" si="14"/>
        <v>0.9151785714285714</v>
      </c>
      <c r="BA17" s="194">
        <f t="shared" si="14"/>
        <v>0.91547619047619044</v>
      </c>
      <c r="BB17" s="194">
        <f t="shared" si="14"/>
        <v>0.91577380952380949</v>
      </c>
      <c r="BC17" s="194">
        <f t="shared" si="14"/>
        <v>0.91607142857142854</v>
      </c>
      <c r="BD17" s="194">
        <f t="shared" si="14"/>
        <v>0.91636904761904758</v>
      </c>
      <c r="BE17" s="194">
        <f t="shared" si="14"/>
        <v>0.91666666666666663</v>
      </c>
    </row>
    <row r="18" spans="1:57" x14ac:dyDescent="0.25">
      <c r="A18" t="s">
        <v>1318</v>
      </c>
      <c r="B18" t="s">
        <v>1377</v>
      </c>
      <c r="C18" s="958">
        <f>_xlfn.FORECAST.LINEAR(G$7,D$11:E$11,$D$7:$E$7)</f>
        <v>1.0475609756097555</v>
      </c>
      <c r="D18" s="889">
        <f t="shared" si="8"/>
        <v>1</v>
      </c>
      <c r="E18" s="889">
        <f t="shared" si="8"/>
        <v>0.90476190476190477</v>
      </c>
      <c r="F18" s="889">
        <f t="shared" si="8"/>
        <v>0.9107142857142857</v>
      </c>
      <c r="G18" s="959">
        <f t="shared" ref="G18:G19" si="15">INDEX($Q18:$BE18,1,MATCH(G$7,$Q$7:$BE$7,0))/$C18</f>
        <v>1</v>
      </c>
      <c r="H18" s="959">
        <f t="shared" si="9"/>
        <v>0.92050557126226662</v>
      </c>
      <c r="I18" s="959">
        <f t="shared" si="9"/>
        <v>0.8636842397028669</v>
      </c>
      <c r="J18" s="959">
        <f t="shared" si="9"/>
        <v>0.86510477299185151</v>
      </c>
      <c r="K18" s="959">
        <f t="shared" si="9"/>
        <v>0.86652530628083646</v>
      </c>
      <c r="L18" s="959">
        <f t="shared" si="9"/>
        <v>0.86794583956982141</v>
      </c>
      <c r="M18" s="959">
        <f t="shared" si="9"/>
        <v>0.86936637285880647</v>
      </c>
      <c r="N18" s="194" t="e">
        <f>(D18-#REF!)/(D$7-#REF!)</f>
        <v>#REF!</v>
      </c>
      <c r="O18" s="194">
        <f t="shared" si="10"/>
        <v>-1.1904761904761904E-2</v>
      </c>
      <c r="P18" s="194">
        <f t="shared" si="10"/>
        <v>2.9761904761904656E-4</v>
      </c>
      <c r="Q18" s="194">
        <f t="shared" si="11"/>
        <v>1.2853658536585328</v>
      </c>
      <c r="R18" s="194">
        <f t="shared" si="11"/>
        <v>1.2615853658536551</v>
      </c>
      <c r="S18" s="194">
        <f t="shared" si="11"/>
        <v>1.2378048780487774</v>
      </c>
      <c r="T18" s="194">
        <f t="shared" si="11"/>
        <v>1.2140243902438996</v>
      </c>
      <c r="U18" s="194">
        <f t="shared" si="11"/>
        <v>1.1902439024390219</v>
      </c>
      <c r="V18" s="194">
        <f t="shared" si="11"/>
        <v>1.1664634146341442</v>
      </c>
      <c r="W18" s="194">
        <f t="shared" si="11"/>
        <v>1.1426829268292664</v>
      </c>
      <c r="X18" s="194">
        <f t="shared" si="11"/>
        <v>1.1189024390243887</v>
      </c>
      <c r="Y18" s="194">
        <f t="shared" si="11"/>
        <v>1.0951219512195109</v>
      </c>
      <c r="Z18" s="194">
        <f t="shared" si="11"/>
        <v>1.0713414634146332</v>
      </c>
      <c r="AA18" s="194">
        <f t="shared" si="11"/>
        <v>1.0475609756097555</v>
      </c>
      <c r="AB18" s="194">
        <f t="shared" si="11"/>
        <v>1.0237804878048777</v>
      </c>
      <c r="AC18" s="194">
        <f t="shared" si="11"/>
        <v>1</v>
      </c>
      <c r="AD18" s="194">
        <f t="shared" si="12"/>
        <v>0.98809523809523725</v>
      </c>
      <c r="AE18" s="194">
        <f t="shared" si="12"/>
        <v>0.9761904761904745</v>
      </c>
      <c r="AF18" s="194">
        <f t="shared" si="12"/>
        <v>0.9642857142857153</v>
      </c>
      <c r="AG18" s="194">
        <f t="shared" si="12"/>
        <v>0.95238095238095255</v>
      </c>
      <c r="AH18" s="194">
        <f t="shared" si="12"/>
        <v>0.9404761904761898</v>
      </c>
      <c r="AI18" s="194">
        <f t="shared" si="12"/>
        <v>0.92857142857142705</v>
      </c>
      <c r="AJ18" s="194">
        <f t="shared" si="12"/>
        <v>0.9166666666666643</v>
      </c>
      <c r="AK18" s="194">
        <f t="shared" si="12"/>
        <v>0.9047619047619051</v>
      </c>
      <c r="AL18" s="194">
        <f t="shared" si="13"/>
        <v>0.90505952380952381</v>
      </c>
      <c r="AM18" s="194">
        <f t="shared" si="13"/>
        <v>0.90535714285714286</v>
      </c>
      <c r="AN18" s="194">
        <f t="shared" si="13"/>
        <v>0.90565476190476191</v>
      </c>
      <c r="AO18" s="194">
        <f t="shared" si="13"/>
        <v>0.90595238095238095</v>
      </c>
      <c r="AP18" s="194">
        <f t="shared" si="13"/>
        <v>0.90625</v>
      </c>
      <c r="AQ18" s="194">
        <f t="shared" si="13"/>
        <v>0.90654761904761905</v>
      </c>
      <c r="AR18" s="194">
        <f t="shared" si="13"/>
        <v>0.90684523809523809</v>
      </c>
      <c r="AS18" s="194">
        <f t="shared" si="13"/>
        <v>0.90714285714285714</v>
      </c>
      <c r="AT18" s="194">
        <f t="shared" si="13"/>
        <v>0.90744047619047619</v>
      </c>
      <c r="AU18" s="194">
        <f t="shared" si="13"/>
        <v>0.90773809523809523</v>
      </c>
      <c r="AV18" s="194">
        <f t="shared" si="14"/>
        <v>0.90803571428571428</v>
      </c>
      <c r="AW18" s="194">
        <f t="shared" si="14"/>
        <v>0.90833333333333333</v>
      </c>
      <c r="AX18" s="194">
        <f t="shared" si="14"/>
        <v>0.90863095238095237</v>
      </c>
      <c r="AY18" s="194">
        <f t="shared" si="14"/>
        <v>0.90892857142857142</v>
      </c>
      <c r="AZ18" s="194">
        <f t="shared" si="14"/>
        <v>0.90922619047619047</v>
      </c>
      <c r="BA18" s="194">
        <f t="shared" si="14"/>
        <v>0.90952380952380951</v>
      </c>
      <c r="BB18" s="194">
        <f t="shared" si="14"/>
        <v>0.90982142857142856</v>
      </c>
      <c r="BC18" s="194">
        <f t="shared" si="14"/>
        <v>0.91011904761904761</v>
      </c>
      <c r="BD18" s="194">
        <f t="shared" si="14"/>
        <v>0.91041666666666665</v>
      </c>
      <c r="BE18" s="194">
        <f t="shared" si="14"/>
        <v>0.9107142857142857</v>
      </c>
    </row>
    <row r="19" spans="1:57" x14ac:dyDescent="0.25">
      <c r="A19" t="s">
        <v>1318</v>
      </c>
      <c r="B19" t="s">
        <v>1378</v>
      </c>
      <c r="C19" s="958">
        <f>_xlfn.FORECAST.LINEAR(G$7,D$11:E$11,$D$7:$E$7)</f>
        <v>1.0475609756097555</v>
      </c>
      <c r="D19" s="889">
        <f t="shared" si="8"/>
        <v>1</v>
      </c>
      <c r="E19" s="889">
        <f t="shared" si="8"/>
        <v>0.89880952380952384</v>
      </c>
      <c r="F19" s="889">
        <f t="shared" si="8"/>
        <v>0.90476190476190477</v>
      </c>
      <c r="G19" s="959">
        <f t="shared" si="15"/>
        <v>1</v>
      </c>
      <c r="H19" s="959">
        <f t="shared" si="9"/>
        <v>0.91837477132878964</v>
      </c>
      <c r="I19" s="959">
        <f t="shared" si="9"/>
        <v>0.85800210654692821</v>
      </c>
      <c r="J19" s="959">
        <f t="shared" si="9"/>
        <v>0.85942263983591161</v>
      </c>
      <c r="K19" s="959">
        <f t="shared" si="9"/>
        <v>0.86084317312489655</v>
      </c>
      <c r="L19" s="959">
        <f t="shared" si="9"/>
        <v>0.86226370641388161</v>
      </c>
      <c r="M19" s="959">
        <f t="shared" si="9"/>
        <v>0.86368423970286656</v>
      </c>
      <c r="N19" s="194" t="e">
        <f>(D19-#REF!)/(D$7-#REF!)</f>
        <v>#REF!</v>
      </c>
      <c r="O19" s="194">
        <f t="shared" si="10"/>
        <v>-1.2648809523809521E-2</v>
      </c>
      <c r="P19" s="194">
        <f t="shared" si="10"/>
        <v>2.9761904761904656E-4</v>
      </c>
      <c r="Q19" s="194">
        <f t="shared" si="11"/>
        <v>1.2853658536585328</v>
      </c>
      <c r="R19" s="194">
        <f t="shared" si="11"/>
        <v>1.2615853658536551</v>
      </c>
      <c r="S19" s="194">
        <f t="shared" si="11"/>
        <v>1.2378048780487774</v>
      </c>
      <c r="T19" s="194">
        <f t="shared" si="11"/>
        <v>1.2140243902438996</v>
      </c>
      <c r="U19" s="194">
        <f t="shared" si="11"/>
        <v>1.1902439024390219</v>
      </c>
      <c r="V19" s="194">
        <f t="shared" si="11"/>
        <v>1.1664634146341442</v>
      </c>
      <c r="W19" s="194">
        <f t="shared" si="11"/>
        <v>1.1426829268292664</v>
      </c>
      <c r="X19" s="194">
        <f t="shared" si="11"/>
        <v>1.1189024390243887</v>
      </c>
      <c r="Y19" s="194">
        <f t="shared" si="11"/>
        <v>1.0951219512195109</v>
      </c>
      <c r="Z19" s="194">
        <f t="shared" si="11"/>
        <v>1.0713414634146332</v>
      </c>
      <c r="AA19" s="194">
        <f t="shared" si="11"/>
        <v>1.0475609756097555</v>
      </c>
      <c r="AB19" s="194">
        <f t="shared" si="11"/>
        <v>1.0237804878048777</v>
      </c>
      <c r="AC19" s="194">
        <f t="shared" si="11"/>
        <v>1</v>
      </c>
      <c r="AD19" s="194">
        <f t="shared" si="12"/>
        <v>0.9873511904761898</v>
      </c>
      <c r="AE19" s="194">
        <f t="shared" si="12"/>
        <v>0.9747023809523796</v>
      </c>
      <c r="AF19" s="194">
        <f t="shared" si="12"/>
        <v>0.96205357142857295</v>
      </c>
      <c r="AG19" s="194">
        <f t="shared" si="12"/>
        <v>0.94940476190476275</v>
      </c>
      <c r="AH19" s="194">
        <f t="shared" si="12"/>
        <v>0.93675595238095255</v>
      </c>
      <c r="AI19" s="194">
        <f t="shared" si="12"/>
        <v>0.92410714285714235</v>
      </c>
      <c r="AJ19" s="194">
        <f t="shared" si="12"/>
        <v>0.91145833333333215</v>
      </c>
      <c r="AK19" s="194">
        <f t="shared" si="12"/>
        <v>0.8988095238095255</v>
      </c>
      <c r="AL19" s="194">
        <f t="shared" si="13"/>
        <v>0.89910714285714288</v>
      </c>
      <c r="AM19" s="194">
        <f t="shared" si="13"/>
        <v>0.89940476190476193</v>
      </c>
      <c r="AN19" s="194">
        <f t="shared" si="13"/>
        <v>0.89970238095238098</v>
      </c>
      <c r="AO19" s="194">
        <f t="shared" si="13"/>
        <v>0.9</v>
      </c>
      <c r="AP19" s="194">
        <f t="shared" si="13"/>
        <v>0.90029761904761907</v>
      </c>
      <c r="AQ19" s="194">
        <f t="shared" si="13"/>
        <v>0.90059523809523812</v>
      </c>
      <c r="AR19" s="194">
        <f t="shared" si="13"/>
        <v>0.90089285714285716</v>
      </c>
      <c r="AS19" s="194">
        <f t="shared" si="13"/>
        <v>0.90119047619047621</v>
      </c>
      <c r="AT19" s="194">
        <f t="shared" si="13"/>
        <v>0.90148809523809526</v>
      </c>
      <c r="AU19" s="194">
        <f t="shared" si="13"/>
        <v>0.9017857142857143</v>
      </c>
      <c r="AV19" s="194">
        <f t="shared" si="14"/>
        <v>0.90208333333333335</v>
      </c>
      <c r="AW19" s="194">
        <f t="shared" si="14"/>
        <v>0.90238095238095239</v>
      </c>
      <c r="AX19" s="194">
        <f t="shared" si="14"/>
        <v>0.90267857142857144</v>
      </c>
      <c r="AY19" s="194">
        <f t="shared" si="14"/>
        <v>0.90297619047619049</v>
      </c>
      <c r="AZ19" s="194">
        <f t="shared" si="14"/>
        <v>0.90327380952380953</v>
      </c>
      <c r="BA19" s="194">
        <f t="shared" si="14"/>
        <v>0.90357142857142858</v>
      </c>
      <c r="BB19" s="194">
        <f t="shared" si="14"/>
        <v>0.90386904761904763</v>
      </c>
      <c r="BC19" s="194">
        <f t="shared" si="14"/>
        <v>0.90416666666666667</v>
      </c>
      <c r="BD19" s="194">
        <f t="shared" si="14"/>
        <v>0.90446428571428572</v>
      </c>
      <c r="BE19" s="194">
        <f t="shared" si="14"/>
        <v>0.90476190476190477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DD15-2504-4ACB-A8BE-347F20696B20}">
  <sheetPr>
    <tabColor rgb="FFAFEAFF"/>
  </sheetPr>
  <dimension ref="A1:U100"/>
  <sheetViews>
    <sheetView workbookViewId="0"/>
  </sheetViews>
  <sheetFormatPr defaultRowHeight="15" x14ac:dyDescent="0.25"/>
  <cols>
    <col min="1" max="14" width="9.140625" style="905"/>
    <col min="15" max="17" width="10.5703125" style="905" bestFit="1" customWidth="1"/>
    <col min="18" max="18" width="9.28515625" style="905" bestFit="1" customWidth="1"/>
    <col min="19" max="19" width="10.5703125" style="905" bestFit="1" customWidth="1"/>
    <col min="20" max="20" width="9.140625" style="905"/>
    <col min="21" max="21" width="10.5703125" style="905" bestFit="1" customWidth="1"/>
    <col min="22" max="16384" width="9.140625" style="905"/>
  </cols>
  <sheetData>
    <row r="1" spans="1:21" ht="26.25" x14ac:dyDescent="0.25">
      <c r="A1" s="921" t="s">
        <v>796</v>
      </c>
      <c r="B1" s="921" t="s">
        <v>1317</v>
      </c>
      <c r="C1" s="921" t="s">
        <v>1411</v>
      </c>
      <c r="D1" s="921" t="s">
        <v>586</v>
      </c>
      <c r="E1" s="921" t="s">
        <v>1410</v>
      </c>
      <c r="G1" s="920" t="s">
        <v>384</v>
      </c>
      <c r="H1" s="919" t="s">
        <v>1409</v>
      </c>
    </row>
    <row r="2" spans="1:21" x14ac:dyDescent="0.25">
      <c r="A2" s="914" t="s">
        <v>477</v>
      </c>
      <c r="B2" s="914" t="s">
        <v>1403</v>
      </c>
      <c r="C2" s="914">
        <v>2020</v>
      </c>
      <c r="D2" s="914" t="s">
        <v>1402</v>
      </c>
      <c r="E2" s="913">
        <v>122633.16</v>
      </c>
      <c r="H2" s="743" t="s">
        <v>1408</v>
      </c>
    </row>
    <row r="3" spans="1:21" x14ac:dyDescent="0.25">
      <c r="A3" s="914" t="s">
        <v>477</v>
      </c>
      <c r="B3" s="914" t="s">
        <v>1400</v>
      </c>
      <c r="C3" s="914">
        <v>2020</v>
      </c>
      <c r="D3" s="914" t="s">
        <v>1402</v>
      </c>
      <c r="E3" s="913">
        <v>77800.603999999905</v>
      </c>
    </row>
    <row r="4" spans="1:21" x14ac:dyDescent="0.25">
      <c r="A4" s="914" t="s">
        <v>477</v>
      </c>
      <c r="B4" s="914" t="s">
        <v>1400</v>
      </c>
      <c r="C4" s="914">
        <v>2025</v>
      </c>
      <c r="D4" s="914" t="s">
        <v>1402</v>
      </c>
      <c r="E4" s="913">
        <v>79211.135921093199</v>
      </c>
      <c r="G4" s="918" t="s">
        <v>586</v>
      </c>
      <c r="H4" s="905" t="s">
        <v>1402</v>
      </c>
    </row>
    <row r="5" spans="1:21" x14ac:dyDescent="0.25">
      <c r="A5" s="914" t="s">
        <v>477</v>
      </c>
      <c r="B5" s="914" t="s">
        <v>1400</v>
      </c>
      <c r="C5" s="914">
        <v>2025</v>
      </c>
      <c r="D5" s="914" t="s">
        <v>1399</v>
      </c>
      <c r="E5" s="913">
        <v>79490.601319670997</v>
      </c>
      <c r="N5" s="141" t="s">
        <v>1397</v>
      </c>
      <c r="O5" s="910">
        <v>14.898416666666668</v>
      </c>
      <c r="P5" t="s">
        <v>1398</v>
      </c>
      <c r="Q5" s="912">
        <v>15.898018718397513</v>
      </c>
      <c r="R5" t="s">
        <v>1276</v>
      </c>
      <c r="T5" s="956" t="s">
        <v>1441</v>
      </c>
    </row>
    <row r="6" spans="1:21" x14ac:dyDescent="0.25">
      <c r="A6" s="914" t="s">
        <v>692</v>
      </c>
      <c r="B6" s="914" t="s">
        <v>1400</v>
      </c>
      <c r="C6" s="914">
        <v>2025</v>
      </c>
      <c r="D6" s="914" t="s">
        <v>1402</v>
      </c>
      <c r="E6" s="913">
        <v>111239.99801395601</v>
      </c>
      <c r="G6" s="918" t="s">
        <v>1407</v>
      </c>
      <c r="H6" s="918" t="s">
        <v>1406</v>
      </c>
      <c r="P6" s="1010" t="s">
        <v>1460</v>
      </c>
      <c r="Q6" s="1011">
        <v>7.0000000000000007E-2</v>
      </c>
    </row>
    <row r="7" spans="1:21" x14ac:dyDescent="0.25">
      <c r="A7" s="914" t="s">
        <v>692</v>
      </c>
      <c r="B7" s="914" t="s">
        <v>1400</v>
      </c>
      <c r="C7" s="914">
        <v>2025</v>
      </c>
      <c r="D7" s="914" t="s">
        <v>1399</v>
      </c>
      <c r="E7" s="913">
        <v>106439.575779619</v>
      </c>
      <c r="G7" s="918" t="s">
        <v>1405</v>
      </c>
      <c r="H7" s="905">
        <v>2020</v>
      </c>
      <c r="I7" s="905">
        <v>2025</v>
      </c>
      <c r="J7" s="905">
        <v>2030</v>
      </c>
      <c r="K7" s="905">
        <v>2040</v>
      </c>
      <c r="L7" s="905">
        <v>2050</v>
      </c>
      <c r="O7" s="905">
        <v>2020</v>
      </c>
      <c r="P7" s="905">
        <v>2025</v>
      </c>
      <c r="Q7" s="905">
        <v>2030</v>
      </c>
      <c r="R7" s="905">
        <v>2035</v>
      </c>
      <c r="S7" s="905">
        <v>2040</v>
      </c>
      <c r="T7" s="905">
        <v>2045</v>
      </c>
      <c r="U7" s="905">
        <v>2050</v>
      </c>
    </row>
    <row r="8" spans="1:21" x14ac:dyDescent="0.25">
      <c r="A8" s="914" t="s">
        <v>477</v>
      </c>
      <c r="B8" s="914" t="s">
        <v>1404</v>
      </c>
      <c r="C8" s="914">
        <v>2020</v>
      </c>
      <c r="D8" s="914" t="s">
        <v>1402</v>
      </c>
      <c r="E8" s="913">
        <v>43020.603999999999</v>
      </c>
      <c r="G8" s="917" t="s">
        <v>1404</v>
      </c>
      <c r="H8" s="915"/>
      <c r="I8" s="915"/>
      <c r="J8" s="915"/>
      <c r="K8" s="915"/>
      <c r="L8" s="915"/>
    </row>
    <row r="9" spans="1:21" x14ac:dyDescent="0.25">
      <c r="A9" s="914" t="s">
        <v>477</v>
      </c>
      <c r="B9" s="914" t="s">
        <v>1404</v>
      </c>
      <c r="C9" s="914">
        <v>2025</v>
      </c>
      <c r="D9" s="914" t="s">
        <v>1402</v>
      </c>
      <c r="E9" s="913">
        <v>44383.745321968199</v>
      </c>
      <c r="G9" s="916" t="s">
        <v>692</v>
      </c>
      <c r="H9" s="915"/>
      <c r="I9" s="915">
        <v>72232.889528891203</v>
      </c>
      <c r="J9" s="915">
        <v>55751.407358742297</v>
      </c>
      <c r="K9" s="915">
        <v>47384.134484041402</v>
      </c>
      <c r="L9" s="915">
        <v>44847.297467261997</v>
      </c>
      <c r="M9" s="932" t="s">
        <v>1404</v>
      </c>
      <c r="N9" s="932" t="s">
        <v>692</v>
      </c>
      <c r="O9" s="955">
        <f>_xlfn.FORECAST.LINEAR($O$7,P9:Q9,$P$7:$Q$7)*(1+$Q$6)</f>
        <v>1614747.2011580502</v>
      </c>
      <c r="P9" s="915">
        <f>I9*$Q$5*(1+$Q$6)</f>
        <v>1228745.0179012497</v>
      </c>
      <c r="Q9" s="915">
        <f>J9*$Q$5*(1+$Q$6)</f>
        <v>948380.50200993021</v>
      </c>
      <c r="R9" s="955">
        <f>_xlfn.FORECAST.LINEAR(R$7,J9:K9,$J$7:$K$7)*$Q$5*(1+$Q$6)</f>
        <v>877213.16449052596</v>
      </c>
      <c r="S9" s="915">
        <f>K9*$Q$5*(1+$Q$6)</f>
        <v>806045.8269711202</v>
      </c>
      <c r="T9" s="955">
        <f>_xlfn.FORECAST.LINEAR(T$7,K9:L9,$K$7:$L$7)*$Q$5*(1+$Q$6)</f>
        <v>784468.91189873882</v>
      </c>
      <c r="U9" s="915">
        <f>L9*$Q$5*(1+$Q$6)</f>
        <v>762891.99682635767</v>
      </c>
    </row>
    <row r="10" spans="1:21" x14ac:dyDescent="0.25">
      <c r="A10" s="914" t="s">
        <v>477</v>
      </c>
      <c r="B10" s="914" t="s">
        <v>1404</v>
      </c>
      <c r="C10" s="914">
        <v>2025</v>
      </c>
      <c r="D10" s="914" t="s">
        <v>1399</v>
      </c>
      <c r="E10" s="913">
        <v>44270.562265589797</v>
      </c>
      <c r="G10" s="916" t="s">
        <v>477</v>
      </c>
      <c r="H10" s="915">
        <v>43020.603999999999</v>
      </c>
      <c r="I10" s="915">
        <v>44383.745321968199</v>
      </c>
      <c r="J10" s="915">
        <v>44843.888204688497</v>
      </c>
      <c r="K10" s="915">
        <v>45482.427759856801</v>
      </c>
      <c r="L10" s="915">
        <v>45038.640855104401</v>
      </c>
      <c r="M10" s="932" t="s">
        <v>1404</v>
      </c>
      <c r="N10" s="932" t="s">
        <v>687</v>
      </c>
      <c r="O10" s="915">
        <f>H10*$Q$5</f>
        <v>683942.36766876688</v>
      </c>
      <c r="P10" s="915">
        <f t="shared" ref="P10:Q10" si="0">I10*$Q$5</f>
        <v>705613.61392123846</v>
      </c>
      <c r="Q10" s="915">
        <f t="shared" si="0"/>
        <v>712928.9740838632</v>
      </c>
      <c r="R10" s="955">
        <f>_xlfn.FORECAST.LINEAR(R$7,J10:K10,$J$7:$K$7)*$Q$5</f>
        <v>718004.73098411458</v>
      </c>
      <c r="S10" s="915">
        <f>K10*$Q$5</f>
        <v>723080.48788436607</v>
      </c>
      <c r="T10" s="955">
        <f t="shared" ref="T10" si="1">_xlfn.FORECAST.LINEAR(T$7,K10:L10,$K$7:$L$7)*$Q$5</f>
        <v>719552.8216249994</v>
      </c>
      <c r="U10" s="915">
        <f>L10*$Q$5</f>
        <v>716025.15536563273</v>
      </c>
    </row>
    <row r="11" spans="1:21" x14ac:dyDescent="0.25">
      <c r="A11" s="914" t="s">
        <v>692</v>
      </c>
      <c r="B11" s="914" t="s">
        <v>1404</v>
      </c>
      <c r="C11" s="914">
        <v>2025</v>
      </c>
      <c r="D11" s="914" t="s">
        <v>1402</v>
      </c>
      <c r="E11" s="913">
        <v>72232.889528891203</v>
      </c>
      <c r="G11" s="916" t="s">
        <v>1401</v>
      </c>
      <c r="H11" s="915"/>
      <c r="I11" s="915">
        <v>64737.898672643802</v>
      </c>
      <c r="J11" s="915">
        <v>59640.0801817998</v>
      </c>
      <c r="K11" s="915">
        <v>51583.510230305903</v>
      </c>
      <c r="L11" s="915">
        <v>49792.084496843498</v>
      </c>
      <c r="M11" s="932" t="s">
        <v>1404</v>
      </c>
      <c r="N11" s="932" t="s">
        <v>699</v>
      </c>
      <c r="O11" s="955">
        <f>_xlfn.FORECAST.LINEAR($O$7,P11:Q11,$P$7:$Q$7)*(1+$Q$6)</f>
        <v>1271124.6968322673</v>
      </c>
      <c r="P11" s="915">
        <f>I11*$Q$5*(1+$Q$6)</f>
        <v>1101248.6276295315</v>
      </c>
      <c r="Q11" s="915">
        <f>J11*$Q$5*(1+$Q$6)</f>
        <v>1014530.2488737706</v>
      </c>
      <c r="R11" s="955">
        <f>_xlfn.FORECAST.LINEAR(R$7,J11:K11,$J$7:$K$7)*$Q$5*(1+$Q$6)</f>
        <v>946005.57642998523</v>
      </c>
      <c r="S11" s="915">
        <f>K11*$Q$5*(1+$Q$6)</f>
        <v>877480.9039861965</v>
      </c>
      <c r="T11" s="955">
        <f>_xlfn.FORECAST.LINEAR(T$7,K11:L11,$K$7:$L$7)*$Q$5*(1+$Q$6)</f>
        <v>862244.03987008287</v>
      </c>
      <c r="U11" s="915">
        <f>L11*$Q$5*(1+$Q$6)</f>
        <v>847007.17575396795</v>
      </c>
    </row>
    <row r="12" spans="1:21" x14ac:dyDescent="0.25">
      <c r="A12" s="914" t="s">
        <v>692</v>
      </c>
      <c r="B12" s="914" t="s">
        <v>1404</v>
      </c>
      <c r="C12" s="914">
        <v>2025</v>
      </c>
      <c r="D12" s="914" t="s">
        <v>1399</v>
      </c>
      <c r="E12" s="913">
        <v>68314.314574006203</v>
      </c>
      <c r="G12" s="916" t="s">
        <v>1318</v>
      </c>
      <c r="H12" s="915"/>
      <c r="I12" s="915">
        <v>46143.569462838699</v>
      </c>
      <c r="J12" s="915">
        <v>46708.631380952298</v>
      </c>
      <c r="K12" s="915">
        <v>46003.298768790701</v>
      </c>
      <c r="L12" s="915">
        <v>47114.940102385001</v>
      </c>
      <c r="M12" s="932" t="s">
        <v>1404</v>
      </c>
      <c r="N12" s="932" t="s">
        <v>1318</v>
      </c>
      <c r="O12" s="955">
        <f>_xlfn.FORECAST.LINEAR($O$7,P12:Q12,$P$7:$Q$7)*(1+$Q$6)</f>
        <v>829603.66039093758</v>
      </c>
      <c r="P12" s="915">
        <f>I12*$Q$5*(1+$Q$6)</f>
        <v>784942.72422765754</v>
      </c>
      <c r="Q12" s="915">
        <f>J12*$Q$5*(1+$Q$6)</f>
        <v>794554.92472546676</v>
      </c>
      <c r="R12" s="955">
        <f>_xlfn.FORECAST.LINEAR(R$7,J12:K12,$J$7:$K$7)*$Q$5*(1+$Q$6)</f>
        <v>788555.76050256658</v>
      </c>
      <c r="S12" s="915">
        <f>K12*$Q$5*(1+$Q$6)</f>
        <v>782556.59627966653</v>
      </c>
      <c r="T12" s="955">
        <f>_xlfn.FORECAST.LINEAR(T$7,K12:L12,$K$7:$L$7)*$Q$5*(1+$Q$6)</f>
        <v>792011.59496001713</v>
      </c>
      <c r="U12" s="915">
        <f>L12*$Q$5*(1+$Q$6)</f>
        <v>801466.59364036703</v>
      </c>
    </row>
    <row r="13" spans="1:21" x14ac:dyDescent="0.25">
      <c r="A13" s="914" t="s">
        <v>1318</v>
      </c>
      <c r="B13" s="914" t="s">
        <v>1404</v>
      </c>
      <c r="C13" s="914">
        <v>2025</v>
      </c>
      <c r="D13" s="914" t="s">
        <v>1402</v>
      </c>
      <c r="E13" s="913">
        <v>46143.569462838699</v>
      </c>
      <c r="G13" s="917" t="s">
        <v>1400</v>
      </c>
      <c r="H13" s="915"/>
      <c r="I13" s="915"/>
      <c r="J13" s="915"/>
      <c r="K13" s="915"/>
      <c r="L13" s="915"/>
      <c r="N13" s="932"/>
      <c r="O13" s="915"/>
      <c r="P13" s="915"/>
      <c r="Q13" s="915"/>
      <c r="R13" s="955"/>
      <c r="S13" s="915"/>
      <c r="T13" s="955"/>
      <c r="U13" s="915"/>
    </row>
    <row r="14" spans="1:21" x14ac:dyDescent="0.25">
      <c r="A14" s="914" t="s">
        <v>1318</v>
      </c>
      <c r="B14" s="914" t="s">
        <v>1404</v>
      </c>
      <c r="C14" s="914">
        <v>2025</v>
      </c>
      <c r="D14" s="914" t="s">
        <v>1399</v>
      </c>
      <c r="E14" s="913">
        <v>45702.990415414097</v>
      </c>
      <c r="G14" s="916" t="s">
        <v>692</v>
      </c>
      <c r="H14" s="915"/>
      <c r="I14" s="915">
        <v>111239.99801395601</v>
      </c>
      <c r="J14" s="915">
        <v>91468.298502517398</v>
      </c>
      <c r="K14" s="915">
        <v>82614.388557329294</v>
      </c>
      <c r="L14" s="915">
        <v>79633.5895992687</v>
      </c>
      <c r="M14" s="932" t="s">
        <v>1400</v>
      </c>
      <c r="N14" s="932" t="s">
        <v>692</v>
      </c>
      <c r="O14" s="955">
        <f>_xlfn.FORECAST.LINEAR($O$7,P14:Q14,$P$7:$Q$7)*(1+$Q$6)</f>
        <v>2384627.9677860192</v>
      </c>
      <c r="P14" s="915">
        <f>I14*$Q$5*(1+$Q$6)</f>
        <v>1892290.2606066011</v>
      </c>
      <c r="Q14" s="915">
        <f>J14*$Q$5*(1+$Q$6)</f>
        <v>1555956.2522543021</v>
      </c>
      <c r="R14" s="955">
        <f>_xlfn.FORECAST.LINEAR(R$7,J14:K14,$J$7:$K$7)*$Q$5*(1+$Q$6)</f>
        <v>1480649.852323113</v>
      </c>
      <c r="S14" s="915">
        <f>K14*$Q$5*(1+$Q$6)</f>
        <v>1405343.4523919236</v>
      </c>
      <c r="T14" s="955">
        <f>_xlfn.FORECAST.LINEAR(T$7,K14:L14,$K$7:$L$7)*$Q$5*(1+$Q$6)</f>
        <v>1379990.4456593245</v>
      </c>
      <c r="U14" s="915">
        <f>L14*$Q$5*(1+$Q$6)</f>
        <v>1354637.4389267245</v>
      </c>
    </row>
    <row r="15" spans="1:21" x14ac:dyDescent="0.25">
      <c r="A15" s="914" t="s">
        <v>477</v>
      </c>
      <c r="B15" s="914" t="s">
        <v>1403</v>
      </c>
      <c r="C15" s="914">
        <v>2025</v>
      </c>
      <c r="D15" s="914" t="s">
        <v>1402</v>
      </c>
      <c r="E15" s="913">
        <v>124758.767467543</v>
      </c>
      <c r="G15" s="916" t="s">
        <v>477</v>
      </c>
      <c r="H15" s="915">
        <v>77800.603999999905</v>
      </c>
      <c r="I15" s="915">
        <v>79211.135921093199</v>
      </c>
      <c r="J15" s="915">
        <v>79796.522191987606</v>
      </c>
      <c r="K15" s="915">
        <v>80531.279866715602</v>
      </c>
      <c r="L15" s="915">
        <v>81352.868838823793</v>
      </c>
      <c r="M15" s="932" t="s">
        <v>1400</v>
      </c>
      <c r="N15" s="932" t="s">
        <v>687</v>
      </c>
      <c r="O15" s="915">
        <f t="shared" ref="O15:Q15" si="2">H15*$Q$5</f>
        <v>1236875.4586946308</v>
      </c>
      <c r="P15" s="915">
        <f t="shared" si="2"/>
        <v>1259300.1215790692</v>
      </c>
      <c r="Q15" s="915">
        <f t="shared" si="2"/>
        <v>1268606.6034712414</v>
      </c>
      <c r="R15" s="955">
        <f>_xlfn.FORECAST.LINEAR(R$7,J15:K15,$J$7:$K$7)*$Q$5</f>
        <v>1274447.1991043973</v>
      </c>
      <c r="S15" s="915">
        <f>K15*$Q$5</f>
        <v>1280287.7947375535</v>
      </c>
      <c r="T15" s="955">
        <f t="shared" ref="T15" si="3">_xlfn.FORECAST.LINEAR(T$7,K15:L15,$K$7:$L$7)*$Q$5</f>
        <v>1286818.6131662561</v>
      </c>
      <c r="U15" s="915">
        <f>L15*$Q$5</f>
        <v>1293349.4315949583</v>
      </c>
    </row>
    <row r="16" spans="1:21" x14ac:dyDescent="0.25">
      <c r="A16" s="914" t="s">
        <v>477</v>
      </c>
      <c r="B16" s="914" t="s">
        <v>1403</v>
      </c>
      <c r="C16" s="914">
        <v>2025</v>
      </c>
      <c r="D16" s="914" t="s">
        <v>1399</v>
      </c>
      <c r="E16" s="913">
        <v>125527.60867916299</v>
      </c>
      <c r="G16" s="916" t="s">
        <v>1401</v>
      </c>
      <c r="H16" s="915"/>
      <c r="I16" s="915">
        <v>108917.08759559</v>
      </c>
      <c r="J16" s="915">
        <v>102263.236672406</v>
      </c>
      <c r="K16" s="915">
        <v>91881.970035619801</v>
      </c>
      <c r="L16" s="915">
        <v>90380.630136863998</v>
      </c>
      <c r="M16" s="932" t="s">
        <v>1400</v>
      </c>
      <c r="N16" s="932" t="s">
        <v>699</v>
      </c>
      <c r="O16" s="955">
        <f>_xlfn.FORECAST.LINEAR($O$7,P16:Q16,$P$7:$Q$7)*(1+$Q$6)</f>
        <v>2103580.8058416173</v>
      </c>
      <c r="P16" s="915">
        <f>I16*$Q$5*(1+$Q$6)</f>
        <v>1852775.5101623938</v>
      </c>
      <c r="Q16" s="915">
        <f>J16*$Q$5*(1+$Q$6)</f>
        <v>1739587.6503793534</v>
      </c>
      <c r="R16" s="955">
        <f>_xlfn.FORECAST.LINEAR(R$7,J16:K16,$J$7:$K$7)*$Q$5*(1+$Q$6)</f>
        <v>1651290.4097272744</v>
      </c>
      <c r="S16" s="915">
        <f>K16*$Q$5*(1+$Q$6)</f>
        <v>1562993.1690751896</v>
      </c>
      <c r="T16" s="955">
        <f>_xlfn.FORECAST.LINEAR(T$7,K16:L16,$K$7:$L$7)*$Q$5*(1+$Q$6)</f>
        <v>1550223.6126251831</v>
      </c>
      <c r="U16" s="915">
        <f>L16*$Q$5*(1+$Q$6)</f>
        <v>1537454.0561751763</v>
      </c>
    </row>
    <row r="17" spans="1:21" x14ac:dyDescent="0.25">
      <c r="A17" s="914" t="s">
        <v>692</v>
      </c>
      <c r="B17" s="914" t="s">
        <v>1403</v>
      </c>
      <c r="C17" s="914">
        <v>2025</v>
      </c>
      <c r="D17" s="914" t="s">
        <v>1402</v>
      </c>
      <c r="E17" s="913">
        <v>172334.08657541801</v>
      </c>
      <c r="G17" s="916" t="s">
        <v>1318</v>
      </c>
      <c r="H17" s="915"/>
      <c r="I17" s="915">
        <v>81194.807277311396</v>
      </c>
      <c r="J17" s="915">
        <v>82351.234013170804</v>
      </c>
      <c r="K17" s="915">
        <v>84925.888451620398</v>
      </c>
      <c r="L17" s="915">
        <v>82975.583531581302</v>
      </c>
      <c r="M17" s="932" t="s">
        <v>1400</v>
      </c>
      <c r="N17" s="932" t="s">
        <v>1318</v>
      </c>
      <c r="O17" s="955">
        <f>_xlfn.FORECAST.LINEAR($O$7,P17:Q17,$P$7:$Q$7)*(1+$Q$6)</f>
        <v>1456829.9193165663</v>
      </c>
      <c r="P17" s="915">
        <f>I17*$Q$5*(1+$Q$6)</f>
        <v>1381195.1255465716</v>
      </c>
      <c r="Q17" s="915">
        <f>J17*$Q$5*(1+$Q$6)</f>
        <v>1400866.9620122402</v>
      </c>
      <c r="R17" s="955">
        <f>_xlfn.FORECAST.LINEAR(R$7,J17:K17,$J$7:$K$7)*$Q$5*(1+$Q$6)</f>
        <v>1422765.530896134</v>
      </c>
      <c r="S17" s="915">
        <f>K17*$Q$5*(1+$Q$6)</f>
        <v>1444664.0997800285</v>
      </c>
      <c r="T17" s="955">
        <f>_xlfn.FORECAST.LINEAR(T$7,K17:L17,$K$7:$L$7)*$Q$5*(1+$Q$6)</f>
        <v>1428075.8982729584</v>
      </c>
      <c r="U17" s="915">
        <f>L17*$Q$5*(1+$Q$6)</f>
        <v>1411487.6967658885</v>
      </c>
    </row>
    <row r="18" spans="1:21" x14ac:dyDescent="0.25">
      <c r="A18" s="914" t="s">
        <v>692</v>
      </c>
      <c r="B18" s="914" t="s">
        <v>1403</v>
      </c>
      <c r="C18" s="914">
        <v>2025</v>
      </c>
      <c r="D18" s="914" t="s">
        <v>1399</v>
      </c>
      <c r="E18" s="913">
        <v>164958.58272517601</v>
      </c>
      <c r="G18" s="917" t="s">
        <v>1403</v>
      </c>
      <c r="H18" s="915"/>
      <c r="I18" s="915"/>
      <c r="J18" s="915"/>
      <c r="K18" s="915"/>
      <c r="L18" s="915"/>
      <c r="N18" s="932"/>
      <c r="O18" s="915"/>
      <c r="P18" s="915"/>
      <c r="Q18" s="915"/>
      <c r="R18" s="955"/>
      <c r="S18" s="915"/>
      <c r="T18" s="955"/>
      <c r="U18" s="915"/>
    </row>
    <row r="19" spans="1:21" x14ac:dyDescent="0.25">
      <c r="A19" s="914" t="s">
        <v>1318</v>
      </c>
      <c r="B19" s="914" t="s">
        <v>1403</v>
      </c>
      <c r="C19" s="914">
        <v>2025</v>
      </c>
      <c r="D19" s="914" t="s">
        <v>1402</v>
      </c>
      <c r="E19" s="913">
        <v>128787.73940458101</v>
      </c>
      <c r="G19" s="916" t="s">
        <v>692</v>
      </c>
      <c r="H19" s="915"/>
      <c r="I19" s="915">
        <v>172334.08657541801</v>
      </c>
      <c r="J19" s="915">
        <v>143582.026082586</v>
      </c>
      <c r="K19" s="915">
        <v>130519.199271814</v>
      </c>
      <c r="L19" s="915">
        <v>127308.349858645</v>
      </c>
      <c r="M19" s="932" t="s">
        <v>1403</v>
      </c>
      <c r="N19" s="932" t="s">
        <v>692</v>
      </c>
      <c r="O19" s="955">
        <f>_xlfn.FORECAST.LINEAR($O$7,P19:Q19,$P$7:$Q$7)*(1+$Q$6)</f>
        <v>3660097.9858331708</v>
      </c>
      <c r="P19" s="915">
        <f>I19*$Q$5*(1+$Q$6)</f>
        <v>2931554.4715875085</v>
      </c>
      <c r="Q19" s="915">
        <f>J19*$Q$5*(1+$Q$6)</f>
        <v>2442456.6199664399</v>
      </c>
      <c r="R19" s="955">
        <f>_xlfn.FORECAST.LINEAR(R$7,J19:K19,$J$7:$K$7)*$Q$5*(1+$Q$6)</f>
        <v>2331351.5301096672</v>
      </c>
      <c r="S19" s="915">
        <f>K19*$Q$5*(1+$Q$6)</f>
        <v>2220246.4402529029</v>
      </c>
      <c r="T19" s="955">
        <f>_xlfn.FORECAST.LINEAR(T$7,K19:L19,$K$7:$L$7)*$Q$5*(1+$Q$6)</f>
        <v>2192936.7531741075</v>
      </c>
      <c r="U19" s="915">
        <f>L19*$Q$5*(1+$Q$6)</f>
        <v>2165627.0660953103</v>
      </c>
    </row>
    <row r="20" spans="1:21" x14ac:dyDescent="0.25">
      <c r="A20" s="914" t="s">
        <v>1318</v>
      </c>
      <c r="B20" s="914" t="s">
        <v>1403</v>
      </c>
      <c r="C20" s="914">
        <v>2025</v>
      </c>
      <c r="D20" s="914" t="s">
        <v>1399</v>
      </c>
      <c r="E20" s="913">
        <v>129489.027655634</v>
      </c>
      <c r="G20" s="916" t="s">
        <v>477</v>
      </c>
      <c r="H20" s="915">
        <v>122633.16</v>
      </c>
      <c r="I20" s="915">
        <v>124758.767467543</v>
      </c>
      <c r="J20" s="915">
        <v>125181.823979295</v>
      </c>
      <c r="K20" s="915">
        <v>126409.26072325101</v>
      </c>
      <c r="L20" s="915">
        <v>128098.60233972099</v>
      </c>
      <c r="M20" s="932" t="s">
        <v>1403</v>
      </c>
      <c r="N20" s="932" t="s">
        <v>687</v>
      </c>
      <c r="O20" s="915">
        <f t="shared" ref="O20:Q20" si="4">H20*$Q$5</f>
        <v>1949624.2731762372</v>
      </c>
      <c r="P20" s="915">
        <f t="shared" si="4"/>
        <v>1983417.2204832013</v>
      </c>
      <c r="Q20" s="915">
        <f t="shared" si="4"/>
        <v>1990142.9808259746</v>
      </c>
      <c r="R20" s="955">
        <f>_xlfn.FORECAST.LINEAR(R$7,J20:K20,$J$7:$K$7)*$Q$5</f>
        <v>1999899.8869915053</v>
      </c>
      <c r="S20" s="915">
        <f>K20*$Q$5</f>
        <v>2009656.793157036</v>
      </c>
      <c r="T20" s="955">
        <f t="shared" ref="T20" si="5">_xlfn.FORECAST.LINEAR(T$7,K20:L20,$K$7:$L$7)*$Q$5</f>
        <v>2023085.3854772397</v>
      </c>
      <c r="U20" s="915">
        <f>L20*$Q$5</f>
        <v>2036513.9777974437</v>
      </c>
    </row>
    <row r="21" spans="1:21" x14ac:dyDescent="0.25">
      <c r="A21" s="914" t="s">
        <v>1318</v>
      </c>
      <c r="B21" s="914" t="s">
        <v>1400</v>
      </c>
      <c r="C21" s="914">
        <v>2025</v>
      </c>
      <c r="D21" s="914" t="s">
        <v>1402</v>
      </c>
      <c r="E21" s="913">
        <v>81194.807277311396</v>
      </c>
      <c r="G21" s="916" t="s">
        <v>1401</v>
      </c>
      <c r="H21" s="915"/>
      <c r="I21" s="915">
        <v>184142.539387792</v>
      </c>
      <c r="J21" s="915">
        <v>171546.76245373301</v>
      </c>
      <c r="K21" s="915">
        <v>153933.62904962699</v>
      </c>
      <c r="L21" s="915">
        <v>150623.84071644401</v>
      </c>
      <c r="M21" s="932" t="s">
        <v>1403</v>
      </c>
      <c r="N21" s="932" t="s">
        <v>699</v>
      </c>
      <c r="O21" s="955">
        <f>_xlfn.FORECAST.LINEAR($O$7,P21:Q21,$P$7:$Q$7)*(1+$Q$6)</f>
        <v>3580960.3287163149</v>
      </c>
      <c r="P21" s="915">
        <f>I21*$Q$5*(1+$Q$6)</f>
        <v>3132426.6457031942</v>
      </c>
      <c r="Q21" s="915">
        <f>J21*$Q$5*(1+$Q$6)</f>
        <v>2918161.3954098346</v>
      </c>
      <c r="R21" s="955">
        <f>_xlfn.FORECAST.LINEAR(R$7,J21:K21,$J$7:$K$7)*$Q$5*(1+$Q$6)</f>
        <v>2768353.9457765967</v>
      </c>
      <c r="S21" s="915">
        <f>K21*$Q$5*(1+$Q$6)</f>
        <v>2618546.4961433574</v>
      </c>
      <c r="T21" s="955">
        <f>_xlfn.FORECAST.LINEAR(T$7,K21:L21,$K$7:$L$7)*$Q$5*(1+$Q$6)</f>
        <v>2590395.2900152984</v>
      </c>
      <c r="U21" s="915">
        <f>L21*$Q$5*(1+$Q$6)</f>
        <v>2562244.0838872395</v>
      </c>
    </row>
    <row r="22" spans="1:21" x14ac:dyDescent="0.25">
      <c r="A22" s="914" t="s">
        <v>1318</v>
      </c>
      <c r="B22" s="914" t="s">
        <v>1400</v>
      </c>
      <c r="C22" s="914">
        <v>2025</v>
      </c>
      <c r="D22" s="914" t="s">
        <v>1399</v>
      </c>
      <c r="E22" s="913">
        <v>81790.147897985604</v>
      </c>
      <c r="G22" s="916" t="s">
        <v>1318</v>
      </c>
      <c r="H22" s="915"/>
      <c r="I22" s="915">
        <v>128787.73940458101</v>
      </c>
      <c r="J22" s="915">
        <v>129012.713402155</v>
      </c>
      <c r="K22" s="915">
        <v>133439.88043997699</v>
      </c>
      <c r="L22" s="915">
        <v>128550.24307368101</v>
      </c>
      <c r="M22" s="932" t="s">
        <v>1403</v>
      </c>
      <c r="N22" s="932" t="s">
        <v>1318</v>
      </c>
      <c r="O22" s="955">
        <f>_xlfn.FORECAST.LINEAR($O$7,P22:Q22,$P$7:$Q$7)*(1+$Q$6)</f>
        <v>2340053.3829892362</v>
      </c>
      <c r="P22" s="915">
        <f>I22*$Q$5*(1+$Q$6)</f>
        <v>2190792.7841769187</v>
      </c>
      <c r="Q22" s="915">
        <f>J22*$Q$5*(1+$Q$6)</f>
        <v>2194619.7898592236</v>
      </c>
      <c r="R22" s="955">
        <f>_xlfn.FORECAST.LINEAR(R$7,J22:K22,$J$7:$K$7)*$Q$5*(1+$Q$6)</f>
        <v>2232274.793532894</v>
      </c>
      <c r="S22" s="915">
        <f>K22*$Q$5*(1+$Q$6)</f>
        <v>2269929.7972065639</v>
      </c>
      <c r="T22" s="955">
        <f>_xlfn.FORECAST.LINEAR(T$7,K22:L22,$K$7:$L$7)*$Q$5*(1+$Q$6)</f>
        <v>2228341.2798956437</v>
      </c>
      <c r="U22" s="915">
        <f>L22*$Q$5*(1+$Q$6)</f>
        <v>2186752.7625847259</v>
      </c>
    </row>
    <row r="23" spans="1:21" x14ac:dyDescent="0.25">
      <c r="A23" s="914" t="s">
        <v>477</v>
      </c>
      <c r="B23" s="914" t="s">
        <v>1404</v>
      </c>
      <c r="C23" s="914">
        <v>2030</v>
      </c>
      <c r="D23" s="914" t="s">
        <v>1402</v>
      </c>
      <c r="E23" s="913">
        <v>44843.888204688497</v>
      </c>
    </row>
    <row r="24" spans="1:21" x14ac:dyDescent="0.25">
      <c r="A24" s="914" t="s">
        <v>477</v>
      </c>
      <c r="B24" s="914" t="s">
        <v>1404</v>
      </c>
      <c r="C24" s="914">
        <v>2030</v>
      </c>
      <c r="D24" s="914" t="s">
        <v>1399</v>
      </c>
      <c r="E24" s="913">
        <v>45504.899061943201</v>
      </c>
    </row>
    <row r="25" spans="1:21" x14ac:dyDescent="0.25">
      <c r="A25" s="914" t="s">
        <v>692</v>
      </c>
      <c r="B25" s="914" t="s">
        <v>1404</v>
      </c>
      <c r="C25" s="914">
        <v>2030</v>
      </c>
      <c r="D25" s="914" t="s">
        <v>1402</v>
      </c>
      <c r="E25" s="913">
        <v>55751.407358742297</v>
      </c>
    </row>
    <row r="26" spans="1:21" x14ac:dyDescent="0.25">
      <c r="A26" s="914" t="s">
        <v>692</v>
      </c>
      <c r="B26" s="914" t="s">
        <v>1404</v>
      </c>
      <c r="C26" s="914">
        <v>2030</v>
      </c>
      <c r="D26" s="914" t="s">
        <v>1399</v>
      </c>
      <c r="E26" s="913">
        <v>47174.182558743101</v>
      </c>
    </row>
    <row r="27" spans="1:21" x14ac:dyDescent="0.25">
      <c r="A27" s="914" t="s">
        <v>1318</v>
      </c>
      <c r="B27" s="914" t="s">
        <v>1404</v>
      </c>
      <c r="C27" s="914">
        <v>2030</v>
      </c>
      <c r="D27" s="914" t="s">
        <v>1402</v>
      </c>
      <c r="E27" s="913">
        <v>46708.631380952298</v>
      </c>
    </row>
    <row r="28" spans="1:21" x14ac:dyDescent="0.25">
      <c r="A28" s="914" t="s">
        <v>1318</v>
      </c>
      <c r="B28" s="914" t="s">
        <v>1404</v>
      </c>
      <c r="C28" s="914">
        <v>2030</v>
      </c>
      <c r="D28" s="914" t="s">
        <v>1399</v>
      </c>
      <c r="E28" s="913">
        <v>45688.191032342897</v>
      </c>
    </row>
    <row r="29" spans="1:21" x14ac:dyDescent="0.25">
      <c r="A29" s="914" t="s">
        <v>477</v>
      </c>
      <c r="B29" s="914" t="s">
        <v>1403</v>
      </c>
      <c r="C29" s="914">
        <v>2030</v>
      </c>
      <c r="D29" s="914" t="s">
        <v>1402</v>
      </c>
      <c r="E29" s="913">
        <v>125181.823979295</v>
      </c>
    </row>
    <row r="30" spans="1:21" x14ac:dyDescent="0.25">
      <c r="A30" s="914" t="s">
        <v>477</v>
      </c>
      <c r="B30" s="914" t="s">
        <v>1403</v>
      </c>
      <c r="C30" s="914">
        <v>2030</v>
      </c>
      <c r="D30" s="914" t="s">
        <v>1399</v>
      </c>
      <c r="E30" s="913">
        <v>126657.619435769</v>
      </c>
    </row>
    <row r="31" spans="1:21" x14ac:dyDescent="0.25">
      <c r="A31" s="914" t="s">
        <v>692</v>
      </c>
      <c r="B31" s="914" t="s">
        <v>1403</v>
      </c>
      <c r="C31" s="914">
        <v>2030</v>
      </c>
      <c r="D31" s="914" t="s">
        <v>1402</v>
      </c>
      <c r="E31" s="913">
        <v>143582.026082586</v>
      </c>
    </row>
    <row r="32" spans="1:21" x14ac:dyDescent="0.25">
      <c r="A32" s="914" t="s">
        <v>692</v>
      </c>
      <c r="B32" s="914" t="s">
        <v>1403</v>
      </c>
      <c r="C32" s="914">
        <v>2030</v>
      </c>
      <c r="D32" s="914" t="s">
        <v>1399</v>
      </c>
      <c r="E32" s="913">
        <v>129102.026621446</v>
      </c>
    </row>
    <row r="33" spans="1:5" x14ac:dyDescent="0.25">
      <c r="A33" s="914" t="s">
        <v>1318</v>
      </c>
      <c r="B33" s="914" t="s">
        <v>1403</v>
      </c>
      <c r="C33" s="914">
        <v>2030</v>
      </c>
      <c r="D33" s="914" t="s">
        <v>1402</v>
      </c>
      <c r="E33" s="913">
        <v>129012.713402155</v>
      </c>
    </row>
    <row r="34" spans="1:5" x14ac:dyDescent="0.25">
      <c r="A34" s="914" t="s">
        <v>1318</v>
      </c>
      <c r="B34" s="914" t="s">
        <v>1403</v>
      </c>
      <c r="C34" s="914">
        <v>2030</v>
      </c>
      <c r="D34" s="914" t="s">
        <v>1399</v>
      </c>
      <c r="E34" s="913">
        <v>129710.15176841601</v>
      </c>
    </row>
    <row r="35" spans="1:5" x14ac:dyDescent="0.25">
      <c r="A35" s="914" t="s">
        <v>477</v>
      </c>
      <c r="B35" s="914" t="s">
        <v>1400</v>
      </c>
      <c r="C35" s="914">
        <v>2030</v>
      </c>
      <c r="D35" s="914" t="s">
        <v>1402</v>
      </c>
      <c r="E35" s="913">
        <v>79796.522191987606</v>
      </c>
    </row>
    <row r="36" spans="1:5" x14ac:dyDescent="0.25">
      <c r="A36" s="914" t="s">
        <v>477</v>
      </c>
      <c r="B36" s="914" t="s">
        <v>1400</v>
      </c>
      <c r="C36" s="914">
        <v>2030</v>
      </c>
      <c r="D36" s="914" t="s">
        <v>1399</v>
      </c>
      <c r="E36" s="913">
        <v>80419.046252814296</v>
      </c>
    </row>
    <row r="37" spans="1:5" x14ac:dyDescent="0.25">
      <c r="A37" s="914" t="s">
        <v>692</v>
      </c>
      <c r="B37" s="914" t="s">
        <v>1400</v>
      </c>
      <c r="C37" s="914">
        <v>2030</v>
      </c>
      <c r="D37" s="914" t="s">
        <v>1402</v>
      </c>
      <c r="E37" s="913">
        <v>91468.298502517398</v>
      </c>
    </row>
    <row r="38" spans="1:5" x14ac:dyDescent="0.25">
      <c r="A38" s="914" t="s">
        <v>692</v>
      </c>
      <c r="B38" s="914" t="s">
        <v>1400</v>
      </c>
      <c r="C38" s="914">
        <v>2030</v>
      </c>
      <c r="D38" s="914" t="s">
        <v>1399</v>
      </c>
      <c r="E38" s="913">
        <v>81939.541561467398</v>
      </c>
    </row>
    <row r="39" spans="1:5" x14ac:dyDescent="0.25">
      <c r="A39" s="914" t="s">
        <v>1318</v>
      </c>
      <c r="B39" s="914" t="s">
        <v>1400</v>
      </c>
      <c r="C39" s="914">
        <v>2030</v>
      </c>
      <c r="D39" s="914" t="s">
        <v>1402</v>
      </c>
      <c r="E39" s="913">
        <v>82351.234013170804</v>
      </c>
    </row>
    <row r="40" spans="1:5" x14ac:dyDescent="0.25">
      <c r="A40" s="914" t="s">
        <v>1318</v>
      </c>
      <c r="B40" s="914" t="s">
        <v>1400</v>
      </c>
      <c r="C40" s="914">
        <v>2030</v>
      </c>
      <c r="D40" s="914" t="s">
        <v>1399</v>
      </c>
      <c r="E40" s="913">
        <v>81853.717365813398</v>
      </c>
    </row>
    <row r="41" spans="1:5" x14ac:dyDescent="0.25">
      <c r="A41" s="914" t="s">
        <v>477</v>
      </c>
      <c r="B41" s="914" t="s">
        <v>1400</v>
      </c>
      <c r="C41" s="914">
        <v>2040</v>
      </c>
      <c r="D41" s="914" t="s">
        <v>1402</v>
      </c>
      <c r="E41" s="913">
        <v>80531.279866715602</v>
      </c>
    </row>
    <row r="42" spans="1:5" x14ac:dyDescent="0.25">
      <c r="A42" s="914" t="s">
        <v>477</v>
      </c>
      <c r="B42" s="914" t="s">
        <v>1400</v>
      </c>
      <c r="C42" s="914">
        <v>2040</v>
      </c>
      <c r="D42" s="914" t="s">
        <v>1399</v>
      </c>
      <c r="E42" s="913">
        <v>82211.073210756993</v>
      </c>
    </row>
    <row r="43" spans="1:5" x14ac:dyDescent="0.25">
      <c r="A43" s="914" t="s">
        <v>692</v>
      </c>
      <c r="B43" s="914" t="s">
        <v>1400</v>
      </c>
      <c r="C43" s="914">
        <v>2040</v>
      </c>
      <c r="D43" s="914" t="s">
        <v>1402</v>
      </c>
      <c r="E43" s="913">
        <v>82614.388557329294</v>
      </c>
    </row>
    <row r="44" spans="1:5" x14ac:dyDescent="0.25">
      <c r="A44" s="914" t="s">
        <v>692</v>
      </c>
      <c r="B44" s="914" t="s">
        <v>1400</v>
      </c>
      <c r="C44" s="914">
        <v>2040</v>
      </c>
      <c r="D44" s="914" t="s">
        <v>1399</v>
      </c>
      <c r="E44" s="913">
        <v>73848.283389423901</v>
      </c>
    </row>
    <row r="45" spans="1:5" x14ac:dyDescent="0.25">
      <c r="A45" s="914" t="s">
        <v>1318</v>
      </c>
      <c r="B45" s="914" t="s">
        <v>1400</v>
      </c>
      <c r="C45" s="914">
        <v>2040</v>
      </c>
      <c r="D45" s="914" t="s">
        <v>1402</v>
      </c>
      <c r="E45" s="913">
        <v>84925.888451620398</v>
      </c>
    </row>
    <row r="46" spans="1:5" x14ac:dyDescent="0.25">
      <c r="A46" s="914" t="s">
        <v>1318</v>
      </c>
      <c r="B46" s="914" t="s">
        <v>1400</v>
      </c>
      <c r="C46" s="914">
        <v>2040</v>
      </c>
      <c r="D46" s="914" t="s">
        <v>1399</v>
      </c>
      <c r="E46" s="913">
        <v>83103.939561961393</v>
      </c>
    </row>
    <row r="47" spans="1:5" x14ac:dyDescent="0.25">
      <c r="A47" s="914" t="s">
        <v>477</v>
      </c>
      <c r="B47" s="914" t="s">
        <v>1404</v>
      </c>
      <c r="C47" s="914">
        <v>2040</v>
      </c>
      <c r="D47" s="914" t="s">
        <v>1402</v>
      </c>
      <c r="E47" s="913">
        <v>45482.427759856801</v>
      </c>
    </row>
    <row r="48" spans="1:5" x14ac:dyDescent="0.25">
      <c r="A48" s="914" t="s">
        <v>477</v>
      </c>
      <c r="B48" s="914" t="s">
        <v>1404</v>
      </c>
      <c r="C48" s="914">
        <v>2040</v>
      </c>
      <c r="D48" s="914" t="s">
        <v>1399</v>
      </c>
      <c r="E48" s="913">
        <v>45007.492204758099</v>
      </c>
    </row>
    <row r="49" spans="1:5" x14ac:dyDescent="0.25">
      <c r="A49" s="914" t="s">
        <v>692</v>
      </c>
      <c r="B49" s="914" t="s">
        <v>1404</v>
      </c>
      <c r="C49" s="914">
        <v>2040</v>
      </c>
      <c r="D49" s="914" t="s">
        <v>1402</v>
      </c>
      <c r="E49" s="913">
        <v>47384.134484041402</v>
      </c>
    </row>
    <row r="50" spans="1:5" x14ac:dyDescent="0.25">
      <c r="A50" s="914" t="s">
        <v>692</v>
      </c>
      <c r="B50" s="914" t="s">
        <v>1404</v>
      </c>
      <c r="C50" s="914">
        <v>2040</v>
      </c>
      <c r="D50" s="914" t="s">
        <v>1399</v>
      </c>
      <c r="E50" s="913">
        <v>40011.515567970302</v>
      </c>
    </row>
    <row r="51" spans="1:5" x14ac:dyDescent="0.25">
      <c r="A51" s="914" t="s">
        <v>1318</v>
      </c>
      <c r="B51" s="914" t="s">
        <v>1404</v>
      </c>
      <c r="C51" s="914">
        <v>2040</v>
      </c>
      <c r="D51" s="914" t="s">
        <v>1402</v>
      </c>
      <c r="E51" s="913">
        <v>46003.298768790701</v>
      </c>
    </row>
    <row r="52" spans="1:5" x14ac:dyDescent="0.25">
      <c r="A52" s="914" t="s">
        <v>1318</v>
      </c>
      <c r="B52" s="914" t="s">
        <v>1404</v>
      </c>
      <c r="C52" s="914">
        <v>2040</v>
      </c>
      <c r="D52" s="914" t="s">
        <v>1399</v>
      </c>
      <c r="E52" s="913">
        <v>46424.438590004502</v>
      </c>
    </row>
    <row r="53" spans="1:5" x14ac:dyDescent="0.25">
      <c r="A53" s="914" t="s">
        <v>477</v>
      </c>
      <c r="B53" s="914" t="s">
        <v>1403</v>
      </c>
      <c r="C53" s="914">
        <v>2040</v>
      </c>
      <c r="D53" s="914" t="s">
        <v>1402</v>
      </c>
      <c r="E53" s="913">
        <v>126409.26072325101</v>
      </c>
    </row>
    <row r="54" spans="1:5" x14ac:dyDescent="0.25">
      <c r="A54" s="914" t="s">
        <v>477</v>
      </c>
      <c r="B54" s="914" t="s">
        <v>1403</v>
      </c>
      <c r="C54" s="914">
        <v>2040</v>
      </c>
      <c r="D54" s="914" t="s">
        <v>1399</v>
      </c>
      <c r="E54" s="913">
        <v>126475.374523069</v>
      </c>
    </row>
    <row r="55" spans="1:5" x14ac:dyDescent="0.25">
      <c r="A55" s="914" t="s">
        <v>692</v>
      </c>
      <c r="B55" s="914" t="s">
        <v>1403</v>
      </c>
      <c r="C55" s="914">
        <v>2040</v>
      </c>
      <c r="D55" s="914" t="s">
        <v>1402</v>
      </c>
      <c r="E55" s="913">
        <v>130519.199271814</v>
      </c>
    </row>
    <row r="56" spans="1:5" x14ac:dyDescent="0.25">
      <c r="A56" s="914" t="s">
        <v>692</v>
      </c>
      <c r="B56" s="914" t="s">
        <v>1403</v>
      </c>
      <c r="C56" s="914">
        <v>2040</v>
      </c>
      <c r="D56" s="914" t="s">
        <v>1399</v>
      </c>
      <c r="E56" s="913">
        <v>117061.024414414</v>
      </c>
    </row>
    <row r="57" spans="1:5" x14ac:dyDescent="0.25">
      <c r="A57" s="914" t="s">
        <v>1318</v>
      </c>
      <c r="B57" s="914" t="s">
        <v>1403</v>
      </c>
      <c r="C57" s="914">
        <v>2040</v>
      </c>
      <c r="D57" s="914" t="s">
        <v>1402</v>
      </c>
      <c r="E57" s="913">
        <v>133439.88043997699</v>
      </c>
    </row>
    <row r="58" spans="1:5" x14ac:dyDescent="0.25">
      <c r="A58" s="914" t="s">
        <v>1318</v>
      </c>
      <c r="B58" s="914" t="s">
        <v>1403</v>
      </c>
      <c r="C58" s="914">
        <v>2040</v>
      </c>
      <c r="D58" s="914" t="s">
        <v>1399</v>
      </c>
      <c r="E58" s="913">
        <v>128640.59039606</v>
      </c>
    </row>
    <row r="59" spans="1:5" x14ac:dyDescent="0.25">
      <c r="A59" s="914" t="s">
        <v>477</v>
      </c>
      <c r="B59" s="914" t="s">
        <v>1404</v>
      </c>
      <c r="C59" s="914">
        <v>2050</v>
      </c>
      <c r="D59" s="914" t="s">
        <v>1402</v>
      </c>
      <c r="E59" s="913">
        <v>45038.640855104401</v>
      </c>
    </row>
    <row r="60" spans="1:5" x14ac:dyDescent="0.25">
      <c r="A60" s="914" t="s">
        <v>477</v>
      </c>
      <c r="B60" s="914" t="s">
        <v>1404</v>
      </c>
      <c r="C60" s="914">
        <v>2050</v>
      </c>
      <c r="D60" s="914" t="s">
        <v>1399</v>
      </c>
      <c r="E60" s="913">
        <v>47079.212041179802</v>
      </c>
    </row>
    <row r="61" spans="1:5" x14ac:dyDescent="0.25">
      <c r="A61" s="914" t="s">
        <v>692</v>
      </c>
      <c r="B61" s="914" t="s">
        <v>1404</v>
      </c>
      <c r="C61" s="914">
        <v>2050</v>
      </c>
      <c r="D61" s="914" t="s">
        <v>1402</v>
      </c>
      <c r="E61" s="913">
        <v>44847.297467261997</v>
      </c>
    </row>
    <row r="62" spans="1:5" x14ac:dyDescent="0.25">
      <c r="A62" s="914" t="s">
        <v>692</v>
      </c>
      <c r="B62" s="914" t="s">
        <v>1404</v>
      </c>
      <c r="C62" s="914">
        <v>2050</v>
      </c>
      <c r="D62" s="914" t="s">
        <v>1399</v>
      </c>
      <c r="E62" s="913">
        <v>37702.062385887402</v>
      </c>
    </row>
    <row r="63" spans="1:5" x14ac:dyDescent="0.25">
      <c r="A63" s="914" t="s">
        <v>1318</v>
      </c>
      <c r="B63" s="914" t="s">
        <v>1404</v>
      </c>
      <c r="C63" s="914">
        <v>2050</v>
      </c>
      <c r="D63" s="914" t="s">
        <v>1402</v>
      </c>
      <c r="E63" s="913">
        <v>47114.940102385001</v>
      </c>
    </row>
    <row r="64" spans="1:5" x14ac:dyDescent="0.25">
      <c r="A64" s="914" t="s">
        <v>1318</v>
      </c>
      <c r="B64" s="914" t="s">
        <v>1404</v>
      </c>
      <c r="C64" s="914">
        <v>2050</v>
      </c>
      <c r="D64" s="914" t="s">
        <v>1399</v>
      </c>
      <c r="E64" s="913">
        <v>45618.437137750698</v>
      </c>
    </row>
    <row r="65" spans="1:5" x14ac:dyDescent="0.25">
      <c r="A65" s="914" t="s">
        <v>477</v>
      </c>
      <c r="B65" s="914" t="s">
        <v>1403</v>
      </c>
      <c r="C65" s="914">
        <v>2050</v>
      </c>
      <c r="D65" s="914" t="s">
        <v>1402</v>
      </c>
      <c r="E65" s="913">
        <v>128098.60233972099</v>
      </c>
    </row>
    <row r="66" spans="1:5" x14ac:dyDescent="0.25">
      <c r="A66" s="914" t="s">
        <v>477</v>
      </c>
      <c r="B66" s="914" t="s">
        <v>1403</v>
      </c>
      <c r="C66" s="914">
        <v>2050</v>
      </c>
      <c r="D66" s="914" t="s">
        <v>1399</v>
      </c>
      <c r="E66" s="913">
        <v>128117.821517163</v>
      </c>
    </row>
    <row r="67" spans="1:5" x14ac:dyDescent="0.25">
      <c r="A67" s="914" t="s">
        <v>692</v>
      </c>
      <c r="B67" s="914" t="s">
        <v>1403</v>
      </c>
      <c r="C67" s="914">
        <v>2050</v>
      </c>
      <c r="D67" s="914" t="s">
        <v>1402</v>
      </c>
      <c r="E67" s="913">
        <v>127308.349858645</v>
      </c>
    </row>
    <row r="68" spans="1:5" x14ac:dyDescent="0.25">
      <c r="A68" s="914" t="s">
        <v>692</v>
      </c>
      <c r="B68" s="914" t="s">
        <v>1403</v>
      </c>
      <c r="C68" s="914">
        <v>2050</v>
      </c>
      <c r="D68" s="914" t="s">
        <v>1399</v>
      </c>
      <c r="E68" s="913">
        <v>113124.757243812</v>
      </c>
    </row>
    <row r="69" spans="1:5" x14ac:dyDescent="0.25">
      <c r="A69" s="914" t="s">
        <v>1318</v>
      </c>
      <c r="B69" s="914" t="s">
        <v>1403</v>
      </c>
      <c r="C69" s="914">
        <v>2050</v>
      </c>
      <c r="D69" s="914" t="s">
        <v>1402</v>
      </c>
      <c r="E69" s="913">
        <v>128550.24307368101</v>
      </c>
    </row>
    <row r="70" spans="1:5" x14ac:dyDescent="0.25">
      <c r="A70" s="914" t="s">
        <v>1318</v>
      </c>
      <c r="B70" s="914" t="s">
        <v>1403</v>
      </c>
      <c r="C70" s="914">
        <v>2050</v>
      </c>
      <c r="D70" s="914" t="s">
        <v>1399</v>
      </c>
      <c r="E70" s="913">
        <v>133522.54116052599</v>
      </c>
    </row>
    <row r="71" spans="1:5" x14ac:dyDescent="0.25">
      <c r="A71" s="914" t="s">
        <v>477</v>
      </c>
      <c r="B71" s="914" t="s">
        <v>1400</v>
      </c>
      <c r="C71" s="914">
        <v>2050</v>
      </c>
      <c r="D71" s="914" t="s">
        <v>1402</v>
      </c>
      <c r="E71" s="913">
        <v>81352.868838823793</v>
      </c>
    </row>
    <row r="72" spans="1:5" x14ac:dyDescent="0.25">
      <c r="A72" s="914" t="s">
        <v>477</v>
      </c>
      <c r="B72" s="914" t="s">
        <v>1400</v>
      </c>
      <c r="C72" s="914">
        <v>2050</v>
      </c>
      <c r="D72" s="914" t="s">
        <v>1399</v>
      </c>
      <c r="E72" s="913">
        <v>81185.9799675635</v>
      </c>
    </row>
    <row r="73" spans="1:5" x14ac:dyDescent="0.25">
      <c r="A73" s="914" t="s">
        <v>692</v>
      </c>
      <c r="B73" s="914" t="s">
        <v>1400</v>
      </c>
      <c r="C73" s="914">
        <v>2050</v>
      </c>
      <c r="D73" s="914" t="s">
        <v>1402</v>
      </c>
      <c r="E73" s="913">
        <v>79633.5895992687</v>
      </c>
    </row>
    <row r="74" spans="1:5" x14ac:dyDescent="0.25">
      <c r="A74" s="914" t="s">
        <v>692</v>
      </c>
      <c r="B74" s="914" t="s">
        <v>1400</v>
      </c>
      <c r="C74" s="914">
        <v>2050</v>
      </c>
      <c r="D74" s="914" t="s">
        <v>1399</v>
      </c>
      <c r="E74" s="913">
        <v>71319.114219120005</v>
      </c>
    </row>
    <row r="75" spans="1:5" x14ac:dyDescent="0.25">
      <c r="A75" s="914" t="s">
        <v>1318</v>
      </c>
      <c r="B75" s="914" t="s">
        <v>1400</v>
      </c>
      <c r="C75" s="914">
        <v>2050</v>
      </c>
      <c r="D75" s="914" t="s">
        <v>1402</v>
      </c>
      <c r="E75" s="913">
        <v>82975.583531581302</v>
      </c>
    </row>
    <row r="76" spans="1:5" x14ac:dyDescent="0.25">
      <c r="A76" s="914" t="s">
        <v>1318</v>
      </c>
      <c r="B76" s="914" t="s">
        <v>1400</v>
      </c>
      <c r="C76" s="914">
        <v>2050</v>
      </c>
      <c r="D76" s="914" t="s">
        <v>1399</v>
      </c>
      <c r="E76" s="913">
        <v>83331.152094527002</v>
      </c>
    </row>
    <row r="77" spans="1:5" x14ac:dyDescent="0.25">
      <c r="A77" s="914" t="s">
        <v>1401</v>
      </c>
      <c r="B77" s="914" t="s">
        <v>1403</v>
      </c>
      <c r="C77" s="914">
        <v>2025</v>
      </c>
      <c r="D77" s="914" t="s">
        <v>1402</v>
      </c>
      <c r="E77" s="913">
        <v>184142.539387792</v>
      </c>
    </row>
    <row r="78" spans="1:5" x14ac:dyDescent="0.25">
      <c r="A78" s="914" t="s">
        <v>1401</v>
      </c>
      <c r="B78" s="914" t="s">
        <v>1403</v>
      </c>
      <c r="C78" s="914">
        <v>2025</v>
      </c>
      <c r="D78" s="914" t="s">
        <v>1399</v>
      </c>
      <c r="E78" s="913">
        <v>180757.00426050101</v>
      </c>
    </row>
    <row r="79" spans="1:5" x14ac:dyDescent="0.25">
      <c r="A79" s="914" t="s">
        <v>1401</v>
      </c>
      <c r="B79" s="914" t="s">
        <v>1400</v>
      </c>
      <c r="C79" s="914">
        <v>2025</v>
      </c>
      <c r="D79" s="914" t="s">
        <v>1402</v>
      </c>
      <c r="E79" s="913">
        <v>108917.08759559</v>
      </c>
    </row>
    <row r="80" spans="1:5" x14ac:dyDescent="0.25">
      <c r="A80" s="914" t="s">
        <v>1401</v>
      </c>
      <c r="B80" s="914" t="s">
        <v>1400</v>
      </c>
      <c r="C80" s="914">
        <v>2025</v>
      </c>
      <c r="D80" s="914" t="s">
        <v>1399</v>
      </c>
      <c r="E80" s="913">
        <v>106786.253660602</v>
      </c>
    </row>
    <row r="81" spans="1:5" x14ac:dyDescent="0.25">
      <c r="A81" s="914" t="s">
        <v>1401</v>
      </c>
      <c r="B81" s="914" t="s">
        <v>1404</v>
      </c>
      <c r="C81" s="914">
        <v>2025</v>
      </c>
      <c r="D81" s="914" t="s">
        <v>1402</v>
      </c>
      <c r="E81" s="913">
        <v>64737.898672643802</v>
      </c>
    </row>
    <row r="82" spans="1:5" x14ac:dyDescent="0.25">
      <c r="A82" s="914" t="s">
        <v>1401</v>
      </c>
      <c r="B82" s="914" t="s">
        <v>1404</v>
      </c>
      <c r="C82" s="914">
        <v>2025</v>
      </c>
      <c r="D82" s="914" t="s">
        <v>1399</v>
      </c>
      <c r="E82" s="913">
        <v>63184.982991068602</v>
      </c>
    </row>
    <row r="83" spans="1:5" x14ac:dyDescent="0.25">
      <c r="A83" s="914" t="s">
        <v>1401</v>
      </c>
      <c r="B83" s="914" t="s">
        <v>1403</v>
      </c>
      <c r="C83" s="914">
        <v>2030</v>
      </c>
      <c r="D83" s="914" t="s">
        <v>1402</v>
      </c>
      <c r="E83" s="913">
        <v>171546.76245373301</v>
      </c>
    </row>
    <row r="84" spans="1:5" x14ac:dyDescent="0.25">
      <c r="A84" s="914" t="s">
        <v>1401</v>
      </c>
      <c r="B84" s="914" t="s">
        <v>1403</v>
      </c>
      <c r="C84" s="914">
        <v>2030</v>
      </c>
      <c r="D84" s="914" t="s">
        <v>1399</v>
      </c>
      <c r="E84" s="913">
        <v>148724.55465612901</v>
      </c>
    </row>
    <row r="85" spans="1:5" x14ac:dyDescent="0.25">
      <c r="A85" s="914" t="s">
        <v>1401</v>
      </c>
      <c r="B85" s="914" t="s">
        <v>1400</v>
      </c>
      <c r="C85" s="914">
        <v>2030</v>
      </c>
      <c r="D85" s="914" t="s">
        <v>1402</v>
      </c>
      <c r="E85" s="913">
        <v>102263.236672406</v>
      </c>
    </row>
    <row r="86" spans="1:5" x14ac:dyDescent="0.25">
      <c r="A86" s="914" t="s">
        <v>1401</v>
      </c>
      <c r="B86" s="914" t="s">
        <v>1400</v>
      </c>
      <c r="C86" s="914">
        <v>2030</v>
      </c>
      <c r="D86" s="914" t="s">
        <v>1399</v>
      </c>
      <c r="E86" s="913">
        <v>89190.760178212004</v>
      </c>
    </row>
    <row r="87" spans="1:5" x14ac:dyDescent="0.25">
      <c r="A87" s="914" t="s">
        <v>1401</v>
      </c>
      <c r="B87" s="914" t="s">
        <v>1404</v>
      </c>
      <c r="C87" s="914">
        <v>2030</v>
      </c>
      <c r="D87" s="914" t="s">
        <v>1402</v>
      </c>
      <c r="E87" s="913">
        <v>59640.0801817998</v>
      </c>
    </row>
    <row r="88" spans="1:5" x14ac:dyDescent="0.25">
      <c r="A88" s="914" t="s">
        <v>1401</v>
      </c>
      <c r="B88" s="914" t="s">
        <v>1404</v>
      </c>
      <c r="C88" s="914">
        <v>2030</v>
      </c>
      <c r="D88" s="914" t="s">
        <v>1399</v>
      </c>
      <c r="E88" s="913">
        <v>50029.221013609596</v>
      </c>
    </row>
    <row r="89" spans="1:5" x14ac:dyDescent="0.25">
      <c r="A89" s="914" t="s">
        <v>1401</v>
      </c>
      <c r="B89" s="914" t="s">
        <v>1400</v>
      </c>
      <c r="C89" s="914">
        <v>2040</v>
      </c>
      <c r="D89" s="914" t="s">
        <v>1402</v>
      </c>
      <c r="E89" s="913">
        <v>91881.970035619801</v>
      </c>
    </row>
    <row r="90" spans="1:5" x14ac:dyDescent="0.25">
      <c r="A90" s="914" t="s">
        <v>1401</v>
      </c>
      <c r="B90" s="914" t="s">
        <v>1400</v>
      </c>
      <c r="C90" s="914">
        <v>2040</v>
      </c>
      <c r="D90" s="914" t="s">
        <v>1399</v>
      </c>
      <c r="E90" s="913">
        <v>83096.144616772493</v>
      </c>
    </row>
    <row r="91" spans="1:5" x14ac:dyDescent="0.25">
      <c r="A91" s="914" t="s">
        <v>1401</v>
      </c>
      <c r="B91" s="914" t="s">
        <v>1404</v>
      </c>
      <c r="C91" s="914">
        <v>2040</v>
      </c>
      <c r="D91" s="914" t="s">
        <v>1402</v>
      </c>
      <c r="E91" s="913">
        <v>51583.510230305903</v>
      </c>
    </row>
    <row r="92" spans="1:5" x14ac:dyDescent="0.25">
      <c r="A92" s="914" t="s">
        <v>1401</v>
      </c>
      <c r="B92" s="914" t="s">
        <v>1404</v>
      </c>
      <c r="C92" s="914">
        <v>2040</v>
      </c>
      <c r="D92" s="914" t="s">
        <v>1399</v>
      </c>
      <c r="E92" s="913">
        <v>45240.414065169898</v>
      </c>
    </row>
    <row r="93" spans="1:5" x14ac:dyDescent="0.25">
      <c r="A93" s="914" t="s">
        <v>1401</v>
      </c>
      <c r="B93" s="914" t="s">
        <v>1403</v>
      </c>
      <c r="C93" s="914">
        <v>2040</v>
      </c>
      <c r="D93" s="914" t="s">
        <v>1402</v>
      </c>
      <c r="E93" s="913">
        <v>153933.62904962699</v>
      </c>
    </row>
    <row r="94" spans="1:5" x14ac:dyDescent="0.25">
      <c r="A94" s="914" t="s">
        <v>1401</v>
      </c>
      <c r="B94" s="914" t="s">
        <v>1403</v>
      </c>
      <c r="C94" s="914">
        <v>2040</v>
      </c>
      <c r="D94" s="914" t="s">
        <v>1399</v>
      </c>
      <c r="E94" s="913">
        <v>137568.295663692</v>
      </c>
    </row>
    <row r="95" spans="1:5" x14ac:dyDescent="0.25">
      <c r="A95" s="914" t="s">
        <v>1401</v>
      </c>
      <c r="B95" s="914" t="s">
        <v>1404</v>
      </c>
      <c r="C95" s="914">
        <v>2050</v>
      </c>
      <c r="D95" s="914" t="s">
        <v>1402</v>
      </c>
      <c r="E95" s="913">
        <v>49792.084496843498</v>
      </c>
    </row>
    <row r="96" spans="1:5" x14ac:dyDescent="0.25">
      <c r="A96" s="914" t="s">
        <v>1401</v>
      </c>
      <c r="B96" s="914" t="s">
        <v>1404</v>
      </c>
      <c r="C96" s="914">
        <v>2050</v>
      </c>
      <c r="D96" s="914" t="s">
        <v>1399</v>
      </c>
      <c r="E96" s="913">
        <v>41690.739838148103</v>
      </c>
    </row>
    <row r="97" spans="1:5" x14ac:dyDescent="0.25">
      <c r="A97" s="914" t="s">
        <v>1401</v>
      </c>
      <c r="B97" s="914" t="s">
        <v>1403</v>
      </c>
      <c r="C97" s="914">
        <v>2050</v>
      </c>
      <c r="D97" s="914" t="s">
        <v>1402</v>
      </c>
      <c r="E97" s="913">
        <v>150623.84071644401</v>
      </c>
    </row>
    <row r="98" spans="1:5" x14ac:dyDescent="0.25">
      <c r="A98" s="914" t="s">
        <v>1401</v>
      </c>
      <c r="B98" s="914" t="s">
        <v>1403</v>
      </c>
      <c r="C98" s="914">
        <v>2050</v>
      </c>
      <c r="D98" s="914" t="s">
        <v>1399</v>
      </c>
      <c r="E98" s="913">
        <v>129616.08841927099</v>
      </c>
    </row>
    <row r="99" spans="1:5" x14ac:dyDescent="0.25">
      <c r="A99" s="914" t="s">
        <v>1401</v>
      </c>
      <c r="B99" s="914" t="s">
        <v>1400</v>
      </c>
      <c r="C99" s="914">
        <v>2050</v>
      </c>
      <c r="D99" s="914" t="s">
        <v>1402</v>
      </c>
      <c r="E99" s="913">
        <v>90380.630136863998</v>
      </c>
    </row>
    <row r="100" spans="1:5" x14ac:dyDescent="0.25">
      <c r="A100" s="914" t="s">
        <v>1401</v>
      </c>
      <c r="B100" s="914" t="s">
        <v>1400</v>
      </c>
      <c r="C100" s="914">
        <v>2050</v>
      </c>
      <c r="D100" s="914" t="s">
        <v>1399</v>
      </c>
      <c r="E100" s="913">
        <v>78766.276569039299</v>
      </c>
    </row>
  </sheetData>
  <hyperlinks>
    <hyperlink ref="H2" r:id="rId2" xr:uid="{ECC0B9B8-47E1-4313-85BC-F7961F78C41D}"/>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28042-4ED1-4B10-BDD1-2774347CDD1D}">
  <sheetPr>
    <tabColor rgb="FFAFEAFF"/>
  </sheetPr>
  <dimension ref="A1:AC87"/>
  <sheetViews>
    <sheetView topLeftCell="G15" workbookViewId="0">
      <selection activeCell="V27" sqref="U27:V27"/>
    </sheetView>
  </sheetViews>
  <sheetFormatPr defaultRowHeight="15" x14ac:dyDescent="0.25"/>
  <cols>
    <col min="1" max="5" width="9.140625" style="905"/>
    <col min="6" max="6" width="11.42578125" style="905" bestFit="1" customWidth="1"/>
    <col min="7" max="15" width="9.140625" style="905"/>
    <col min="16" max="16" width="12.5703125" style="905" bestFit="1" customWidth="1"/>
    <col min="17" max="23" width="9.140625" style="905"/>
    <col min="24" max="24" width="9.7109375" style="905" bestFit="1" customWidth="1"/>
    <col min="25" max="25" width="9.28515625" style="905" bestFit="1" customWidth="1"/>
    <col min="26" max="26" width="10" style="905" bestFit="1" customWidth="1"/>
    <col min="27" max="27" width="12" style="905" bestFit="1" customWidth="1"/>
    <col min="28" max="16384" width="9.140625" style="905"/>
  </cols>
  <sheetData>
    <row r="1" spans="1:29" ht="26.25" x14ac:dyDescent="0.25">
      <c r="A1" s="921" t="s">
        <v>1421</v>
      </c>
      <c r="B1" s="921" t="s">
        <v>1417</v>
      </c>
      <c r="C1" s="921" t="s">
        <v>1317</v>
      </c>
      <c r="D1" s="921" t="s">
        <v>586</v>
      </c>
      <c r="E1" s="921" t="s">
        <v>1420</v>
      </c>
      <c r="F1" s="921" t="s">
        <v>1410</v>
      </c>
      <c r="H1" s="920" t="s">
        <v>384</v>
      </c>
      <c r="I1" s="919" t="s">
        <v>1419</v>
      </c>
    </row>
    <row r="2" spans="1:29" x14ac:dyDescent="0.25">
      <c r="A2" s="914" t="s">
        <v>524</v>
      </c>
      <c r="B2" s="914" t="s">
        <v>1413</v>
      </c>
      <c r="C2" s="914" t="s">
        <v>697</v>
      </c>
      <c r="D2" s="914" t="s">
        <v>1402</v>
      </c>
      <c r="E2" s="914">
        <v>2020</v>
      </c>
      <c r="F2" s="913">
        <v>27438</v>
      </c>
      <c r="I2" s="743" t="s">
        <v>1418</v>
      </c>
    </row>
    <row r="3" spans="1:29" x14ac:dyDescent="0.25">
      <c r="A3" s="914" t="s">
        <v>524</v>
      </c>
      <c r="B3" s="914" t="s">
        <v>1413</v>
      </c>
      <c r="C3" s="914" t="s">
        <v>697</v>
      </c>
      <c r="D3" s="914" t="s">
        <v>1402</v>
      </c>
      <c r="E3" s="914">
        <v>2025</v>
      </c>
      <c r="F3" s="913">
        <v>27484</v>
      </c>
    </row>
    <row r="4" spans="1:29" x14ac:dyDescent="0.25">
      <c r="A4" s="914" t="s">
        <v>524</v>
      </c>
      <c r="B4" s="914" t="s">
        <v>1413</v>
      </c>
      <c r="C4" s="914" t="s">
        <v>1412</v>
      </c>
      <c r="D4" s="914" t="s">
        <v>1402</v>
      </c>
      <c r="E4" s="914">
        <v>2045</v>
      </c>
      <c r="F4" s="913">
        <v>39017</v>
      </c>
    </row>
    <row r="5" spans="1:29" x14ac:dyDescent="0.25">
      <c r="A5" s="914" t="s">
        <v>524</v>
      </c>
      <c r="B5" s="914" t="s">
        <v>1413</v>
      </c>
      <c r="C5" s="914" t="s">
        <v>1412</v>
      </c>
      <c r="D5" s="914" t="s">
        <v>1402</v>
      </c>
      <c r="E5" s="914">
        <v>2050</v>
      </c>
      <c r="F5" s="913">
        <v>38944</v>
      </c>
      <c r="H5" s="918" t="s">
        <v>586</v>
      </c>
      <c r="I5" s="905" t="s">
        <v>1402</v>
      </c>
      <c r="P5" s="141" t="s">
        <v>1397</v>
      </c>
      <c r="Q5" s="910">
        <v>14.898416666666668</v>
      </c>
      <c r="R5" t="s">
        <v>1398</v>
      </c>
      <c r="S5" s="912">
        <v>15.898018718397513</v>
      </c>
      <c r="T5" t="s">
        <v>1276</v>
      </c>
    </row>
    <row r="6" spans="1:29" x14ac:dyDescent="0.25">
      <c r="A6" s="914" t="s">
        <v>131</v>
      </c>
      <c r="B6" s="914" t="s">
        <v>1413</v>
      </c>
      <c r="C6" s="914" t="s">
        <v>697</v>
      </c>
      <c r="D6" s="914" t="s">
        <v>1402</v>
      </c>
      <c r="E6" s="914">
        <v>2020</v>
      </c>
      <c r="F6" s="913">
        <v>20947.725746915581</v>
      </c>
      <c r="H6" s="918" t="s">
        <v>1417</v>
      </c>
      <c r="I6" s="905" t="s">
        <v>1413</v>
      </c>
      <c r="R6" s="1010" t="s">
        <v>1461</v>
      </c>
      <c r="S6" s="1011">
        <v>0.05</v>
      </c>
      <c r="X6" s="1007" t="s">
        <v>1367</v>
      </c>
    </row>
    <row r="7" spans="1:29" x14ac:dyDescent="0.25">
      <c r="A7" s="914" t="s">
        <v>131</v>
      </c>
      <c r="B7" s="914" t="s">
        <v>1413</v>
      </c>
      <c r="C7" s="914" t="s">
        <v>697</v>
      </c>
      <c r="D7" s="914" t="s">
        <v>1402</v>
      </c>
      <c r="E7" s="914">
        <v>2025</v>
      </c>
      <c r="F7" s="913">
        <v>19876.189295586439</v>
      </c>
      <c r="I7" s="932" t="s">
        <v>1433</v>
      </c>
      <c r="P7" s="946" t="s">
        <v>1276</v>
      </c>
      <c r="Q7" s="947"/>
      <c r="R7" s="947"/>
      <c r="S7" s="947"/>
      <c r="T7" s="947"/>
      <c r="U7" s="947"/>
      <c r="V7" s="947"/>
    </row>
    <row r="8" spans="1:29" x14ac:dyDescent="0.25">
      <c r="A8" s="914" t="s">
        <v>131</v>
      </c>
      <c r="B8" s="914" t="s">
        <v>1413</v>
      </c>
      <c r="C8" s="914" t="s">
        <v>697</v>
      </c>
      <c r="D8" s="914" t="s">
        <v>1402</v>
      </c>
      <c r="E8" s="914">
        <v>2030</v>
      </c>
      <c r="F8" s="913">
        <v>20100.192605632921</v>
      </c>
      <c r="H8" s="918" t="s">
        <v>1407</v>
      </c>
      <c r="I8" s="918" t="s">
        <v>1406</v>
      </c>
      <c r="P8" s="947"/>
      <c r="Q8" s="947"/>
      <c r="R8" s="947"/>
      <c r="S8" s="947"/>
      <c r="T8" s="947"/>
      <c r="U8" s="947"/>
      <c r="V8" s="947"/>
    </row>
    <row r="9" spans="1:29" x14ac:dyDescent="0.25">
      <c r="A9" s="914" t="s">
        <v>131</v>
      </c>
      <c r="B9" s="914" t="s">
        <v>1413</v>
      </c>
      <c r="C9" s="914" t="s">
        <v>697</v>
      </c>
      <c r="D9" s="914" t="s">
        <v>1402</v>
      </c>
      <c r="E9" s="914">
        <v>2035</v>
      </c>
      <c r="F9" s="913">
        <v>19681.585083062921</v>
      </c>
      <c r="H9" s="918" t="s">
        <v>1405</v>
      </c>
      <c r="I9" s="905">
        <v>2020</v>
      </c>
      <c r="J9" s="905">
        <v>2025</v>
      </c>
      <c r="K9" s="905">
        <v>2030</v>
      </c>
      <c r="L9" s="905">
        <v>2035</v>
      </c>
      <c r="M9" s="905">
        <v>2040</v>
      </c>
      <c r="N9" s="905">
        <v>2045</v>
      </c>
      <c r="O9" s="905">
        <v>2050</v>
      </c>
      <c r="P9" s="947">
        <v>2020</v>
      </c>
      <c r="Q9" s="947">
        <v>2025</v>
      </c>
      <c r="R9" s="947">
        <v>2030</v>
      </c>
      <c r="S9" s="947">
        <v>2035</v>
      </c>
      <c r="T9" s="947">
        <v>2040</v>
      </c>
      <c r="U9" s="947">
        <v>2045</v>
      </c>
      <c r="V9" s="947">
        <v>2050</v>
      </c>
      <c r="X9" s="947">
        <v>2025</v>
      </c>
      <c r="Y9" s="947">
        <v>2030</v>
      </c>
      <c r="Z9" s="947">
        <v>2035</v>
      </c>
      <c r="AA9" s="947">
        <v>2040</v>
      </c>
      <c r="AB9" s="947">
        <v>2045</v>
      </c>
      <c r="AC9" s="947">
        <v>2050</v>
      </c>
    </row>
    <row r="10" spans="1:29" x14ac:dyDescent="0.25">
      <c r="A10" s="914" t="s">
        <v>131</v>
      </c>
      <c r="B10" s="914" t="s">
        <v>1413</v>
      </c>
      <c r="C10" s="914" t="s">
        <v>697</v>
      </c>
      <c r="D10" s="914" t="s">
        <v>1402</v>
      </c>
      <c r="E10" s="914">
        <v>2040</v>
      </c>
      <c r="F10" s="913">
        <v>18517.72515340809</v>
      </c>
      <c r="H10" s="917" t="s">
        <v>697</v>
      </c>
      <c r="I10" s="915"/>
      <c r="J10" s="915"/>
      <c r="K10" s="915"/>
      <c r="L10" s="915"/>
      <c r="M10" s="915"/>
      <c r="N10" s="915"/>
      <c r="O10" s="915"/>
      <c r="P10" s="947"/>
      <c r="Q10" s="947"/>
      <c r="R10" s="947"/>
      <c r="S10" s="947"/>
      <c r="T10" s="947"/>
      <c r="U10" s="947"/>
      <c r="V10" s="947"/>
      <c r="X10" s="905">
        <f>X9^2</f>
        <v>4100625</v>
      </c>
      <c r="Y10" s="905">
        <f t="shared" ref="Y10:AC10" si="0">Y9^2</f>
        <v>4120900</v>
      </c>
      <c r="Z10" s="905">
        <f t="shared" si="0"/>
        <v>4141225</v>
      </c>
      <c r="AA10" s="905">
        <f t="shared" si="0"/>
        <v>4161600</v>
      </c>
      <c r="AB10" s="905">
        <f t="shared" si="0"/>
        <v>4182025</v>
      </c>
      <c r="AC10" s="905">
        <f t="shared" si="0"/>
        <v>4202500</v>
      </c>
    </row>
    <row r="11" spans="1:29" x14ac:dyDescent="0.25">
      <c r="A11" s="914" t="s">
        <v>131</v>
      </c>
      <c r="B11" s="914" t="s">
        <v>1413</v>
      </c>
      <c r="C11" s="914" t="s">
        <v>697</v>
      </c>
      <c r="D11" s="914" t="s">
        <v>1402</v>
      </c>
      <c r="E11" s="914">
        <v>2045</v>
      </c>
      <c r="F11" s="913">
        <v>17679.0308170319</v>
      </c>
      <c r="H11" s="916" t="s">
        <v>131</v>
      </c>
      <c r="I11" s="915">
        <v>20947.725746915581</v>
      </c>
      <c r="J11" s="915">
        <v>19876.189295586439</v>
      </c>
      <c r="K11" s="915">
        <v>20100.192605632921</v>
      </c>
      <c r="L11" s="915">
        <v>19681.585083062921</v>
      </c>
      <c r="M11" s="915">
        <v>18517.72515340809</v>
      </c>
      <c r="N11" s="915">
        <v>17679.0308170319</v>
      </c>
      <c r="O11" s="915">
        <v>17155.84709574973</v>
      </c>
      <c r="P11" s="948">
        <f>I11*$S$5</f>
        <v>333027.33603232144</v>
      </c>
      <c r="Q11" s="948">
        <f t="shared" ref="Q11:V11" si="1">J11*$S$5</f>
        <v>315992.02947164548</v>
      </c>
      <c r="R11" s="948">
        <f t="shared" si="1"/>
        <v>319553.23828774743</v>
      </c>
      <c r="S11" s="948">
        <f t="shared" si="1"/>
        <v>312898.2080582676</v>
      </c>
      <c r="T11" s="948">
        <f t="shared" si="1"/>
        <v>294395.14111102227</v>
      </c>
      <c r="U11" s="948">
        <f t="shared" si="1"/>
        <v>281061.5628522996</v>
      </c>
      <c r="V11" s="948">
        <f t="shared" si="1"/>
        <v>272743.97825819481</v>
      </c>
      <c r="X11" s="905">
        <f>X9</f>
        <v>2025</v>
      </c>
      <c r="Y11" s="905">
        <f t="shared" ref="Y11:AC11" si="2">Y9</f>
        <v>2030</v>
      </c>
      <c r="Z11" s="905">
        <f t="shared" si="2"/>
        <v>2035</v>
      </c>
      <c r="AA11" s="905">
        <f t="shared" si="2"/>
        <v>2040</v>
      </c>
      <c r="AB11" s="905">
        <f t="shared" si="2"/>
        <v>2045</v>
      </c>
      <c r="AC11" s="905">
        <f t="shared" si="2"/>
        <v>2050</v>
      </c>
    </row>
    <row r="12" spans="1:29" x14ac:dyDescent="0.25">
      <c r="A12" s="914" t="s">
        <v>131</v>
      </c>
      <c r="B12" s="914" t="s">
        <v>1413</v>
      </c>
      <c r="C12" s="914" t="s">
        <v>697</v>
      </c>
      <c r="D12" s="914" t="s">
        <v>1402</v>
      </c>
      <c r="E12" s="914">
        <v>2050</v>
      </c>
      <c r="F12" s="913">
        <v>17155.84709574973</v>
      </c>
      <c r="H12" s="916" t="s">
        <v>1415</v>
      </c>
      <c r="I12" s="915">
        <v>24948.431767753111</v>
      </c>
      <c r="J12" s="915">
        <v>23662.889070231071</v>
      </c>
      <c r="K12" s="915">
        <v>24145.933038751489</v>
      </c>
      <c r="L12" s="915">
        <v>24016.43249726417</v>
      </c>
      <c r="M12" s="915">
        <v>23937.966112486731</v>
      </c>
      <c r="N12" s="915">
        <v>23059.2950808286</v>
      </c>
      <c r="O12" s="915">
        <v>22682.180285375129</v>
      </c>
      <c r="P12" s="948">
        <f t="shared" ref="P12:P14" si="3">I12*$S$5</f>
        <v>396630.63523840212</v>
      </c>
      <c r="Q12" s="948">
        <f t="shared" ref="Q12:Q15" si="4">J12*$S$5</f>
        <v>376193.05336989748</v>
      </c>
      <c r="R12" s="948">
        <f t="shared" ref="R12:R15" si="5">K12*$S$5</f>
        <v>383872.49542324408</v>
      </c>
      <c r="S12" s="948">
        <f t="shared" ref="S12:S15" si="6">L12*$S$5</f>
        <v>381813.69339063606</v>
      </c>
      <c r="T12" s="948">
        <f t="shared" ref="T12:T15" si="7">M12*$S$5</f>
        <v>380566.2333366794</v>
      </c>
      <c r="U12" s="948">
        <f t="shared" ref="U12:U15" si="8">N12*$S$5</f>
        <v>366597.1048280648</v>
      </c>
      <c r="V12" s="948">
        <f t="shared" ref="V12:V15" si="9">O12*$S$5</f>
        <v>360601.72675096081</v>
      </c>
      <c r="X12" s="948">
        <v>423729.89290144888</v>
      </c>
      <c r="Y12" s="948">
        <v>388086.65635265608</v>
      </c>
      <c r="Z12" s="948">
        <v>355131.86362513277</v>
      </c>
      <c r="AA12" s="948">
        <v>342292.31434550683</v>
      </c>
      <c r="AB12" s="948">
        <v>330667.12332752673</v>
      </c>
      <c r="AC12" s="948">
        <v>342077.66876375925</v>
      </c>
    </row>
    <row r="13" spans="1:29" x14ac:dyDescent="0.25">
      <c r="A13" s="914" t="s">
        <v>131</v>
      </c>
      <c r="B13" s="914" t="s">
        <v>1413</v>
      </c>
      <c r="C13" s="914" t="s">
        <v>460</v>
      </c>
      <c r="D13" s="914" t="s">
        <v>1402</v>
      </c>
      <c r="E13" s="914">
        <v>2020</v>
      </c>
      <c r="F13" s="913">
        <v>30054.131374924909</v>
      </c>
      <c r="H13" s="916" t="s">
        <v>524</v>
      </c>
      <c r="I13" s="915">
        <v>27438</v>
      </c>
      <c r="J13" s="915">
        <v>27484</v>
      </c>
      <c r="K13" s="915"/>
      <c r="L13" s="915"/>
      <c r="M13" s="915"/>
      <c r="N13" s="915"/>
      <c r="O13" s="915"/>
      <c r="P13" s="948">
        <f t="shared" si="3"/>
        <v>436209.83759539097</v>
      </c>
      <c r="Q13" s="948">
        <f t="shared" si="4"/>
        <v>436941.14645643724</v>
      </c>
      <c r="R13" s="948">
        <f t="shared" si="5"/>
        <v>0</v>
      </c>
      <c r="S13" s="948">
        <f t="shared" si="6"/>
        <v>0</v>
      </c>
      <c r="T13" s="948">
        <f t="shared" si="7"/>
        <v>0</v>
      </c>
      <c r="U13" s="948">
        <f t="shared" si="8"/>
        <v>0</v>
      </c>
      <c r="V13" s="948">
        <f t="shared" si="9"/>
        <v>0</v>
      </c>
      <c r="X13" s="948"/>
      <c r="Y13" s="948"/>
      <c r="Z13" s="948"/>
      <c r="AA13" s="948"/>
      <c r="AB13" s="948"/>
      <c r="AC13" s="948"/>
    </row>
    <row r="14" spans="1:29" x14ac:dyDescent="0.25">
      <c r="A14" s="914" t="s">
        <v>131</v>
      </c>
      <c r="B14" s="914" t="s">
        <v>1413</v>
      </c>
      <c r="C14" s="914" t="s">
        <v>460</v>
      </c>
      <c r="D14" s="914" t="s">
        <v>1402</v>
      </c>
      <c r="E14" s="914">
        <v>2025</v>
      </c>
      <c r="F14" s="913">
        <v>31006.578625478189</v>
      </c>
      <c r="H14" s="916" t="s">
        <v>692</v>
      </c>
      <c r="I14" s="915">
        <v>27749.448105028481</v>
      </c>
      <c r="J14" s="915">
        <v>27675</v>
      </c>
      <c r="K14" s="915">
        <v>27543.580796252929</v>
      </c>
      <c r="L14" s="915">
        <v>27404.035789473681</v>
      </c>
      <c r="M14" s="915"/>
      <c r="N14" s="915"/>
      <c r="O14" s="915"/>
      <c r="P14" s="948">
        <f t="shared" si="3"/>
        <v>441161.2453989432</v>
      </c>
      <c r="Q14" s="948">
        <f t="shared" si="4"/>
        <v>439977.66803165118</v>
      </c>
      <c r="R14" s="948">
        <f t="shared" si="5"/>
        <v>437888.36307052331</v>
      </c>
      <c r="S14" s="948">
        <f t="shared" si="6"/>
        <v>435669.87394068792</v>
      </c>
      <c r="T14" s="948">
        <f t="shared" si="7"/>
        <v>0</v>
      </c>
      <c r="U14" s="948">
        <f t="shared" si="8"/>
        <v>0</v>
      </c>
      <c r="V14" s="948">
        <f t="shared" si="9"/>
        <v>0</v>
      </c>
      <c r="X14" s="905">
        <f t="array" ref="X14:Z14">LINEST(X12:AC12,X9:AC10,TRUE,FALSE)</f>
        <v>228.99094054522095</v>
      </c>
      <c r="Y14" s="905">
        <v>-936528.70711630932</v>
      </c>
      <c r="Z14" s="905">
        <v>957889785.9738096</v>
      </c>
    </row>
    <row r="15" spans="1:29" x14ac:dyDescent="0.25">
      <c r="A15" s="914" t="s">
        <v>131</v>
      </c>
      <c r="B15" s="914" t="s">
        <v>1413</v>
      </c>
      <c r="C15" s="914" t="s">
        <v>460</v>
      </c>
      <c r="D15" s="914" t="s">
        <v>1402</v>
      </c>
      <c r="E15" s="914">
        <v>2030</v>
      </c>
      <c r="F15" s="913">
        <v>31652.877098076809</v>
      </c>
      <c r="H15" s="916" t="s">
        <v>1416</v>
      </c>
      <c r="I15" s="915"/>
      <c r="J15" s="915">
        <v>26653</v>
      </c>
      <c r="K15" s="915">
        <v>24411.007637294719</v>
      </c>
      <c r="L15" s="915">
        <v>22338.12086371284</v>
      </c>
      <c r="M15" s="915">
        <v>21530.50140451773</v>
      </c>
      <c r="N15" s="915">
        <v>20799.266196917481</v>
      </c>
      <c r="O15" s="915">
        <v>21517</v>
      </c>
      <c r="P15" s="948"/>
      <c r="Q15" s="948">
        <f t="shared" si="4"/>
        <v>423729.89290144888</v>
      </c>
      <c r="R15" s="948">
        <f t="shared" si="5"/>
        <v>388086.65635265608</v>
      </c>
      <c r="S15" s="948">
        <f t="shared" si="6"/>
        <v>355131.86362513277</v>
      </c>
      <c r="T15" s="948">
        <f t="shared" si="7"/>
        <v>342292.31434550683</v>
      </c>
      <c r="U15" s="948">
        <f t="shared" si="8"/>
        <v>330667.12332752673</v>
      </c>
      <c r="V15" s="948">
        <f t="shared" si="9"/>
        <v>342077.66876375925</v>
      </c>
    </row>
    <row r="16" spans="1:29" x14ac:dyDescent="0.25">
      <c r="A16" s="914" t="s">
        <v>131</v>
      </c>
      <c r="B16" s="914" t="s">
        <v>1413</v>
      </c>
      <c r="C16" s="914" t="s">
        <v>460</v>
      </c>
      <c r="D16" s="914" t="s">
        <v>1402</v>
      </c>
      <c r="E16" s="914">
        <v>2035</v>
      </c>
      <c r="F16" s="913">
        <v>31573.772243819691</v>
      </c>
      <c r="H16" s="917" t="s">
        <v>460</v>
      </c>
      <c r="I16" s="915"/>
      <c r="J16" s="915"/>
      <c r="K16" s="915"/>
      <c r="L16" s="915"/>
      <c r="M16" s="915"/>
      <c r="N16" s="915"/>
      <c r="O16" s="915"/>
      <c r="P16" s="947"/>
      <c r="Q16" s="947"/>
      <c r="R16" s="947"/>
      <c r="S16" s="947"/>
      <c r="T16" s="947"/>
      <c r="U16" s="947"/>
      <c r="V16" s="947"/>
    </row>
    <row r="17" spans="1:22" x14ac:dyDescent="0.25">
      <c r="A17" s="914" t="s">
        <v>131</v>
      </c>
      <c r="B17" s="914" t="s">
        <v>1413</v>
      </c>
      <c r="C17" s="914" t="s">
        <v>460</v>
      </c>
      <c r="D17" s="914" t="s">
        <v>1402</v>
      </c>
      <c r="E17" s="914">
        <v>2040</v>
      </c>
      <c r="F17" s="913">
        <v>31630.88593324774</v>
      </c>
      <c r="H17" s="916" t="s">
        <v>131</v>
      </c>
      <c r="I17" s="915">
        <v>30054.131374924909</v>
      </c>
      <c r="J17" s="915">
        <v>31006.578625478189</v>
      </c>
      <c r="K17" s="915">
        <v>31652.877098076809</v>
      </c>
      <c r="L17" s="915">
        <v>31573.772243819691</v>
      </c>
      <c r="M17" s="915">
        <v>31630.88593324774</v>
      </c>
      <c r="N17" s="915">
        <v>31799.19058868504</v>
      </c>
      <c r="O17" s="915">
        <v>31655.462469864899</v>
      </c>
      <c r="P17" s="948">
        <f>I17*$S$5</f>
        <v>477801.14316373417</v>
      </c>
      <c r="Q17" s="948">
        <f t="shared" ref="Q17:Q21" si="10">J17*$S$5</f>
        <v>492943.16738131648</v>
      </c>
      <c r="R17" s="948">
        <f t="shared" ref="R17:R21" si="11">K17*$S$5</f>
        <v>503218.03259636107</v>
      </c>
      <c r="S17" s="948">
        <f t="shared" ref="S17:S21" si="12">L17*$S$5</f>
        <v>501960.42214266525</v>
      </c>
      <c r="T17" s="948">
        <f t="shared" ref="T17:T21" si="13">M17*$S$5</f>
        <v>502868.41664626915</v>
      </c>
      <c r="U17" s="948">
        <f t="shared" ref="U17:U21" si="14">N17*$S$5</f>
        <v>505544.12720880477</v>
      </c>
      <c r="V17" s="948">
        <f t="shared" ref="V17:V21" si="15">O17*$S$5</f>
        <v>503259.13488544209</v>
      </c>
    </row>
    <row r="18" spans="1:22" x14ac:dyDescent="0.25">
      <c r="A18" s="914" t="s">
        <v>131</v>
      </c>
      <c r="B18" s="914" t="s">
        <v>1413</v>
      </c>
      <c r="C18" s="914" t="s">
        <v>460</v>
      </c>
      <c r="D18" s="914" t="s">
        <v>1402</v>
      </c>
      <c r="E18" s="914">
        <v>2045</v>
      </c>
      <c r="F18" s="913">
        <v>31799.19058868504</v>
      </c>
      <c r="H18" s="916" t="s">
        <v>1415</v>
      </c>
      <c r="I18" s="915">
        <v>33046.648868548182</v>
      </c>
      <c r="J18" s="915">
        <v>36195.294034766383</v>
      </c>
      <c r="K18" s="915">
        <v>40334.515671451627</v>
      </c>
      <c r="L18" s="915">
        <v>40522.75894803369</v>
      </c>
      <c r="M18" s="915">
        <v>40452.239671626798</v>
      </c>
      <c r="N18" s="915">
        <v>40529.851955670238</v>
      </c>
      <c r="O18" s="915">
        <v>40495.974202742887</v>
      </c>
      <c r="P18" s="948">
        <f t="shared" ref="P18:P21" si="16">I18*$S$5</f>
        <v>525376.24229248893</v>
      </c>
      <c r="Q18" s="948">
        <f t="shared" si="10"/>
        <v>575433.4620826178</v>
      </c>
      <c r="R18" s="948">
        <f t="shared" si="11"/>
        <v>641238.88514223578</v>
      </c>
      <c r="S18" s="948">
        <f t="shared" si="12"/>
        <v>644231.58027694991</v>
      </c>
      <c r="T18" s="948">
        <f t="shared" si="13"/>
        <v>643110.46350062522</v>
      </c>
      <c r="U18" s="948">
        <f t="shared" si="14"/>
        <v>644344.34504512546</v>
      </c>
      <c r="V18" s="948">
        <f t="shared" si="15"/>
        <v>643805.75589494919</v>
      </c>
    </row>
    <row r="19" spans="1:22" x14ac:dyDescent="0.25">
      <c r="A19" s="914" t="s">
        <v>131</v>
      </c>
      <c r="B19" s="914" t="s">
        <v>1413</v>
      </c>
      <c r="C19" s="914" t="s">
        <v>460</v>
      </c>
      <c r="D19" s="914" t="s">
        <v>1402</v>
      </c>
      <c r="E19" s="914">
        <v>2050</v>
      </c>
      <c r="F19" s="913">
        <v>31655.462469864899</v>
      </c>
      <c r="H19" s="916" t="s">
        <v>1414</v>
      </c>
      <c r="I19" s="915">
        <v>34082.071857520023</v>
      </c>
      <c r="J19" s="915">
        <v>33307.879286745592</v>
      </c>
      <c r="K19" s="915">
        <v>33012.414457609862</v>
      </c>
      <c r="L19" s="915">
        <v>32789.596804194807</v>
      </c>
      <c r="M19" s="915">
        <v>32591.72361008263</v>
      </c>
      <c r="N19" s="915">
        <v>32476.058176192131</v>
      </c>
      <c r="O19" s="915">
        <v>32360.604806501378</v>
      </c>
      <c r="P19" s="948">
        <f t="shared" si="16"/>
        <v>541837.41635262244</v>
      </c>
      <c r="Q19" s="948">
        <f t="shared" si="10"/>
        <v>529529.28837080626</v>
      </c>
      <c r="R19" s="948">
        <f t="shared" si="11"/>
        <v>524831.98298657825</v>
      </c>
      <c r="S19" s="948">
        <f t="shared" si="12"/>
        <v>521289.62376179628</v>
      </c>
      <c r="T19" s="948">
        <f t="shared" si="13"/>
        <v>518143.8320179318</v>
      </c>
      <c r="U19" s="948">
        <f t="shared" si="14"/>
        <v>516304.98078486911</v>
      </c>
      <c r="V19" s="948">
        <f t="shared" si="15"/>
        <v>514469.50095242343</v>
      </c>
    </row>
    <row r="20" spans="1:22" x14ac:dyDescent="0.25">
      <c r="A20" s="914" t="s">
        <v>131</v>
      </c>
      <c r="B20" s="914" t="s">
        <v>1413</v>
      </c>
      <c r="C20" s="914" t="s">
        <v>1412</v>
      </c>
      <c r="D20" s="914" t="s">
        <v>1402</v>
      </c>
      <c r="E20" s="914">
        <v>2020</v>
      </c>
      <c r="F20" s="913">
        <v>30882.519974980161</v>
      </c>
      <c r="H20" s="916" t="s">
        <v>692</v>
      </c>
      <c r="I20" s="915"/>
      <c r="J20" s="915">
        <v>42426.567287090344</v>
      </c>
      <c r="K20" s="915">
        <v>45179.551483243253</v>
      </c>
      <c r="L20" s="915">
        <v>44970.124278093477</v>
      </c>
      <c r="M20" s="915">
        <v>44830.995328423887</v>
      </c>
      <c r="N20" s="915">
        <v>44847.280231817698</v>
      </c>
      <c r="O20" s="915">
        <v>44752.312897437027</v>
      </c>
      <c r="P20" s="948">
        <f t="shared" si="16"/>
        <v>0</v>
      </c>
      <c r="Q20" s="948">
        <f t="shared" si="10"/>
        <v>674498.36088751385</v>
      </c>
      <c r="R20" s="948">
        <f t="shared" si="11"/>
        <v>718265.35516940535</v>
      </c>
      <c r="S20" s="948">
        <f t="shared" si="12"/>
        <v>714935.87754179258</v>
      </c>
      <c r="T20" s="948">
        <f t="shared" si="13"/>
        <v>712724.00289567444</v>
      </c>
      <c r="U20" s="948">
        <f t="shared" si="14"/>
        <v>712982.90059465647</v>
      </c>
      <c r="V20" s="948">
        <f t="shared" si="15"/>
        <v>711473.10813503631</v>
      </c>
    </row>
    <row r="21" spans="1:22" x14ac:dyDescent="0.25">
      <c r="A21" s="914" t="s">
        <v>131</v>
      </c>
      <c r="B21" s="914" t="s">
        <v>1413</v>
      </c>
      <c r="C21" s="914" t="s">
        <v>1412</v>
      </c>
      <c r="D21" s="914" t="s">
        <v>1402</v>
      </c>
      <c r="E21" s="914">
        <v>2025</v>
      </c>
      <c r="F21" s="913">
        <v>31126.34670531705</v>
      </c>
      <c r="H21" s="916" t="s">
        <v>1416</v>
      </c>
      <c r="I21" s="915">
        <v>40476</v>
      </c>
      <c r="J21" s="915">
        <v>34613.079007954562</v>
      </c>
      <c r="K21" s="915">
        <v>35665.17601899134</v>
      </c>
      <c r="L21" s="915">
        <v>33403.169661682958</v>
      </c>
      <c r="M21" s="915">
        <v>32811.580997352619</v>
      </c>
      <c r="N21" s="915">
        <v>31981.186715997039</v>
      </c>
      <c r="O21" s="915">
        <v>30972.672317599339</v>
      </c>
      <c r="P21" s="948">
        <f t="shared" si="16"/>
        <v>643488.20564585773</v>
      </c>
      <c r="Q21" s="948">
        <f t="shared" si="10"/>
        <v>550279.37796983367</v>
      </c>
      <c r="R21" s="948">
        <f t="shared" si="11"/>
        <v>567005.63594486646</v>
      </c>
      <c r="S21" s="948">
        <f t="shared" si="12"/>
        <v>531044.21653524355</v>
      </c>
      <c r="T21" s="948">
        <f t="shared" si="13"/>
        <v>521639.12887612806</v>
      </c>
      <c r="U21" s="948">
        <f t="shared" si="14"/>
        <v>508437.5050474868</v>
      </c>
      <c r="V21" s="948">
        <f t="shared" si="15"/>
        <v>492404.12426398677</v>
      </c>
    </row>
    <row r="22" spans="1:22" x14ac:dyDescent="0.25">
      <c r="A22" s="914" t="s">
        <v>131</v>
      </c>
      <c r="B22" s="914" t="s">
        <v>1413</v>
      </c>
      <c r="C22" s="914" t="s">
        <v>1412</v>
      </c>
      <c r="D22" s="914" t="s">
        <v>1402</v>
      </c>
      <c r="E22" s="914">
        <v>2030</v>
      </c>
      <c r="F22" s="913">
        <v>31424.915493633849</v>
      </c>
      <c r="H22" s="917" t="s">
        <v>1412</v>
      </c>
      <c r="I22" s="915"/>
      <c r="J22" s="915"/>
      <c r="K22" s="915"/>
      <c r="L22" s="915"/>
      <c r="M22" s="915"/>
      <c r="N22" s="915"/>
      <c r="O22" s="915"/>
      <c r="P22" s="947"/>
      <c r="Q22" s="947"/>
      <c r="R22" s="947"/>
      <c r="S22" s="947"/>
      <c r="T22" s="947"/>
      <c r="U22" s="947"/>
      <c r="V22" s="947"/>
    </row>
    <row r="23" spans="1:22" x14ac:dyDescent="0.25">
      <c r="A23" s="914" t="s">
        <v>131</v>
      </c>
      <c r="B23" s="914" t="s">
        <v>1413</v>
      </c>
      <c r="C23" s="914" t="s">
        <v>1412</v>
      </c>
      <c r="D23" s="914" t="s">
        <v>1402</v>
      </c>
      <c r="E23" s="914">
        <v>2035</v>
      </c>
      <c r="F23" s="913">
        <v>31628.26093048913</v>
      </c>
      <c r="H23" s="916" t="s">
        <v>131</v>
      </c>
      <c r="I23" s="915">
        <v>30882.519974980161</v>
      </c>
      <c r="J23" s="915">
        <v>31126.34670531705</v>
      </c>
      <c r="K23" s="915">
        <v>31424.915493633849</v>
      </c>
      <c r="L23" s="915">
        <v>31628.26093048913</v>
      </c>
      <c r="M23" s="915">
        <v>32429.515359170218</v>
      </c>
      <c r="N23" s="915">
        <v>31556.633745863641</v>
      </c>
      <c r="O23" s="915">
        <v>31556.47013599642</v>
      </c>
      <c r="P23" s="948">
        <f>I23*$S$5</f>
        <v>490970.88063351967</v>
      </c>
      <c r="Q23" s="948">
        <f t="shared" ref="Q23:Q27" si="17">J23*$S$5</f>
        <v>494847.24255646119</v>
      </c>
      <c r="R23" s="948">
        <f t="shared" ref="R23:R27" si="18">K23*$S$5</f>
        <v>499593.89474185096</v>
      </c>
      <c r="S23" s="948">
        <f t="shared" ref="S23:S27" si="19">L23*$S$5</f>
        <v>502826.68430327694</v>
      </c>
      <c r="T23" s="948">
        <f t="shared" ref="T23:T27" si="20">M23*$S$5</f>
        <v>515565.04220864776</v>
      </c>
      <c r="U23" s="948">
        <f t="shared" ref="U23:U27" si="21">N23*$S$5</f>
        <v>501687.95398135477</v>
      </c>
      <c r="V23" s="948">
        <f t="shared" ref="V23:V27" si="22">O23*$S$5</f>
        <v>501685.35290862317</v>
      </c>
    </row>
    <row r="24" spans="1:22" x14ac:dyDescent="0.25">
      <c r="A24" s="914" t="s">
        <v>131</v>
      </c>
      <c r="B24" s="914" t="s">
        <v>1413</v>
      </c>
      <c r="C24" s="914" t="s">
        <v>1412</v>
      </c>
      <c r="D24" s="914" t="s">
        <v>1402</v>
      </c>
      <c r="E24" s="914">
        <v>2040</v>
      </c>
      <c r="F24" s="913">
        <v>32429.515359170218</v>
      </c>
      <c r="H24" s="916" t="s">
        <v>1415</v>
      </c>
      <c r="I24" s="915">
        <v>30095</v>
      </c>
      <c r="J24" s="915">
        <v>29628</v>
      </c>
      <c r="K24" s="915">
        <v>29532</v>
      </c>
      <c r="L24" s="915">
        <v>29457</v>
      </c>
      <c r="M24" s="915">
        <v>29382</v>
      </c>
      <c r="N24" s="915">
        <v>31925.460580912859</v>
      </c>
      <c r="O24" s="915">
        <v>31879.739934826019</v>
      </c>
      <c r="P24" s="948">
        <f t="shared" ref="P24:V24" si="23">I24*$S$5*(1+$S$6)</f>
        <v>502373.41699668183</v>
      </c>
      <c r="Q24" s="948">
        <f t="shared" si="23"/>
        <v>494577.82351811562</v>
      </c>
      <c r="R24" s="948">
        <f t="shared" si="23"/>
        <v>492975.30323130114</v>
      </c>
      <c r="S24" s="948">
        <f t="shared" si="23"/>
        <v>491723.33425722731</v>
      </c>
      <c r="T24" s="948">
        <f t="shared" si="23"/>
        <v>490471.36528315354</v>
      </c>
      <c r="U24" s="948">
        <f t="shared" si="23"/>
        <v>532929.14840425528</v>
      </c>
      <c r="V24" s="948">
        <f t="shared" si="23"/>
        <v>532165.93733258417</v>
      </c>
    </row>
    <row r="25" spans="1:22" x14ac:dyDescent="0.25">
      <c r="A25" s="914" t="s">
        <v>131</v>
      </c>
      <c r="B25" s="914" t="s">
        <v>1413</v>
      </c>
      <c r="C25" s="914" t="s">
        <v>1412</v>
      </c>
      <c r="D25" s="914" t="s">
        <v>1402</v>
      </c>
      <c r="E25" s="914">
        <v>2045</v>
      </c>
      <c r="F25" s="913">
        <v>31556.633745863641</v>
      </c>
      <c r="H25" s="916" t="s">
        <v>524</v>
      </c>
      <c r="I25" s="915"/>
      <c r="J25" s="915"/>
      <c r="K25" s="915"/>
      <c r="L25" s="915"/>
      <c r="M25" s="915"/>
      <c r="N25" s="915">
        <v>39017</v>
      </c>
      <c r="O25" s="915">
        <v>38944</v>
      </c>
      <c r="P25" s="948">
        <f t="shared" ref="P25:P27" si="24">I25*$S$5</f>
        <v>0</v>
      </c>
      <c r="Q25" s="948">
        <f t="shared" si="17"/>
        <v>0</v>
      </c>
      <c r="R25" s="948">
        <f t="shared" si="18"/>
        <v>0</v>
      </c>
      <c r="S25" s="948">
        <f t="shared" si="19"/>
        <v>0</v>
      </c>
      <c r="T25" s="948">
        <f t="shared" si="20"/>
        <v>0</v>
      </c>
      <c r="U25" s="948">
        <f t="shared" si="21"/>
        <v>620292.99633571575</v>
      </c>
      <c r="V25" s="948">
        <f t="shared" si="22"/>
        <v>619132.44096927275</v>
      </c>
    </row>
    <row r="26" spans="1:22" x14ac:dyDescent="0.25">
      <c r="A26" s="914" t="s">
        <v>131</v>
      </c>
      <c r="B26" s="914" t="s">
        <v>1413</v>
      </c>
      <c r="C26" s="914" t="s">
        <v>1412</v>
      </c>
      <c r="D26" s="914" t="s">
        <v>1402</v>
      </c>
      <c r="E26" s="914">
        <v>2050</v>
      </c>
      <c r="F26" s="913">
        <v>31556.47013599642</v>
      </c>
      <c r="H26" s="916" t="s">
        <v>1414</v>
      </c>
      <c r="I26" s="915"/>
      <c r="J26" s="915">
        <v>36524</v>
      </c>
      <c r="K26" s="915">
        <v>35458.397283924423</v>
      </c>
      <c r="L26" s="915">
        <v>35262.018263581384</v>
      </c>
      <c r="M26" s="915">
        <v>35065.190593039013</v>
      </c>
      <c r="N26" s="915">
        <v>35174.893440238528</v>
      </c>
      <c r="O26" s="915">
        <v>35058.630662371652</v>
      </c>
      <c r="P26" s="948">
        <f t="shared" si="24"/>
        <v>0</v>
      </c>
      <c r="Q26" s="948">
        <f t="shared" si="17"/>
        <v>580659.23567075073</v>
      </c>
      <c r="R26" s="948">
        <f t="shared" si="18"/>
        <v>563718.26374420605</v>
      </c>
      <c r="S26" s="948">
        <f t="shared" si="19"/>
        <v>560596.2264028918</v>
      </c>
      <c r="T26" s="948">
        <f t="shared" si="20"/>
        <v>557467.05641231057</v>
      </c>
      <c r="U26" s="948">
        <f t="shared" si="21"/>
        <v>559211.11433054996</v>
      </c>
      <c r="V26" s="948">
        <f t="shared" si="22"/>
        <v>557362.7665117695</v>
      </c>
    </row>
    <row r="27" spans="1:22" x14ac:dyDescent="0.25">
      <c r="A27" s="914" t="s">
        <v>692</v>
      </c>
      <c r="B27" s="914" t="s">
        <v>1413</v>
      </c>
      <c r="C27" s="914" t="s">
        <v>697</v>
      </c>
      <c r="D27" s="914" t="s">
        <v>1402</v>
      </c>
      <c r="E27" s="914">
        <v>2020</v>
      </c>
      <c r="F27" s="913">
        <v>27749.448105028481</v>
      </c>
      <c r="H27" s="916" t="s">
        <v>692</v>
      </c>
      <c r="I27" s="915"/>
      <c r="J27" s="915"/>
      <c r="K27" s="915"/>
      <c r="L27" s="915"/>
      <c r="M27" s="915"/>
      <c r="N27" s="915">
        <v>41010</v>
      </c>
      <c r="O27" s="915">
        <v>40820</v>
      </c>
      <c r="P27" s="948">
        <f t="shared" si="24"/>
        <v>0</v>
      </c>
      <c r="Q27" s="948">
        <f t="shared" si="17"/>
        <v>0</v>
      </c>
      <c r="R27" s="948">
        <f t="shared" si="18"/>
        <v>0</v>
      </c>
      <c r="S27" s="948">
        <f t="shared" si="19"/>
        <v>0</v>
      </c>
      <c r="T27" s="948">
        <f t="shared" si="20"/>
        <v>0</v>
      </c>
      <c r="U27" s="948">
        <f t="shared" si="21"/>
        <v>651977.74764148204</v>
      </c>
      <c r="V27" s="948">
        <f t="shared" si="22"/>
        <v>648957.12408498651</v>
      </c>
    </row>
    <row r="28" spans="1:22" x14ac:dyDescent="0.25">
      <c r="A28" s="914" t="s">
        <v>692</v>
      </c>
      <c r="B28" s="914" t="s">
        <v>1413</v>
      </c>
      <c r="C28" s="914" t="s">
        <v>697</v>
      </c>
      <c r="D28" s="914" t="s">
        <v>1402</v>
      </c>
      <c r="E28" s="914">
        <v>2025</v>
      </c>
      <c r="F28" s="913">
        <v>27675</v>
      </c>
      <c r="H28" s="916" t="s">
        <v>1416</v>
      </c>
      <c r="I28" s="915"/>
      <c r="J28" s="915"/>
      <c r="K28" s="915"/>
      <c r="L28" s="915"/>
      <c r="M28" s="915"/>
      <c r="N28" s="915">
        <v>39096.818827178897</v>
      </c>
      <c r="O28" s="915">
        <v>37948.063431501127</v>
      </c>
      <c r="P28" s="948">
        <f>I28*$S$5</f>
        <v>0</v>
      </c>
      <c r="Q28" s="948">
        <f t="shared" ref="Q28" si="25">J28*$S$5</f>
        <v>0</v>
      </c>
      <c r="R28" s="948">
        <f t="shared" ref="R28" si="26">K28*$S$5</f>
        <v>0</v>
      </c>
      <c r="S28" s="948">
        <f t="shared" ref="S28" si="27">L28*$S$5</f>
        <v>0</v>
      </c>
      <c r="T28" s="948">
        <f t="shared" ref="T28" si="28">M28*$S$5</f>
        <v>0</v>
      </c>
      <c r="U28" s="948">
        <f t="shared" ref="U28" si="29">N28*$S$5</f>
        <v>621561.95754428639</v>
      </c>
      <c r="V28" s="948">
        <f t="shared" ref="V28" si="30">O28*$S$5</f>
        <v>603299.02276094106</v>
      </c>
    </row>
    <row r="29" spans="1:22" x14ac:dyDescent="0.25">
      <c r="A29" s="914" t="s">
        <v>692</v>
      </c>
      <c r="B29" s="914" t="s">
        <v>1413</v>
      </c>
      <c r="C29" s="914" t="s">
        <v>697</v>
      </c>
      <c r="D29" s="914" t="s">
        <v>1402</v>
      </c>
      <c r="E29" s="914">
        <v>2030</v>
      </c>
      <c r="F29" s="913">
        <v>27543.580796252929</v>
      </c>
    </row>
    <row r="30" spans="1:22" x14ac:dyDescent="0.25">
      <c r="A30" s="914" t="s">
        <v>692</v>
      </c>
      <c r="B30" s="914" t="s">
        <v>1413</v>
      </c>
      <c r="C30" s="914" t="s">
        <v>697</v>
      </c>
      <c r="D30" s="914" t="s">
        <v>1402</v>
      </c>
      <c r="E30" s="914">
        <v>2035</v>
      </c>
      <c r="F30" s="913">
        <v>27404.035789473681</v>
      </c>
      <c r="H30" s="932" t="s">
        <v>1442</v>
      </c>
    </row>
    <row r="31" spans="1:22" x14ac:dyDescent="0.25">
      <c r="A31" s="914" t="s">
        <v>692</v>
      </c>
      <c r="B31" s="914" t="s">
        <v>1413</v>
      </c>
      <c r="C31" s="914" t="s">
        <v>460</v>
      </c>
      <c r="D31" s="914" t="s">
        <v>1402</v>
      </c>
      <c r="E31" s="914">
        <v>2025</v>
      </c>
      <c r="F31" s="913">
        <v>42426.567287090344</v>
      </c>
      <c r="H31" s="932" t="s">
        <v>697</v>
      </c>
    </row>
    <row r="32" spans="1:22" x14ac:dyDescent="0.25">
      <c r="A32" s="914" t="s">
        <v>692</v>
      </c>
      <c r="B32" s="914" t="s">
        <v>1413</v>
      </c>
      <c r="C32" s="914" t="s">
        <v>460</v>
      </c>
      <c r="D32" s="914" t="s">
        <v>1402</v>
      </c>
      <c r="E32" s="914">
        <v>2030</v>
      </c>
      <c r="F32" s="913">
        <v>45179.551483243253</v>
      </c>
      <c r="H32" s="932" t="s">
        <v>1435</v>
      </c>
    </row>
    <row r="33" spans="1:8" x14ac:dyDescent="0.25">
      <c r="A33" s="914" t="s">
        <v>692</v>
      </c>
      <c r="B33" s="914" t="s">
        <v>1413</v>
      </c>
      <c r="C33" s="914" t="s">
        <v>460</v>
      </c>
      <c r="D33" s="914" t="s">
        <v>1402</v>
      </c>
      <c r="E33" s="914">
        <v>2035</v>
      </c>
      <c r="F33" s="913">
        <v>44970.124278093477</v>
      </c>
      <c r="H33" s="932" t="s">
        <v>1412</v>
      </c>
    </row>
    <row r="34" spans="1:8" x14ac:dyDescent="0.25">
      <c r="A34" s="914" t="s">
        <v>692</v>
      </c>
      <c r="B34" s="914" t="s">
        <v>1413</v>
      </c>
      <c r="C34" s="914" t="s">
        <v>460</v>
      </c>
      <c r="D34" s="914" t="s">
        <v>1402</v>
      </c>
      <c r="E34" s="914">
        <v>2040</v>
      </c>
      <c r="F34" s="913">
        <v>44830.995328423887</v>
      </c>
    </row>
    <row r="35" spans="1:8" x14ac:dyDescent="0.25">
      <c r="A35" s="914" t="s">
        <v>692</v>
      </c>
      <c r="B35" s="914" t="s">
        <v>1413</v>
      </c>
      <c r="C35" s="914" t="s">
        <v>460</v>
      </c>
      <c r="D35" s="914" t="s">
        <v>1402</v>
      </c>
      <c r="E35" s="914">
        <v>2045</v>
      </c>
      <c r="F35" s="913">
        <v>44847.280231817698</v>
      </c>
    </row>
    <row r="36" spans="1:8" x14ac:dyDescent="0.25">
      <c r="A36" s="914" t="s">
        <v>692</v>
      </c>
      <c r="B36" s="914" t="s">
        <v>1413</v>
      </c>
      <c r="C36" s="914" t="s">
        <v>460</v>
      </c>
      <c r="D36" s="914" t="s">
        <v>1402</v>
      </c>
      <c r="E36" s="914">
        <v>2050</v>
      </c>
      <c r="F36" s="913">
        <v>44752.312897437027</v>
      </c>
    </row>
    <row r="37" spans="1:8" x14ac:dyDescent="0.25">
      <c r="A37" s="914" t="s">
        <v>692</v>
      </c>
      <c r="B37" s="914" t="s">
        <v>1413</v>
      </c>
      <c r="C37" s="914" t="s">
        <v>1412</v>
      </c>
      <c r="D37" s="914" t="s">
        <v>1402</v>
      </c>
      <c r="E37" s="914">
        <v>2045</v>
      </c>
      <c r="F37" s="913">
        <v>41010</v>
      </c>
    </row>
    <row r="38" spans="1:8" x14ac:dyDescent="0.25">
      <c r="A38" s="914" t="s">
        <v>692</v>
      </c>
      <c r="B38" s="914" t="s">
        <v>1413</v>
      </c>
      <c r="C38" s="914" t="s">
        <v>1412</v>
      </c>
      <c r="D38" s="914" t="s">
        <v>1402</v>
      </c>
      <c r="E38" s="914">
        <v>2050</v>
      </c>
      <c r="F38" s="913">
        <v>40820</v>
      </c>
    </row>
    <row r="39" spans="1:8" x14ac:dyDescent="0.25">
      <c r="A39" s="914" t="s">
        <v>1416</v>
      </c>
      <c r="B39" s="914" t="s">
        <v>1413</v>
      </c>
      <c r="C39" s="914" t="s">
        <v>697</v>
      </c>
      <c r="D39" s="914" t="s">
        <v>1402</v>
      </c>
      <c r="E39" s="914">
        <v>2025</v>
      </c>
      <c r="F39" s="913">
        <v>26653</v>
      </c>
    </row>
    <row r="40" spans="1:8" x14ac:dyDescent="0.25">
      <c r="A40" s="914" t="s">
        <v>1416</v>
      </c>
      <c r="B40" s="914" t="s">
        <v>1413</v>
      </c>
      <c r="C40" s="914" t="s">
        <v>697</v>
      </c>
      <c r="D40" s="914" t="s">
        <v>1402</v>
      </c>
      <c r="E40" s="914">
        <v>2030</v>
      </c>
      <c r="F40" s="913">
        <v>24411.007637294719</v>
      </c>
    </row>
    <row r="41" spans="1:8" x14ac:dyDescent="0.25">
      <c r="A41" s="914" t="s">
        <v>1416</v>
      </c>
      <c r="B41" s="914" t="s">
        <v>1413</v>
      </c>
      <c r="C41" s="914" t="s">
        <v>697</v>
      </c>
      <c r="D41" s="914" t="s">
        <v>1402</v>
      </c>
      <c r="E41" s="914">
        <v>2035</v>
      </c>
      <c r="F41" s="913">
        <v>22338.12086371284</v>
      </c>
    </row>
    <row r="42" spans="1:8" x14ac:dyDescent="0.25">
      <c r="A42" s="914" t="s">
        <v>1416</v>
      </c>
      <c r="B42" s="914" t="s">
        <v>1413</v>
      </c>
      <c r="C42" s="914" t="s">
        <v>697</v>
      </c>
      <c r="D42" s="914" t="s">
        <v>1402</v>
      </c>
      <c r="E42" s="914">
        <v>2040</v>
      </c>
      <c r="F42" s="913">
        <v>21530.50140451773</v>
      </c>
    </row>
    <row r="43" spans="1:8" x14ac:dyDescent="0.25">
      <c r="A43" s="914" t="s">
        <v>1416</v>
      </c>
      <c r="B43" s="914" t="s">
        <v>1413</v>
      </c>
      <c r="C43" s="914" t="s">
        <v>697</v>
      </c>
      <c r="D43" s="914" t="s">
        <v>1402</v>
      </c>
      <c r="E43" s="914">
        <v>2045</v>
      </c>
      <c r="F43" s="913">
        <v>20799.266196917481</v>
      </c>
    </row>
    <row r="44" spans="1:8" x14ac:dyDescent="0.25">
      <c r="A44" s="914" t="s">
        <v>1416</v>
      </c>
      <c r="B44" s="914" t="s">
        <v>1413</v>
      </c>
      <c r="C44" s="914" t="s">
        <v>697</v>
      </c>
      <c r="D44" s="914" t="s">
        <v>1402</v>
      </c>
      <c r="E44" s="914">
        <v>2050</v>
      </c>
      <c r="F44" s="913">
        <v>21517</v>
      </c>
    </row>
    <row r="45" spans="1:8" x14ac:dyDescent="0.25">
      <c r="A45" s="914" t="s">
        <v>1416</v>
      </c>
      <c r="B45" s="914" t="s">
        <v>1413</v>
      </c>
      <c r="C45" s="914" t="s">
        <v>460</v>
      </c>
      <c r="D45" s="914" t="s">
        <v>1402</v>
      </c>
      <c r="E45" s="914">
        <v>2020</v>
      </c>
      <c r="F45" s="913">
        <v>40476</v>
      </c>
    </row>
    <row r="46" spans="1:8" x14ac:dyDescent="0.25">
      <c r="A46" s="914" t="s">
        <v>1416</v>
      </c>
      <c r="B46" s="914" t="s">
        <v>1413</v>
      </c>
      <c r="C46" s="914" t="s">
        <v>460</v>
      </c>
      <c r="D46" s="914" t="s">
        <v>1402</v>
      </c>
      <c r="E46" s="914">
        <v>2025</v>
      </c>
      <c r="F46" s="913">
        <v>34613.079007954562</v>
      </c>
    </row>
    <row r="47" spans="1:8" x14ac:dyDescent="0.25">
      <c r="A47" s="914" t="s">
        <v>1416</v>
      </c>
      <c r="B47" s="914" t="s">
        <v>1413</v>
      </c>
      <c r="C47" s="914" t="s">
        <v>460</v>
      </c>
      <c r="D47" s="914" t="s">
        <v>1402</v>
      </c>
      <c r="E47" s="914">
        <v>2030</v>
      </c>
      <c r="F47" s="913">
        <v>35665.17601899134</v>
      </c>
    </row>
    <row r="48" spans="1:8" x14ac:dyDescent="0.25">
      <c r="A48" s="914" t="s">
        <v>1416</v>
      </c>
      <c r="B48" s="914" t="s">
        <v>1413</v>
      </c>
      <c r="C48" s="914" t="s">
        <v>460</v>
      </c>
      <c r="D48" s="914" t="s">
        <v>1402</v>
      </c>
      <c r="E48" s="914">
        <v>2035</v>
      </c>
      <c r="F48" s="913">
        <v>33403.169661682958</v>
      </c>
    </row>
    <row r="49" spans="1:6" x14ac:dyDescent="0.25">
      <c r="A49" s="914" t="s">
        <v>1416</v>
      </c>
      <c r="B49" s="914" t="s">
        <v>1413</v>
      </c>
      <c r="C49" s="914" t="s">
        <v>460</v>
      </c>
      <c r="D49" s="914" t="s">
        <v>1402</v>
      </c>
      <c r="E49" s="914">
        <v>2040</v>
      </c>
      <c r="F49" s="913">
        <v>32811.580997352619</v>
      </c>
    </row>
    <row r="50" spans="1:6" x14ac:dyDescent="0.25">
      <c r="A50" s="914" t="s">
        <v>1416</v>
      </c>
      <c r="B50" s="914" t="s">
        <v>1413</v>
      </c>
      <c r="C50" s="914" t="s">
        <v>460</v>
      </c>
      <c r="D50" s="914" t="s">
        <v>1402</v>
      </c>
      <c r="E50" s="914">
        <v>2045</v>
      </c>
      <c r="F50" s="913">
        <v>31981.186715997039</v>
      </c>
    </row>
    <row r="51" spans="1:6" x14ac:dyDescent="0.25">
      <c r="A51" s="914" t="s">
        <v>1416</v>
      </c>
      <c r="B51" s="914" t="s">
        <v>1413</v>
      </c>
      <c r="C51" s="914" t="s">
        <v>460</v>
      </c>
      <c r="D51" s="914" t="s">
        <v>1402</v>
      </c>
      <c r="E51" s="914">
        <v>2050</v>
      </c>
      <c r="F51" s="913">
        <v>30972.672317599339</v>
      </c>
    </row>
    <row r="52" spans="1:6" x14ac:dyDescent="0.25">
      <c r="A52" s="914" t="s">
        <v>1416</v>
      </c>
      <c r="B52" s="914" t="s">
        <v>1413</v>
      </c>
      <c r="C52" s="914" t="s">
        <v>1412</v>
      </c>
      <c r="D52" s="914" t="s">
        <v>1402</v>
      </c>
      <c r="E52" s="914">
        <v>2045</v>
      </c>
      <c r="F52" s="913">
        <v>39096.818827178897</v>
      </c>
    </row>
    <row r="53" spans="1:6" x14ac:dyDescent="0.25">
      <c r="A53" s="914" t="s">
        <v>1416</v>
      </c>
      <c r="B53" s="914" t="s">
        <v>1413</v>
      </c>
      <c r="C53" s="914" t="s">
        <v>1412</v>
      </c>
      <c r="D53" s="914" t="s">
        <v>1402</v>
      </c>
      <c r="E53" s="914">
        <v>2050</v>
      </c>
      <c r="F53" s="913">
        <v>37948.063431501127</v>
      </c>
    </row>
    <row r="54" spans="1:6" x14ac:dyDescent="0.25">
      <c r="A54" s="914" t="s">
        <v>1415</v>
      </c>
      <c r="B54" s="914" t="s">
        <v>1413</v>
      </c>
      <c r="C54" s="914" t="s">
        <v>697</v>
      </c>
      <c r="D54" s="914" t="s">
        <v>1402</v>
      </c>
      <c r="E54" s="914">
        <v>2020</v>
      </c>
      <c r="F54" s="913">
        <v>24948.431767753111</v>
      </c>
    </row>
    <row r="55" spans="1:6" x14ac:dyDescent="0.25">
      <c r="A55" s="914" t="s">
        <v>1415</v>
      </c>
      <c r="B55" s="914" t="s">
        <v>1413</v>
      </c>
      <c r="C55" s="914" t="s">
        <v>697</v>
      </c>
      <c r="D55" s="914" t="s">
        <v>1402</v>
      </c>
      <c r="E55" s="914">
        <v>2025</v>
      </c>
      <c r="F55" s="913">
        <v>23662.889070231071</v>
      </c>
    </row>
    <row r="56" spans="1:6" x14ac:dyDescent="0.25">
      <c r="A56" s="914" t="s">
        <v>1415</v>
      </c>
      <c r="B56" s="914" t="s">
        <v>1413</v>
      </c>
      <c r="C56" s="914" t="s">
        <v>697</v>
      </c>
      <c r="D56" s="914" t="s">
        <v>1402</v>
      </c>
      <c r="E56" s="914">
        <v>2030</v>
      </c>
      <c r="F56" s="913">
        <v>24145.933038751489</v>
      </c>
    </row>
    <row r="57" spans="1:6" x14ac:dyDescent="0.25">
      <c r="A57" s="914" t="s">
        <v>1415</v>
      </c>
      <c r="B57" s="914" t="s">
        <v>1413</v>
      </c>
      <c r="C57" s="914" t="s">
        <v>697</v>
      </c>
      <c r="D57" s="914" t="s">
        <v>1402</v>
      </c>
      <c r="E57" s="914">
        <v>2035</v>
      </c>
      <c r="F57" s="913">
        <v>24016.43249726417</v>
      </c>
    </row>
    <row r="58" spans="1:6" x14ac:dyDescent="0.25">
      <c r="A58" s="914" t="s">
        <v>1415</v>
      </c>
      <c r="B58" s="914" t="s">
        <v>1413</v>
      </c>
      <c r="C58" s="914" t="s">
        <v>697</v>
      </c>
      <c r="D58" s="914" t="s">
        <v>1402</v>
      </c>
      <c r="E58" s="914">
        <v>2040</v>
      </c>
      <c r="F58" s="913">
        <v>23937.966112486731</v>
      </c>
    </row>
    <row r="59" spans="1:6" x14ac:dyDescent="0.25">
      <c r="A59" s="914" t="s">
        <v>1415</v>
      </c>
      <c r="B59" s="914" t="s">
        <v>1413</v>
      </c>
      <c r="C59" s="914" t="s">
        <v>697</v>
      </c>
      <c r="D59" s="914" t="s">
        <v>1402</v>
      </c>
      <c r="E59" s="914">
        <v>2045</v>
      </c>
      <c r="F59" s="913">
        <v>23059.2950808286</v>
      </c>
    </row>
    <row r="60" spans="1:6" x14ac:dyDescent="0.25">
      <c r="A60" s="914" t="s">
        <v>1415</v>
      </c>
      <c r="B60" s="914" t="s">
        <v>1413</v>
      </c>
      <c r="C60" s="914" t="s">
        <v>697</v>
      </c>
      <c r="D60" s="914" t="s">
        <v>1402</v>
      </c>
      <c r="E60" s="914">
        <v>2050</v>
      </c>
      <c r="F60" s="913">
        <v>22682.180285375129</v>
      </c>
    </row>
    <row r="61" spans="1:6" x14ac:dyDescent="0.25">
      <c r="A61" s="914" t="s">
        <v>1415</v>
      </c>
      <c r="B61" s="914" t="s">
        <v>1413</v>
      </c>
      <c r="C61" s="914" t="s">
        <v>460</v>
      </c>
      <c r="D61" s="914" t="s">
        <v>1402</v>
      </c>
      <c r="E61" s="914">
        <v>2020</v>
      </c>
      <c r="F61" s="913">
        <v>33046.648868548182</v>
      </c>
    </row>
    <row r="62" spans="1:6" x14ac:dyDescent="0.25">
      <c r="A62" s="914" t="s">
        <v>1415</v>
      </c>
      <c r="B62" s="914" t="s">
        <v>1413</v>
      </c>
      <c r="C62" s="914" t="s">
        <v>460</v>
      </c>
      <c r="D62" s="914" t="s">
        <v>1402</v>
      </c>
      <c r="E62" s="914">
        <v>2025</v>
      </c>
      <c r="F62" s="913">
        <v>36195.294034766383</v>
      </c>
    </row>
    <row r="63" spans="1:6" x14ac:dyDescent="0.25">
      <c r="A63" s="914" t="s">
        <v>1415</v>
      </c>
      <c r="B63" s="914" t="s">
        <v>1413</v>
      </c>
      <c r="C63" s="914" t="s">
        <v>460</v>
      </c>
      <c r="D63" s="914" t="s">
        <v>1402</v>
      </c>
      <c r="E63" s="914">
        <v>2030</v>
      </c>
      <c r="F63" s="913">
        <v>40334.515671451627</v>
      </c>
    </row>
    <row r="64" spans="1:6" x14ac:dyDescent="0.25">
      <c r="A64" s="914" t="s">
        <v>1415</v>
      </c>
      <c r="B64" s="914" t="s">
        <v>1413</v>
      </c>
      <c r="C64" s="914" t="s">
        <v>460</v>
      </c>
      <c r="D64" s="914" t="s">
        <v>1402</v>
      </c>
      <c r="E64" s="914">
        <v>2035</v>
      </c>
      <c r="F64" s="913">
        <v>40522.75894803369</v>
      </c>
    </row>
    <row r="65" spans="1:6" x14ac:dyDescent="0.25">
      <c r="A65" s="914" t="s">
        <v>1415</v>
      </c>
      <c r="B65" s="914" t="s">
        <v>1413</v>
      </c>
      <c r="C65" s="914" t="s">
        <v>460</v>
      </c>
      <c r="D65" s="914" t="s">
        <v>1402</v>
      </c>
      <c r="E65" s="914">
        <v>2040</v>
      </c>
      <c r="F65" s="913">
        <v>40452.239671626798</v>
      </c>
    </row>
    <row r="66" spans="1:6" x14ac:dyDescent="0.25">
      <c r="A66" s="914" t="s">
        <v>1415</v>
      </c>
      <c r="B66" s="914" t="s">
        <v>1413</v>
      </c>
      <c r="C66" s="914" t="s">
        <v>460</v>
      </c>
      <c r="D66" s="914" t="s">
        <v>1402</v>
      </c>
      <c r="E66" s="914">
        <v>2045</v>
      </c>
      <c r="F66" s="913">
        <v>40529.851955670238</v>
      </c>
    </row>
    <row r="67" spans="1:6" x14ac:dyDescent="0.25">
      <c r="A67" s="914" t="s">
        <v>1415</v>
      </c>
      <c r="B67" s="914" t="s">
        <v>1413</v>
      </c>
      <c r="C67" s="914" t="s">
        <v>460</v>
      </c>
      <c r="D67" s="914" t="s">
        <v>1402</v>
      </c>
      <c r="E67" s="914">
        <v>2050</v>
      </c>
      <c r="F67" s="913">
        <v>40495.974202742887</v>
      </c>
    </row>
    <row r="68" spans="1:6" x14ac:dyDescent="0.25">
      <c r="A68" s="914" t="s">
        <v>1415</v>
      </c>
      <c r="B68" s="914" t="s">
        <v>1413</v>
      </c>
      <c r="C68" s="914" t="s">
        <v>1412</v>
      </c>
      <c r="D68" s="914" t="s">
        <v>1402</v>
      </c>
      <c r="E68" s="914">
        <v>2020</v>
      </c>
      <c r="F68" s="913">
        <v>30095</v>
      </c>
    </row>
    <row r="69" spans="1:6" x14ac:dyDescent="0.25">
      <c r="A69" s="914" t="s">
        <v>1415</v>
      </c>
      <c r="B69" s="914" t="s">
        <v>1413</v>
      </c>
      <c r="C69" s="914" t="s">
        <v>1412</v>
      </c>
      <c r="D69" s="914" t="s">
        <v>1402</v>
      </c>
      <c r="E69" s="914">
        <v>2025</v>
      </c>
      <c r="F69" s="913">
        <v>29628</v>
      </c>
    </row>
    <row r="70" spans="1:6" x14ac:dyDescent="0.25">
      <c r="A70" s="914" t="s">
        <v>1415</v>
      </c>
      <c r="B70" s="914" t="s">
        <v>1413</v>
      </c>
      <c r="C70" s="914" t="s">
        <v>1412</v>
      </c>
      <c r="D70" s="914" t="s">
        <v>1402</v>
      </c>
      <c r="E70" s="914">
        <v>2030</v>
      </c>
      <c r="F70" s="913">
        <v>29532</v>
      </c>
    </row>
    <row r="71" spans="1:6" x14ac:dyDescent="0.25">
      <c r="A71" s="914" t="s">
        <v>1415</v>
      </c>
      <c r="B71" s="914" t="s">
        <v>1413</v>
      </c>
      <c r="C71" s="914" t="s">
        <v>1412</v>
      </c>
      <c r="D71" s="914" t="s">
        <v>1402</v>
      </c>
      <c r="E71" s="914">
        <v>2035</v>
      </c>
      <c r="F71" s="913">
        <v>29457</v>
      </c>
    </row>
    <row r="72" spans="1:6" x14ac:dyDescent="0.25">
      <c r="A72" s="914" t="s">
        <v>1415</v>
      </c>
      <c r="B72" s="914" t="s">
        <v>1413</v>
      </c>
      <c r="C72" s="914" t="s">
        <v>1412</v>
      </c>
      <c r="D72" s="914" t="s">
        <v>1402</v>
      </c>
      <c r="E72" s="914">
        <v>2040</v>
      </c>
      <c r="F72" s="913">
        <v>29382</v>
      </c>
    </row>
    <row r="73" spans="1:6" x14ac:dyDescent="0.25">
      <c r="A73" s="914" t="s">
        <v>1415</v>
      </c>
      <c r="B73" s="914" t="s">
        <v>1413</v>
      </c>
      <c r="C73" s="914" t="s">
        <v>1412</v>
      </c>
      <c r="D73" s="914" t="s">
        <v>1402</v>
      </c>
      <c r="E73" s="914">
        <v>2045</v>
      </c>
      <c r="F73" s="913">
        <v>31925.460580912859</v>
      </c>
    </row>
    <row r="74" spans="1:6" x14ac:dyDescent="0.25">
      <c r="A74" s="914" t="s">
        <v>1415</v>
      </c>
      <c r="B74" s="914" t="s">
        <v>1413</v>
      </c>
      <c r="C74" s="914" t="s">
        <v>1412</v>
      </c>
      <c r="D74" s="914" t="s">
        <v>1402</v>
      </c>
      <c r="E74" s="914">
        <v>2050</v>
      </c>
      <c r="F74" s="913">
        <v>31879.739934826019</v>
      </c>
    </row>
    <row r="75" spans="1:6" x14ac:dyDescent="0.25">
      <c r="A75" s="914" t="s">
        <v>1414</v>
      </c>
      <c r="B75" s="914" t="s">
        <v>1413</v>
      </c>
      <c r="C75" s="914" t="s">
        <v>460</v>
      </c>
      <c r="D75" s="914" t="s">
        <v>1402</v>
      </c>
      <c r="E75" s="914">
        <v>2020</v>
      </c>
      <c r="F75" s="913">
        <v>34082.071857520023</v>
      </c>
    </row>
    <row r="76" spans="1:6" x14ac:dyDescent="0.25">
      <c r="A76" s="914" t="s">
        <v>1414</v>
      </c>
      <c r="B76" s="914" t="s">
        <v>1413</v>
      </c>
      <c r="C76" s="914" t="s">
        <v>460</v>
      </c>
      <c r="D76" s="914" t="s">
        <v>1402</v>
      </c>
      <c r="E76" s="914">
        <v>2025</v>
      </c>
      <c r="F76" s="913">
        <v>33307.879286745592</v>
      </c>
    </row>
    <row r="77" spans="1:6" x14ac:dyDescent="0.25">
      <c r="A77" s="914" t="s">
        <v>1414</v>
      </c>
      <c r="B77" s="914" t="s">
        <v>1413</v>
      </c>
      <c r="C77" s="914" t="s">
        <v>460</v>
      </c>
      <c r="D77" s="914" t="s">
        <v>1402</v>
      </c>
      <c r="E77" s="914">
        <v>2030</v>
      </c>
      <c r="F77" s="913">
        <v>33012.414457609862</v>
      </c>
    </row>
    <row r="78" spans="1:6" x14ac:dyDescent="0.25">
      <c r="A78" s="914" t="s">
        <v>1414</v>
      </c>
      <c r="B78" s="914" t="s">
        <v>1413</v>
      </c>
      <c r="C78" s="914" t="s">
        <v>460</v>
      </c>
      <c r="D78" s="914" t="s">
        <v>1402</v>
      </c>
      <c r="E78" s="914">
        <v>2035</v>
      </c>
      <c r="F78" s="913">
        <v>32789.596804194807</v>
      </c>
    </row>
    <row r="79" spans="1:6" x14ac:dyDescent="0.25">
      <c r="A79" s="914" t="s">
        <v>1414</v>
      </c>
      <c r="B79" s="914" t="s">
        <v>1413</v>
      </c>
      <c r="C79" s="914" t="s">
        <v>460</v>
      </c>
      <c r="D79" s="914" t="s">
        <v>1402</v>
      </c>
      <c r="E79" s="914">
        <v>2040</v>
      </c>
      <c r="F79" s="913">
        <v>32591.72361008263</v>
      </c>
    </row>
    <row r="80" spans="1:6" x14ac:dyDescent="0.25">
      <c r="A80" s="914" t="s">
        <v>1414</v>
      </c>
      <c r="B80" s="914" t="s">
        <v>1413</v>
      </c>
      <c r="C80" s="914" t="s">
        <v>460</v>
      </c>
      <c r="D80" s="914" t="s">
        <v>1402</v>
      </c>
      <c r="E80" s="914">
        <v>2045</v>
      </c>
      <c r="F80" s="913">
        <v>32476.058176192131</v>
      </c>
    </row>
    <row r="81" spans="1:6" x14ac:dyDescent="0.25">
      <c r="A81" s="914" t="s">
        <v>1414</v>
      </c>
      <c r="B81" s="914" t="s">
        <v>1413</v>
      </c>
      <c r="C81" s="914" t="s">
        <v>460</v>
      </c>
      <c r="D81" s="914" t="s">
        <v>1402</v>
      </c>
      <c r="E81" s="914">
        <v>2050</v>
      </c>
      <c r="F81" s="913">
        <v>32360.604806501378</v>
      </c>
    </row>
    <row r="82" spans="1:6" x14ac:dyDescent="0.25">
      <c r="A82" s="914" t="s">
        <v>1414</v>
      </c>
      <c r="B82" s="914" t="s">
        <v>1413</v>
      </c>
      <c r="C82" s="914" t="s">
        <v>1412</v>
      </c>
      <c r="D82" s="914" t="s">
        <v>1402</v>
      </c>
      <c r="E82" s="914">
        <v>2025</v>
      </c>
      <c r="F82" s="913">
        <v>36524</v>
      </c>
    </row>
    <row r="83" spans="1:6" x14ac:dyDescent="0.25">
      <c r="A83" s="914" t="s">
        <v>1414</v>
      </c>
      <c r="B83" s="914" t="s">
        <v>1413</v>
      </c>
      <c r="C83" s="914" t="s">
        <v>1412</v>
      </c>
      <c r="D83" s="914" t="s">
        <v>1402</v>
      </c>
      <c r="E83" s="914">
        <v>2030</v>
      </c>
      <c r="F83" s="913">
        <v>35458.397283924423</v>
      </c>
    </row>
    <row r="84" spans="1:6" x14ac:dyDescent="0.25">
      <c r="A84" s="914" t="s">
        <v>1414</v>
      </c>
      <c r="B84" s="914" t="s">
        <v>1413</v>
      </c>
      <c r="C84" s="914" t="s">
        <v>1412</v>
      </c>
      <c r="D84" s="914" t="s">
        <v>1402</v>
      </c>
      <c r="E84" s="914">
        <v>2035</v>
      </c>
      <c r="F84" s="913">
        <v>35262.018263581384</v>
      </c>
    </row>
    <row r="85" spans="1:6" x14ac:dyDescent="0.25">
      <c r="A85" s="914" t="s">
        <v>1414</v>
      </c>
      <c r="B85" s="914" t="s">
        <v>1413</v>
      </c>
      <c r="C85" s="914" t="s">
        <v>1412</v>
      </c>
      <c r="D85" s="914" t="s">
        <v>1402</v>
      </c>
      <c r="E85" s="914">
        <v>2040</v>
      </c>
      <c r="F85" s="913">
        <v>35065.190593039013</v>
      </c>
    </row>
    <row r="86" spans="1:6" x14ac:dyDescent="0.25">
      <c r="A86" s="914" t="s">
        <v>1414</v>
      </c>
      <c r="B86" s="914" t="s">
        <v>1413</v>
      </c>
      <c r="C86" s="914" t="s">
        <v>1412</v>
      </c>
      <c r="D86" s="914" t="s">
        <v>1402</v>
      </c>
      <c r="E86" s="914">
        <v>2045</v>
      </c>
      <c r="F86" s="913">
        <v>35174.893440238528</v>
      </c>
    </row>
    <row r="87" spans="1:6" x14ac:dyDescent="0.25">
      <c r="A87" s="914" t="s">
        <v>1414</v>
      </c>
      <c r="B87" s="914" t="s">
        <v>1413</v>
      </c>
      <c r="C87" s="914" t="s">
        <v>1412</v>
      </c>
      <c r="D87" s="914" t="s">
        <v>1402</v>
      </c>
      <c r="E87" s="914">
        <v>2050</v>
      </c>
      <c r="F87" s="913">
        <v>35058.630662371652</v>
      </c>
    </row>
  </sheetData>
  <hyperlinks>
    <hyperlink ref="I2" r:id="rId2" xr:uid="{65C4A21D-3D5C-4021-8758-85CD73AB0F7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008000"/>
  </sheetPr>
  <dimension ref="A1:AZ107"/>
  <sheetViews>
    <sheetView topLeftCell="E92" workbookViewId="0">
      <selection activeCell="L94" sqref="L94"/>
    </sheetView>
  </sheetViews>
  <sheetFormatPr defaultColWidth="8.42578125" defaultRowHeight="12.75" outlineLevelCol="1" x14ac:dyDescent="0.25"/>
  <cols>
    <col min="1" max="1" width="25" style="322" customWidth="1"/>
    <col min="2" max="2" width="22.85546875" style="322" customWidth="1"/>
    <col min="3" max="3" width="11.28515625" style="322" customWidth="1" outlineLevel="1"/>
    <col min="4" max="4" width="10.28515625" style="322" customWidth="1" outlineLevel="1"/>
    <col min="5" max="5" width="10.28515625" style="323" customWidth="1" outlineLevel="1"/>
    <col min="6" max="7" width="10" style="322" customWidth="1" outlineLevel="1"/>
    <col min="8" max="9" width="9.85546875" style="322" customWidth="1" outlineLevel="1"/>
    <col min="10" max="10" width="10" style="322" customWidth="1" outlineLevel="1"/>
    <col min="11" max="18" width="15.28515625" style="972" customWidth="1"/>
    <col min="19" max="19" width="8.42578125" style="322" customWidth="1"/>
    <col min="20" max="28" width="8.42578125" style="322"/>
    <col min="29" max="29" width="11.85546875" style="322" customWidth="1"/>
    <col min="30" max="16384" width="8.42578125" style="322"/>
  </cols>
  <sheetData>
    <row r="1" spans="1:52" ht="16.5" thickTop="1" x14ac:dyDescent="0.25">
      <c r="B1" s="744" t="s">
        <v>702</v>
      </c>
      <c r="C1" s="745"/>
      <c r="D1" s="745"/>
      <c r="E1" s="745"/>
      <c r="F1" s="745"/>
      <c r="G1" s="745"/>
      <c r="H1" s="745"/>
      <c r="I1" s="745"/>
      <c r="J1" s="746"/>
      <c r="K1" s="966"/>
      <c r="L1" s="965"/>
      <c r="M1" s="967"/>
      <c r="N1" s="967"/>
      <c r="O1" s="967"/>
      <c r="P1" s="967"/>
      <c r="Q1" s="967"/>
      <c r="R1" s="968"/>
    </row>
    <row r="2" spans="1:52" ht="15" x14ac:dyDescent="0.25">
      <c r="B2" s="747">
        <v>13.7674</v>
      </c>
      <c r="C2" s="322" t="s">
        <v>846</v>
      </c>
      <c r="E2" s="322"/>
      <c r="J2" s="748"/>
      <c r="K2" s="969" t="s">
        <v>1436</v>
      </c>
      <c r="L2" s="970">
        <v>1.6493660714285712</v>
      </c>
      <c r="M2" s="971" t="s">
        <v>1276</v>
      </c>
      <c r="R2" s="973"/>
    </row>
    <row r="3" spans="1:52" x14ac:dyDescent="0.2">
      <c r="B3" s="749" t="s">
        <v>832</v>
      </c>
      <c r="C3" s="456" t="s">
        <v>831</v>
      </c>
      <c r="D3" s="455">
        <v>0.08</v>
      </c>
      <c r="E3" s="513"/>
      <c r="F3" s="453"/>
      <c r="G3" s="453"/>
      <c r="H3" s="453"/>
      <c r="I3" s="453"/>
      <c r="J3" s="750"/>
      <c r="K3" s="974" t="s">
        <v>1294</v>
      </c>
      <c r="L3" s="975"/>
      <c r="M3" s="976"/>
      <c r="P3" s="977"/>
      <c r="Q3" s="977"/>
      <c r="R3" s="978"/>
      <c r="T3" s="453"/>
      <c r="U3" s="453"/>
      <c r="AB3" s="452" t="s">
        <v>816</v>
      </c>
      <c r="AC3" s="322" t="s">
        <v>834</v>
      </c>
      <c r="AI3" s="322" t="s">
        <v>845</v>
      </c>
      <c r="AO3" s="322" t="s">
        <v>844</v>
      </c>
    </row>
    <row r="4" spans="1:52" x14ac:dyDescent="0.2">
      <c r="B4" s="751" t="s">
        <v>681</v>
      </c>
      <c r="C4" s="351">
        <v>2010</v>
      </c>
      <c r="D4" s="351">
        <v>2020</v>
      </c>
      <c r="E4" s="510">
        <v>2025</v>
      </c>
      <c r="F4" s="351">
        <v>2030</v>
      </c>
      <c r="G4" s="509">
        <v>2035</v>
      </c>
      <c r="H4" s="351">
        <v>2040</v>
      </c>
      <c r="I4" s="509">
        <v>2045</v>
      </c>
      <c r="J4" s="752">
        <v>2050</v>
      </c>
      <c r="K4" s="979">
        <f t="shared" ref="K4:R4" si="0">C4</f>
        <v>2010</v>
      </c>
      <c r="L4" s="980">
        <f t="shared" si="0"/>
        <v>2020</v>
      </c>
      <c r="M4" s="980">
        <f t="shared" si="0"/>
        <v>2025</v>
      </c>
      <c r="N4" s="980">
        <f t="shared" si="0"/>
        <v>2030</v>
      </c>
      <c r="O4" s="980">
        <f t="shared" si="0"/>
        <v>2035</v>
      </c>
      <c r="P4" s="980">
        <f t="shared" si="0"/>
        <v>2040</v>
      </c>
      <c r="Q4" s="980">
        <f t="shared" si="0"/>
        <v>2045</v>
      </c>
      <c r="R4" s="981">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753" t="s">
        <v>791</v>
      </c>
      <c r="C5" s="448" t="s">
        <v>193</v>
      </c>
      <c r="D5" s="448" t="s">
        <v>193</v>
      </c>
      <c r="E5" s="508" t="s">
        <v>843</v>
      </c>
      <c r="F5" s="448" t="s">
        <v>193</v>
      </c>
      <c r="G5" s="507" t="s">
        <v>843</v>
      </c>
      <c r="H5" s="448" t="s">
        <v>193</v>
      </c>
      <c r="I5" s="507" t="s">
        <v>843</v>
      </c>
      <c r="J5" s="754" t="s">
        <v>193</v>
      </c>
      <c r="K5" s="982" t="s">
        <v>1293</v>
      </c>
      <c r="L5" s="972" t="s">
        <v>1293</v>
      </c>
      <c r="M5" s="972" t="s">
        <v>1293</v>
      </c>
      <c r="N5" s="972" t="s">
        <v>1293</v>
      </c>
      <c r="O5" s="972" t="s">
        <v>1293</v>
      </c>
      <c r="P5" s="972" t="s">
        <v>1293</v>
      </c>
      <c r="Q5" s="972" t="s">
        <v>1293</v>
      </c>
      <c r="R5" s="973" t="s">
        <v>1293</v>
      </c>
      <c r="S5" s="322" t="s">
        <v>841</v>
      </c>
      <c r="T5" s="322" t="s">
        <v>841</v>
      </c>
      <c r="AB5" s="447" t="s">
        <v>659</v>
      </c>
      <c r="AC5" s="446" t="s">
        <v>663</v>
      </c>
      <c r="AD5" s="446" t="s">
        <v>663</v>
      </c>
      <c r="AE5" s="446" t="s">
        <v>663</v>
      </c>
      <c r="AF5" s="446" t="s">
        <v>663</v>
      </c>
      <c r="AG5" s="446" t="s">
        <v>663</v>
      </c>
    </row>
    <row r="6" spans="1:52" ht="15" x14ac:dyDescent="0.2">
      <c r="A6" s="322" t="str">
        <f>B4</f>
        <v>Passenger Car</v>
      </c>
      <c r="B6" s="7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756">
        <v>16343.977105662956</v>
      </c>
      <c r="K6" s="983">
        <f>C6*$B$2*$L$2</f>
        <v>320333.76623286924</v>
      </c>
      <c r="L6" s="984">
        <f t="shared" ref="L6:L18" si="5">D6*$B$2*$L$2</f>
        <v>346872.74574320414</v>
      </c>
      <c r="M6" s="984">
        <f t="shared" ref="M6:M18" si="6">E6*$B$2*$L$2</f>
        <v>352779.77889698959</v>
      </c>
      <c r="N6" s="984">
        <f t="shared" ref="N6:N18" si="7">F6*$B$2*$L$2</f>
        <v>358686.81205077504</v>
      </c>
      <c r="O6" s="984">
        <f t="shared" ref="O6:O18" si="8">G6*$B$2*$L$2</f>
        <v>362617.25435755897</v>
      </c>
      <c r="P6" s="984">
        <f t="shared" ref="P6:P18" si="9">H6*$B$2*$L$2</f>
        <v>366547.69666434289</v>
      </c>
      <c r="Q6" s="984">
        <f t="shared" ref="Q6:Q18" si="10">I6*$B$2*$L$2</f>
        <v>368839.13499178592</v>
      </c>
      <c r="R6" s="985">
        <f t="shared" ref="R6:R18" si="11">J6*$B$2*$L$2</f>
        <v>371130.57331922901</v>
      </c>
      <c r="S6" s="330">
        <f t="shared" ref="S6:S18" si="12">C6/C$6</f>
        <v>1</v>
      </c>
      <c r="T6" s="330">
        <f t="shared" ref="T6:T18" si="13">D6/D$6</f>
        <v>1</v>
      </c>
      <c r="U6" s="330">
        <f t="shared" ref="U6:U18" si="14">E6/E$6</f>
        <v>1</v>
      </c>
      <c r="V6" s="330">
        <f t="shared" ref="V6:V18" si="15">F6/F$6</f>
        <v>1</v>
      </c>
      <c r="W6" s="330">
        <f t="shared" ref="W6:W18" si="16">G6/G$6</f>
        <v>1</v>
      </c>
      <c r="X6" s="330">
        <f t="shared" ref="X6:X18" si="17">H6/H$6</f>
        <v>1</v>
      </c>
      <c r="Y6" s="330">
        <f t="shared" ref="Y6:Y18" si="18">I6/I$6</f>
        <v>1</v>
      </c>
      <c r="Z6" s="330">
        <f t="shared" ref="Z6:Z18" si="19">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20">AC6/AI6</f>
        <v>2.7731584934931535</v>
      </c>
      <c r="AP6" s="504">
        <f t="shared" ref="AP6:AP18" si="21">AD6/AJ6</f>
        <v>2.0718600724531742</v>
      </c>
      <c r="AQ6" s="504">
        <f t="shared" ref="AQ6:AQ18" si="22">AE6/AK6</f>
        <v>1.6924435330873051</v>
      </c>
      <c r="AR6" s="504">
        <f t="shared" ref="AR6:AR18" si="23">AF6/AL6</f>
        <v>1.5062933039675674</v>
      </c>
      <c r="AS6" s="504">
        <f t="shared" ref="AS6:AS18" si="24">AG6/AM6</f>
        <v>1.3837225479656539</v>
      </c>
    </row>
    <row r="7" spans="1:52" ht="15" x14ac:dyDescent="0.2">
      <c r="A7" s="322" t="str">
        <f t="shared" ref="A7:A20" si="25">A6</f>
        <v>Passenger Car</v>
      </c>
      <c r="B7" s="7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756">
        <v>17050.306384026513</v>
      </c>
      <c r="K7" s="986">
        <f t="shared" ref="K7:K18" si="26">C7*$B$2*$L$2</f>
        <v>330638.42176948959</v>
      </c>
      <c r="L7" s="987">
        <f t="shared" si="5"/>
        <v>362954.6258712603</v>
      </c>
      <c r="M7" s="987">
        <f t="shared" si="6"/>
        <v>368597.98062413489</v>
      </c>
      <c r="N7" s="987">
        <f t="shared" si="7"/>
        <v>374241.33537700953</v>
      </c>
      <c r="O7" s="987">
        <f t="shared" si="8"/>
        <v>378358.96358093841</v>
      </c>
      <c r="P7" s="987">
        <f t="shared" si="9"/>
        <v>382476.5917848674</v>
      </c>
      <c r="Q7" s="987">
        <f t="shared" si="10"/>
        <v>384823.06239885965</v>
      </c>
      <c r="R7" s="988">
        <f t="shared" si="11"/>
        <v>387169.53301285196</v>
      </c>
      <c r="S7" s="330">
        <f t="shared" si="12"/>
        <v>1.03216849618385</v>
      </c>
      <c r="T7" s="330">
        <f t="shared" si="13"/>
        <v>1.0463624782442891</v>
      </c>
      <c r="U7" s="330">
        <f t="shared" si="14"/>
        <v>1.0448387426756798</v>
      </c>
      <c r="V7" s="330">
        <f t="shared" si="15"/>
        <v>1.0433651943803071</v>
      </c>
      <c r="W7" s="330">
        <f t="shared" si="16"/>
        <v>1.0434113629018251</v>
      </c>
      <c r="X7" s="330">
        <f t="shared" si="17"/>
        <v>1.0434565413054853</v>
      </c>
      <c r="Y7" s="330">
        <f t="shared" si="18"/>
        <v>1.0433357686066302</v>
      </c>
      <c r="Z7" s="330">
        <f t="shared" si="19"/>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20"/>
        <v>2.2264912113239048</v>
      </c>
      <c r="AP7" s="504">
        <f t="shared" si="21"/>
        <v>1.7539919646296771</v>
      </c>
      <c r="AQ7" s="504">
        <f t="shared" si="22"/>
        <v>1.4571673890360914</v>
      </c>
      <c r="AR7" s="504">
        <f t="shared" si="23"/>
        <v>1.3029113464752489</v>
      </c>
      <c r="AS7" s="504">
        <f t="shared" si="24"/>
        <v>1.195582159057512</v>
      </c>
    </row>
    <row r="8" spans="1:52" ht="15" x14ac:dyDescent="0.2">
      <c r="A8" s="322" t="str">
        <f t="shared" si="25"/>
        <v>Passenger Car</v>
      </c>
      <c r="B8" s="7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756">
        <v>16272.83632294774</v>
      </c>
      <c r="K8" s="986">
        <f t="shared" si="26"/>
        <v>394598.28252674115</v>
      </c>
      <c r="L8" s="987">
        <f t="shared" si="5"/>
        <v>374627.05700064875</v>
      </c>
      <c r="M8" s="987">
        <f t="shared" si="6"/>
        <v>371394.64011373778</v>
      </c>
      <c r="N8" s="987">
        <f t="shared" si="7"/>
        <v>368162.22322682675</v>
      </c>
      <c r="O8" s="987">
        <f t="shared" si="8"/>
        <v>368677.00642422412</v>
      </c>
      <c r="P8" s="987">
        <f t="shared" si="9"/>
        <v>369191.78962162149</v>
      </c>
      <c r="Q8" s="987">
        <f t="shared" si="10"/>
        <v>369353.46743286919</v>
      </c>
      <c r="R8" s="988">
        <f t="shared" si="11"/>
        <v>369515.14524411689</v>
      </c>
      <c r="S8" s="330">
        <f t="shared" si="12"/>
        <v>1.2318348052009125</v>
      </c>
      <c r="T8" s="330">
        <f t="shared" si="13"/>
        <v>1.0800129488351085</v>
      </c>
      <c r="U8" s="330">
        <f t="shared" si="14"/>
        <v>1.0527662364179429</v>
      </c>
      <c r="V8" s="330">
        <f t="shared" si="15"/>
        <v>1.0264169488749155</v>
      </c>
      <c r="W8" s="330">
        <f t="shared" si="16"/>
        <v>1.0167111520310887</v>
      </c>
      <c r="X8" s="330">
        <f t="shared" si="17"/>
        <v>1.007213503130262</v>
      </c>
      <c r="Y8" s="330">
        <f t="shared" si="18"/>
        <v>1.0013944627678804</v>
      </c>
      <c r="Z8" s="330">
        <f t="shared" si="19"/>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20"/>
        <v>2.118957461890536</v>
      </c>
      <c r="AP8" s="504">
        <f t="shared" si="21"/>
        <v>1.6900840244838968</v>
      </c>
      <c r="AQ8" s="504">
        <f t="shared" si="22"/>
        <v>1.4497532132450688</v>
      </c>
      <c r="AR8" s="504">
        <f t="shared" si="23"/>
        <v>1.3237068989033129</v>
      </c>
      <c r="AS8" s="504">
        <f t="shared" si="24"/>
        <v>1.2074894913527994</v>
      </c>
    </row>
    <row r="9" spans="1:52" ht="15" x14ac:dyDescent="0.2">
      <c r="A9" s="322" t="str">
        <f t="shared" si="25"/>
        <v>Passenger Car</v>
      </c>
      <c r="B9" s="7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756">
        <v>16823.104713489789</v>
      </c>
      <c r="K9" s="986">
        <f t="shared" si="26"/>
        <v>395569.22929033346</v>
      </c>
      <c r="L9" s="987">
        <f t="shared" si="5"/>
        <v>386099.37954714173</v>
      </c>
      <c r="M9" s="987">
        <f t="shared" si="6"/>
        <v>383043.31699169439</v>
      </c>
      <c r="N9" s="987">
        <f t="shared" si="7"/>
        <v>379987.25443624699</v>
      </c>
      <c r="O9" s="987">
        <f t="shared" si="8"/>
        <v>380748.20830279746</v>
      </c>
      <c r="P9" s="987">
        <f t="shared" si="9"/>
        <v>381509.16216934781</v>
      </c>
      <c r="Q9" s="987">
        <f t="shared" si="10"/>
        <v>381759.75861773535</v>
      </c>
      <c r="R9" s="988">
        <f t="shared" si="11"/>
        <v>382010.35506612284</v>
      </c>
      <c r="S9" s="330">
        <f t="shared" si="12"/>
        <v>1.2348658523958762</v>
      </c>
      <c r="T9" s="330">
        <f t="shared" si="13"/>
        <v>1.1130865260684899</v>
      </c>
      <c r="U9" s="330">
        <f t="shared" si="14"/>
        <v>1.08578592058005</v>
      </c>
      <c r="V9" s="330">
        <f t="shared" si="15"/>
        <v>1.0593845150416537</v>
      </c>
      <c r="W9" s="330">
        <f t="shared" si="16"/>
        <v>1.050000251580308</v>
      </c>
      <c r="X9" s="330">
        <f t="shared" si="17"/>
        <v>1.040817240542383</v>
      </c>
      <c r="Y9" s="330">
        <f t="shared" si="18"/>
        <v>1.0350305116788574</v>
      </c>
      <c r="Z9" s="330">
        <f t="shared" si="19"/>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20"/>
        <v>1.7693016047311396</v>
      </c>
      <c r="AP9" s="504">
        <f t="shared" si="21"/>
        <v>1.4910156121909575</v>
      </c>
      <c r="AQ9" s="504">
        <f t="shared" si="22"/>
        <v>1.3037709765268612</v>
      </c>
      <c r="AR9" s="504">
        <f t="shared" si="23"/>
        <v>1.1983619127235638</v>
      </c>
      <c r="AS9" s="504">
        <f t="shared" si="24"/>
        <v>1.0928745831009152</v>
      </c>
    </row>
    <row r="10" spans="1:52" ht="15" x14ac:dyDescent="0.2">
      <c r="A10" s="322" t="str">
        <f t="shared" si="25"/>
        <v>Passenger Car</v>
      </c>
      <c r="B10" s="7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756">
        <v>17404.89408721682</v>
      </c>
      <c r="K10" s="986">
        <f t="shared" si="26"/>
        <v>526288.63435989886</v>
      </c>
      <c r="L10" s="987">
        <f t="shared" si="5"/>
        <v>427428.40748861211</v>
      </c>
      <c r="M10" s="987">
        <f t="shared" si="6"/>
        <v>414185.53803941479</v>
      </c>
      <c r="N10" s="987">
        <f t="shared" si="7"/>
        <v>400942.66859021754</v>
      </c>
      <c r="O10" s="987">
        <f t="shared" si="8"/>
        <v>399616.25067313982</v>
      </c>
      <c r="P10" s="987">
        <f t="shared" si="9"/>
        <v>398289.83275606204</v>
      </c>
      <c r="Q10" s="987">
        <f t="shared" si="10"/>
        <v>396755.5799083634</v>
      </c>
      <c r="R10" s="988">
        <f t="shared" si="11"/>
        <v>395221.32706066483</v>
      </c>
      <c r="S10" s="330">
        <f t="shared" si="12"/>
        <v>1.6429383656586143</v>
      </c>
      <c r="T10" s="330">
        <f t="shared" si="13"/>
        <v>1.2322340475980915</v>
      </c>
      <c r="U10" s="330">
        <f t="shared" si="14"/>
        <v>1.1740625818589094</v>
      </c>
      <c r="V10" s="330">
        <f t="shared" si="15"/>
        <v>1.1178071094887672</v>
      </c>
      <c r="W10" s="330">
        <f t="shared" si="16"/>
        <v>1.1020331930457394</v>
      </c>
      <c r="X10" s="330">
        <f t="shared" si="17"/>
        <v>1.0865975598280357</v>
      </c>
      <c r="Y10" s="330">
        <f t="shared" si="18"/>
        <v>1.0756873180423199</v>
      </c>
      <c r="Z10" s="330">
        <f t="shared" si="19"/>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20"/>
        <v>1.6844344849453972</v>
      </c>
      <c r="AP10" s="504">
        <f t="shared" si="21"/>
        <v>1.2673506147472593</v>
      </c>
      <c r="AQ10" s="504">
        <f t="shared" si="22"/>
        <v>1.1322926068149861</v>
      </c>
      <c r="AR10" s="504">
        <f t="shared" si="23"/>
        <v>1.0607504057135009</v>
      </c>
      <c r="AS10" s="504">
        <f t="shared" si="24"/>
        <v>1.0016049035183423</v>
      </c>
    </row>
    <row r="11" spans="1:52" ht="15" x14ac:dyDescent="0.2">
      <c r="A11" s="322" t="str">
        <f t="shared" si="25"/>
        <v>Passenger Car</v>
      </c>
      <c r="B11" s="7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756">
        <v>17974.05843394086</v>
      </c>
      <c r="K11" s="986">
        <f t="shared" si="26"/>
        <v>532546.49922046636</v>
      </c>
      <c r="L11" s="987">
        <f t="shared" si="5"/>
        <v>440127.13563936885</v>
      </c>
      <c r="M11" s="987">
        <f t="shared" si="6"/>
        <v>426754.8286388081</v>
      </c>
      <c r="N11" s="987">
        <f t="shared" si="7"/>
        <v>413382.52163824736</v>
      </c>
      <c r="O11" s="987">
        <f t="shared" si="8"/>
        <v>412243.28961831459</v>
      </c>
      <c r="P11" s="987">
        <f t="shared" si="9"/>
        <v>411104.05759838183</v>
      </c>
      <c r="Q11" s="987">
        <f t="shared" si="10"/>
        <v>409624.83703723247</v>
      </c>
      <c r="R11" s="988">
        <f t="shared" si="11"/>
        <v>408145.616476083</v>
      </c>
      <c r="S11" s="330">
        <f t="shared" si="12"/>
        <v>1.6624738174911204</v>
      </c>
      <c r="T11" s="330">
        <f t="shared" si="13"/>
        <v>1.2688432315325302</v>
      </c>
      <c r="U11" s="330">
        <f t="shared" si="14"/>
        <v>1.2096918649167219</v>
      </c>
      <c r="V11" s="330">
        <f t="shared" si="15"/>
        <v>1.1524887666617909</v>
      </c>
      <c r="W11" s="330">
        <f t="shared" si="16"/>
        <v>1.136855140411553</v>
      </c>
      <c r="X11" s="330">
        <f t="shared" si="17"/>
        <v>1.1215567887604005</v>
      </c>
      <c r="Y11" s="330">
        <f t="shared" si="18"/>
        <v>1.1105785644095354</v>
      </c>
      <c r="Z11" s="330">
        <f t="shared" si="19"/>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20"/>
        <v>1.4414185748830934</v>
      </c>
      <c r="AP11" s="504">
        <f t="shared" si="21"/>
        <v>1.1518364154031082</v>
      </c>
      <c r="AQ11" s="504">
        <f t="shared" si="22"/>
        <v>1.0479227946099969</v>
      </c>
      <c r="AR11" s="504">
        <f t="shared" si="23"/>
        <v>0.98974342351285993</v>
      </c>
      <c r="AS11" s="504">
        <f t="shared" si="24"/>
        <v>0.93761813544156292</v>
      </c>
    </row>
    <row r="12" spans="1:52" ht="15" x14ac:dyDescent="0.2">
      <c r="A12" s="322" t="str">
        <f t="shared" si="25"/>
        <v>Passenger Car</v>
      </c>
      <c r="B12" s="7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756">
        <v>18426.411995766433</v>
      </c>
      <c r="K12" s="986">
        <f t="shared" si="26"/>
        <v>707010.50749483367</v>
      </c>
      <c r="L12" s="987">
        <f t="shared" si="5"/>
        <v>488026.70707505994</v>
      </c>
      <c r="M12" s="987">
        <f t="shared" si="6"/>
        <v>459741.33183593611</v>
      </c>
      <c r="N12" s="987">
        <f t="shared" si="7"/>
        <v>431455.95659681229</v>
      </c>
      <c r="O12" s="987">
        <f t="shared" si="8"/>
        <v>428214.41860846733</v>
      </c>
      <c r="P12" s="987">
        <f t="shared" si="9"/>
        <v>424972.88062012248</v>
      </c>
      <c r="Q12" s="987">
        <f t="shared" si="10"/>
        <v>421695.15383168129</v>
      </c>
      <c r="R12" s="988">
        <f t="shared" si="11"/>
        <v>418417.42704323999</v>
      </c>
      <c r="S12" s="330">
        <f t="shared" si="12"/>
        <v>2.2071057816017641</v>
      </c>
      <c r="T12" s="330">
        <f t="shared" si="13"/>
        <v>1.406932983533836</v>
      </c>
      <c r="U12" s="330">
        <f t="shared" si="14"/>
        <v>1.3031963829485218</v>
      </c>
      <c r="V12" s="330">
        <f t="shared" si="15"/>
        <v>1.2028765544235738</v>
      </c>
      <c r="W12" s="330">
        <f t="shared" si="16"/>
        <v>1.1808991807825731</v>
      </c>
      <c r="X12" s="330">
        <f t="shared" si="17"/>
        <v>1.1593931280634426</v>
      </c>
      <c r="Y12" s="330">
        <f t="shared" si="18"/>
        <v>1.1433037165133588</v>
      </c>
      <c r="Z12" s="330">
        <f t="shared" si="19"/>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20"/>
        <v>1.2434190944946621</v>
      </c>
      <c r="AP12" s="504">
        <f t="shared" si="21"/>
        <v>1.055894846672224</v>
      </c>
      <c r="AQ12" s="504">
        <f t="shared" si="22"/>
        <v>0.94796987980160197</v>
      </c>
      <c r="AR12" s="504">
        <f t="shared" si="23"/>
        <v>0.89041135121688042</v>
      </c>
      <c r="AS12" s="504">
        <f t="shared" si="24"/>
        <v>0.8407508847914158</v>
      </c>
    </row>
    <row r="13" spans="1:52" ht="15" x14ac:dyDescent="0.2">
      <c r="A13" s="322" t="str">
        <f t="shared" si="25"/>
        <v>Passenger Car</v>
      </c>
      <c r="B13" s="7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756">
        <v>18794.951675055818</v>
      </c>
      <c r="K13" s="986">
        <f t="shared" si="26"/>
        <v>707146.82558893401</v>
      </c>
      <c r="L13" s="987">
        <f t="shared" si="5"/>
        <v>495718.73268510634</v>
      </c>
      <c r="M13" s="987">
        <f t="shared" si="6"/>
        <v>467529.43060739042</v>
      </c>
      <c r="N13" s="987">
        <f t="shared" si="7"/>
        <v>439340.12852967443</v>
      </c>
      <c r="O13" s="987">
        <f t="shared" si="8"/>
        <v>436285.77643847442</v>
      </c>
      <c r="P13" s="987">
        <f t="shared" si="9"/>
        <v>433231.42434727459</v>
      </c>
      <c r="Q13" s="987">
        <f t="shared" si="10"/>
        <v>430008.72984538251</v>
      </c>
      <c r="R13" s="988">
        <f t="shared" si="11"/>
        <v>426786.03534349042</v>
      </c>
      <c r="S13" s="330">
        <f t="shared" si="12"/>
        <v>2.2075313317886938</v>
      </c>
      <c r="T13" s="330">
        <f t="shared" si="13"/>
        <v>1.4291083366119961</v>
      </c>
      <c r="U13" s="330">
        <f t="shared" si="14"/>
        <v>1.3252727581755961</v>
      </c>
      <c r="V13" s="330">
        <f t="shared" si="15"/>
        <v>1.2248572118327066</v>
      </c>
      <c r="W13" s="330">
        <f t="shared" si="16"/>
        <v>1.2031577957078528</v>
      </c>
      <c r="X13" s="330">
        <f t="shared" si="17"/>
        <v>1.1819237395017534</v>
      </c>
      <c r="Y13" s="330">
        <f t="shared" si="18"/>
        <v>1.1658435590218994</v>
      </c>
      <c r="Z13" s="330">
        <f t="shared" si="19"/>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20"/>
        <v>1.108618622175594</v>
      </c>
      <c r="AP13" s="504">
        <f t="shared" si="21"/>
        <v>0.97907828585860557</v>
      </c>
      <c r="AQ13" s="504">
        <f t="shared" si="22"/>
        <v>0.89250158441628213</v>
      </c>
      <c r="AR13" s="504">
        <f t="shared" si="23"/>
        <v>0.84434006239661141</v>
      </c>
      <c r="AS13" s="504">
        <f t="shared" si="24"/>
        <v>0.79982197855278259</v>
      </c>
    </row>
    <row r="14" spans="1:52" ht="15" x14ac:dyDescent="0.2">
      <c r="A14" s="322" t="str">
        <f t="shared" si="25"/>
        <v>Passenger Car</v>
      </c>
      <c r="B14" s="7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756">
        <v>20788.248664025326</v>
      </c>
      <c r="K14" s="986">
        <f t="shared" si="26"/>
        <v>822887.29912701563</v>
      </c>
      <c r="L14" s="987">
        <f t="shared" si="5"/>
        <v>558672.57151195302</v>
      </c>
      <c r="M14" s="987">
        <f t="shared" si="6"/>
        <v>510652.12345633184</v>
      </c>
      <c r="N14" s="987">
        <f t="shared" si="7"/>
        <v>462631.67540071055</v>
      </c>
      <c r="O14" s="987">
        <f t="shared" si="8"/>
        <v>465746.80198083411</v>
      </c>
      <c r="P14" s="987">
        <f t="shared" si="9"/>
        <v>468861.92856095772</v>
      </c>
      <c r="Q14" s="987">
        <f t="shared" si="10"/>
        <v>470455.36015133531</v>
      </c>
      <c r="R14" s="988">
        <f t="shared" si="11"/>
        <v>472048.79174171283</v>
      </c>
      <c r="S14" s="330">
        <f t="shared" si="12"/>
        <v>2.5688434560120985</v>
      </c>
      <c r="T14" s="330">
        <f t="shared" si="13"/>
        <v>1.6105980604355346</v>
      </c>
      <c r="U14" s="330">
        <f t="shared" si="14"/>
        <v>1.4475096193238455</v>
      </c>
      <c r="V14" s="330">
        <f t="shared" si="15"/>
        <v>1.2897928216419099</v>
      </c>
      <c r="W14" s="330">
        <f t="shared" si="16"/>
        <v>1.2844033106091091</v>
      </c>
      <c r="X14" s="330">
        <f t="shared" si="17"/>
        <v>1.2791293815994336</v>
      </c>
      <c r="Y14" s="330">
        <f t="shared" si="18"/>
        <v>1.2755028290634409</v>
      </c>
      <c r="Z14" s="330">
        <f t="shared" si="19"/>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20"/>
        <v>0.81642659699157527</v>
      </c>
      <c r="AP14" s="504">
        <f t="shared" si="21"/>
        <v>0.73942400256939955</v>
      </c>
      <c r="AQ14" s="504">
        <f t="shared" si="22"/>
        <v>0.67814689093781944</v>
      </c>
      <c r="AR14" s="504">
        <f t="shared" si="23"/>
        <v>0.6447439373030428</v>
      </c>
      <c r="AS14" s="504">
        <f t="shared" si="24"/>
        <v>0.60961697276991689</v>
      </c>
      <c r="AZ14" s="322">
        <f>AT14/3.6</f>
        <v>0</v>
      </c>
    </row>
    <row r="15" spans="1:52" ht="15" x14ac:dyDescent="0.2">
      <c r="A15" s="322" t="str">
        <f t="shared" si="25"/>
        <v>Passenger Car</v>
      </c>
      <c r="B15" s="7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756">
        <v>19695.247728715745</v>
      </c>
      <c r="K15" s="986">
        <f t="shared" si="26"/>
        <v>2484727.2820953736</v>
      </c>
      <c r="L15" s="987">
        <f t="shared" si="5"/>
        <v>982330.77701183001</v>
      </c>
      <c r="M15" s="987">
        <f t="shared" si="6"/>
        <v>749390.26345624495</v>
      </c>
      <c r="N15" s="987">
        <f t="shared" si="7"/>
        <v>516449.74990065984</v>
      </c>
      <c r="O15" s="987">
        <f t="shared" si="8"/>
        <v>488825.05442152976</v>
      </c>
      <c r="P15" s="987">
        <f t="shared" si="9"/>
        <v>461200.35894239973</v>
      </c>
      <c r="Q15" s="987">
        <f t="shared" si="10"/>
        <v>454214.92556289246</v>
      </c>
      <c r="R15" s="988">
        <f t="shared" si="11"/>
        <v>447229.49218338524</v>
      </c>
      <c r="S15" s="330">
        <f t="shared" si="12"/>
        <v>7.7566823857372587</v>
      </c>
      <c r="T15" s="330">
        <f t="shared" si="13"/>
        <v>2.8319629866194975</v>
      </c>
      <c r="U15" s="330">
        <f t="shared" si="14"/>
        <v>2.1242438152189673</v>
      </c>
      <c r="V15" s="330">
        <f t="shared" si="15"/>
        <v>1.4398347877578286</v>
      </c>
      <c r="W15" s="330">
        <f t="shared" si="16"/>
        <v>1.3480468691087808</v>
      </c>
      <c r="X15" s="330">
        <f t="shared" si="17"/>
        <v>1.2582274098007296</v>
      </c>
      <c r="Y15" s="330">
        <f t="shared" si="18"/>
        <v>1.2314716158658376</v>
      </c>
      <c r="Z15" s="330">
        <f t="shared" si="19"/>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20"/>
        <v>1.0752270792303171</v>
      </c>
      <c r="AP15" s="504">
        <f t="shared" si="21"/>
        <v>0.94154852321991489</v>
      </c>
      <c r="AQ15" s="504">
        <f t="shared" si="22"/>
        <v>0.83643614753341577</v>
      </c>
      <c r="AR15" s="504">
        <f t="shared" si="23"/>
        <v>0.77157920697300109</v>
      </c>
      <c r="AS15" s="504">
        <f t="shared" si="24"/>
        <v>0.70892116582680575</v>
      </c>
    </row>
    <row r="16" spans="1:52" ht="15" x14ac:dyDescent="0.2">
      <c r="A16" s="322" t="str">
        <f t="shared" si="25"/>
        <v>Passenger Car</v>
      </c>
      <c r="B16" s="7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756">
        <v>21086.801953962866</v>
      </c>
      <c r="K16" s="986">
        <f t="shared" si="26"/>
        <v>2632199.2001041374</v>
      </c>
      <c r="L16" s="987">
        <f t="shared" si="5"/>
        <v>1040946.7333319767</v>
      </c>
      <c r="M16" s="987">
        <f t="shared" si="6"/>
        <v>797721.78720084729</v>
      </c>
      <c r="N16" s="987">
        <f t="shared" si="7"/>
        <v>554496.84106971778</v>
      </c>
      <c r="O16" s="987">
        <f t="shared" si="8"/>
        <v>525189.17838682036</v>
      </c>
      <c r="P16" s="987">
        <f t="shared" si="9"/>
        <v>495881.51570392284</v>
      </c>
      <c r="Q16" s="987">
        <f t="shared" si="10"/>
        <v>487354.85051890759</v>
      </c>
      <c r="R16" s="988">
        <f t="shared" si="11"/>
        <v>478828.18533389247</v>
      </c>
      <c r="S16" s="330">
        <f t="shared" si="12"/>
        <v>8.2170519550868644</v>
      </c>
      <c r="T16" s="330">
        <f t="shared" si="13"/>
        <v>3.0009470219450662</v>
      </c>
      <c r="U16" s="330">
        <f t="shared" si="14"/>
        <v>2.2612457825531411</v>
      </c>
      <c r="V16" s="330">
        <f t="shared" si="15"/>
        <v>1.5459080803651746</v>
      </c>
      <c r="W16" s="330">
        <f t="shared" si="16"/>
        <v>1.4483292564698458</v>
      </c>
      <c r="X16" s="330">
        <f t="shared" si="17"/>
        <v>1.3528430821324031</v>
      </c>
      <c r="Y16" s="330">
        <f t="shared" si="18"/>
        <v>1.3213208802524739</v>
      </c>
      <c r="Z16" s="330">
        <f t="shared" si="19"/>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20"/>
        <v>0.95703509297619893</v>
      </c>
      <c r="AP16" s="504">
        <f t="shared" si="21"/>
        <v>0.80694213117446689</v>
      </c>
      <c r="AQ16" s="504">
        <f t="shared" si="22"/>
        <v>0.72463129273182003</v>
      </c>
      <c r="AR16" s="504">
        <f t="shared" si="23"/>
        <v>0.67545405705887274</v>
      </c>
      <c r="AS16" s="504">
        <f t="shared" si="24"/>
        <v>0.62690006806868404</v>
      </c>
    </row>
    <row r="17" spans="1:45" ht="15" x14ac:dyDescent="0.2">
      <c r="A17" s="322" t="str">
        <f t="shared" si="25"/>
        <v>Passenger Car</v>
      </c>
      <c r="B17" s="7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756">
        <v>19824.232277531381</v>
      </c>
      <c r="K17" s="986">
        <f t="shared" si="26"/>
        <v>1813557.8194594157</v>
      </c>
      <c r="L17" s="987">
        <f t="shared" si="5"/>
        <v>798153.78042517859</v>
      </c>
      <c r="M17" s="987">
        <f t="shared" si="6"/>
        <v>649401.81167934288</v>
      </c>
      <c r="N17" s="987">
        <f t="shared" si="7"/>
        <v>500649.84293350729</v>
      </c>
      <c r="O17" s="987">
        <f t="shared" si="8"/>
        <v>482665.52244873362</v>
      </c>
      <c r="P17" s="987">
        <f t="shared" si="9"/>
        <v>464681.20196396013</v>
      </c>
      <c r="Q17" s="987">
        <f t="shared" si="10"/>
        <v>457419.80426306388</v>
      </c>
      <c r="R17" s="988">
        <f t="shared" si="11"/>
        <v>450158.40656216769</v>
      </c>
      <c r="S17" s="330">
        <f t="shared" si="12"/>
        <v>5.6614631694525608</v>
      </c>
      <c r="T17" s="330">
        <f t="shared" si="13"/>
        <v>2.3009988251312934</v>
      </c>
      <c r="U17" s="330">
        <f t="shared" si="14"/>
        <v>1.8408135911581427</v>
      </c>
      <c r="V17" s="330">
        <f t="shared" si="15"/>
        <v>1.3957854766699263</v>
      </c>
      <c r="W17" s="330">
        <f t="shared" si="16"/>
        <v>1.3310605511694735</v>
      </c>
      <c r="X17" s="330">
        <f t="shared" si="17"/>
        <v>1.2677236992420131</v>
      </c>
      <c r="Y17" s="330">
        <f t="shared" si="18"/>
        <v>1.2401607119950833</v>
      </c>
      <c r="Z17" s="330">
        <f t="shared" si="19"/>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20"/>
        <v>0.83884310672208084</v>
      </c>
      <c r="AP17" s="504">
        <f t="shared" si="21"/>
        <v>0.74746488817764112</v>
      </c>
      <c r="AQ17" s="504">
        <f t="shared" si="22"/>
        <v>0.67522914758692887</v>
      </c>
      <c r="AR17" s="504">
        <f t="shared" si="23"/>
        <v>0.63298015360844395</v>
      </c>
      <c r="AS17" s="504">
        <f t="shared" si="24"/>
        <v>0.59065818766393241</v>
      </c>
    </row>
    <row r="18" spans="1:45" ht="15" x14ac:dyDescent="0.2">
      <c r="A18" s="322" t="str">
        <f t="shared" si="25"/>
        <v>Passenger Car</v>
      </c>
      <c r="B18" s="7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757">
        <v>16814.682751576893</v>
      </c>
      <c r="K18" s="986">
        <f t="shared" si="26"/>
        <v>347222.71743483498</v>
      </c>
      <c r="L18" s="987">
        <f t="shared" si="5"/>
        <v>365584.76536637149</v>
      </c>
      <c r="M18" s="987">
        <f t="shared" si="6"/>
        <v>369279.85636459186</v>
      </c>
      <c r="N18" s="987">
        <f t="shared" si="7"/>
        <v>372974.94736281218</v>
      </c>
      <c r="O18" s="987">
        <f t="shared" si="8"/>
        <v>375820.16144062584</v>
      </c>
      <c r="P18" s="987">
        <f t="shared" si="9"/>
        <v>378665.37551843945</v>
      </c>
      <c r="Q18" s="987">
        <f t="shared" si="10"/>
        <v>380242.24451610784</v>
      </c>
      <c r="R18" s="988">
        <f t="shared" si="11"/>
        <v>381819.11351377616</v>
      </c>
      <c r="S18" s="330">
        <f t="shared" si="12"/>
        <v>1.0839404210120596</v>
      </c>
      <c r="T18" s="330">
        <f t="shared" si="13"/>
        <v>1.0539449116507418</v>
      </c>
      <c r="U18" s="330">
        <f t="shared" si="14"/>
        <v>1.046771607826253</v>
      </c>
      <c r="V18" s="330">
        <f t="shared" si="15"/>
        <v>1.0398345710854142</v>
      </c>
      <c r="W18" s="330">
        <f t="shared" si="16"/>
        <v>1.0364100354420756</v>
      </c>
      <c r="X18" s="330">
        <f t="shared" si="17"/>
        <v>1.0330589414812039</v>
      </c>
      <c r="Y18" s="330">
        <f t="shared" si="18"/>
        <v>1.0309162137162475</v>
      </c>
      <c r="Z18" s="330">
        <f t="shared" si="19"/>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20"/>
        <v>2.7731584934931535</v>
      </c>
      <c r="AP18" s="504">
        <f t="shared" si="21"/>
        <v>2.0718600724531742</v>
      </c>
      <c r="AQ18" s="504">
        <f t="shared" si="22"/>
        <v>1.6924435330873051</v>
      </c>
      <c r="AR18" s="504">
        <f t="shared" si="23"/>
        <v>1.5062933039675674</v>
      </c>
      <c r="AS18" s="504">
        <f t="shared" si="24"/>
        <v>1.3837225479656539</v>
      </c>
    </row>
    <row r="19" spans="1:45" ht="15" x14ac:dyDescent="0.2">
      <c r="A19" s="322" t="str">
        <f t="shared" si="25"/>
        <v>Passenger Car</v>
      </c>
      <c r="B19" s="758"/>
      <c r="C19" s="457"/>
      <c r="D19" s="457"/>
      <c r="E19" s="458"/>
      <c r="F19" s="457"/>
      <c r="G19" s="457"/>
      <c r="H19" s="457"/>
      <c r="I19" s="457"/>
      <c r="J19" s="759"/>
      <c r="K19" s="989"/>
      <c r="L19" s="990"/>
      <c r="M19" s="990"/>
      <c r="N19" s="990"/>
      <c r="O19" s="990"/>
      <c r="P19" s="990"/>
      <c r="Q19" s="990"/>
      <c r="R19" s="991"/>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25"/>
        <v>Passenger Car</v>
      </c>
      <c r="B20" s="758"/>
      <c r="C20" s="457"/>
      <c r="D20" s="457"/>
      <c r="E20" s="458"/>
      <c r="F20" s="457"/>
      <c r="G20" s="457"/>
      <c r="H20" s="457"/>
      <c r="I20" s="457"/>
      <c r="J20" s="759"/>
      <c r="K20" s="989"/>
      <c r="L20" s="990"/>
      <c r="M20" s="990"/>
      <c r="N20" s="990"/>
      <c r="O20" s="990"/>
      <c r="P20" s="990"/>
      <c r="Q20" s="990"/>
      <c r="R20" s="991"/>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760" t="s">
        <v>715</v>
      </c>
      <c r="C21" s="351">
        <v>2010</v>
      </c>
      <c r="D21" s="351">
        <v>2020</v>
      </c>
      <c r="E21" s="354"/>
      <c r="F21" s="351">
        <v>2030</v>
      </c>
      <c r="G21" s="351"/>
      <c r="H21" s="351">
        <v>2040</v>
      </c>
      <c r="I21" s="351"/>
      <c r="J21" s="752">
        <v>2050</v>
      </c>
      <c r="K21" s="979" t="e">
        <f>#REF!</f>
        <v>#REF!</v>
      </c>
      <c r="L21" s="980" t="e">
        <f>#REF!</f>
        <v>#REF!</v>
      </c>
      <c r="M21" s="980" t="e">
        <f>#REF!</f>
        <v>#REF!</v>
      </c>
      <c r="N21" s="980" t="e">
        <f>#REF!</f>
        <v>#REF!</v>
      </c>
      <c r="O21" s="980" t="e">
        <f>#REF!</f>
        <v>#REF!</v>
      </c>
      <c r="P21" s="980" t="e">
        <f>#REF!</f>
        <v>#REF!</v>
      </c>
      <c r="Q21" s="980" t="e">
        <f>#REF!</f>
        <v>#REF!</v>
      </c>
      <c r="R21" s="981" t="e">
        <f>#REF!</f>
        <v>#REF!</v>
      </c>
      <c r="S21" s="330"/>
      <c r="AA21"/>
      <c r="AB21" s="502" t="s">
        <v>840</v>
      </c>
      <c r="AC21" s="501" t="s">
        <v>141</v>
      </c>
      <c r="AD21" s="500" t="s">
        <v>141</v>
      </c>
      <c r="AE21" s="499" t="s">
        <v>141</v>
      </c>
      <c r="AF21" s="498" t="s">
        <v>141</v>
      </c>
      <c r="AG21" s="497" t="s">
        <v>141</v>
      </c>
      <c r="AH21"/>
      <c r="AI21"/>
      <c r="AJ21"/>
    </row>
    <row r="22" spans="1:45" ht="15" x14ac:dyDescent="0.25">
      <c r="A22" s="322" t="str">
        <f t="shared" ref="A22:A28" si="27">A21</f>
        <v>Motorcycle or Moped</v>
      </c>
      <c r="B22" s="761" t="s">
        <v>791</v>
      </c>
      <c r="C22" s="495" t="s">
        <v>193</v>
      </c>
      <c r="D22" s="494" t="s">
        <v>193</v>
      </c>
      <c r="E22" s="493"/>
      <c r="F22" s="492" t="s">
        <v>193</v>
      </c>
      <c r="G22" s="492"/>
      <c r="H22" s="491" t="s">
        <v>193</v>
      </c>
      <c r="I22" s="491"/>
      <c r="J22" s="762" t="s">
        <v>193</v>
      </c>
      <c r="K22" s="982" t="s">
        <v>1293</v>
      </c>
      <c r="L22" s="972" t="s">
        <v>1293</v>
      </c>
      <c r="M22" s="972" t="s">
        <v>1293</v>
      </c>
      <c r="N22" s="972" t="s">
        <v>1293</v>
      </c>
      <c r="O22" s="972" t="s">
        <v>1293</v>
      </c>
      <c r="P22" s="972" t="s">
        <v>1293</v>
      </c>
      <c r="Q22" s="972" t="s">
        <v>1293</v>
      </c>
      <c r="R22" s="973" t="s">
        <v>1293</v>
      </c>
      <c r="S22" s="330"/>
      <c r="AA22"/>
      <c r="AB22" s="489" t="s">
        <v>659</v>
      </c>
      <c r="AC22" s="488" t="s">
        <v>193</v>
      </c>
      <c r="AD22" s="487" t="s">
        <v>193</v>
      </c>
      <c r="AE22" s="486" t="s">
        <v>193</v>
      </c>
      <c r="AF22" s="485" t="s">
        <v>193</v>
      </c>
      <c r="AG22" s="484" t="s">
        <v>193</v>
      </c>
      <c r="AH22"/>
      <c r="AI22"/>
      <c r="AJ22"/>
    </row>
    <row r="23" spans="1:45" ht="15" x14ac:dyDescent="0.25">
      <c r="A23" s="322" t="str">
        <f t="shared" si="27"/>
        <v>Motorcycle or Moped</v>
      </c>
      <c r="B23" s="76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764">
        <v>6982.9686511182554</v>
      </c>
      <c r="K23" s="986">
        <f t="shared" ref="K23:K26" si="28">C23*$B$2*$L$2</f>
        <v>141027.50185583998</v>
      </c>
      <c r="L23" s="987">
        <f t="shared" ref="L23:L26" si="29">D23*$B$2*$L$2</f>
        <v>147584.0985165429</v>
      </c>
      <c r="M23" s="987">
        <f t="shared" ref="M23:M26" si="30">E23*$B$2*$L$2</f>
        <v>149645.77435664483</v>
      </c>
      <c r="N23" s="987">
        <f t="shared" ref="N23:N26" si="31">F23*$B$2*$L$2</f>
        <v>151707.45019674677</v>
      </c>
      <c r="O23" s="987">
        <f t="shared" ref="O23:O26" si="32">G23*$B$2*$L$2</f>
        <v>154052.49969710867</v>
      </c>
      <c r="P23" s="987">
        <f t="shared" ref="P23:P26" si="33">H23*$B$2*$L$2</f>
        <v>156397.54919747054</v>
      </c>
      <c r="Q23" s="987">
        <f t="shared" ref="Q23:Q26" si="34">I23*$B$2*$L$2</f>
        <v>157481.593652054</v>
      </c>
      <c r="R23" s="988">
        <f t="shared" ref="R23:R26" si="35">J23*$B$2*$L$2</f>
        <v>158565.63810663752</v>
      </c>
      <c r="S23" s="330">
        <f t="shared" ref="S23:Z26" si="36">C23/C$23</f>
        <v>1</v>
      </c>
      <c r="T23" s="330">
        <f t="shared" si="36"/>
        <v>1</v>
      </c>
      <c r="U23" s="330">
        <f t="shared" si="36"/>
        <v>1</v>
      </c>
      <c r="V23" s="330">
        <f t="shared" si="36"/>
        <v>1</v>
      </c>
      <c r="W23" s="330">
        <f t="shared" si="36"/>
        <v>1</v>
      </c>
      <c r="X23" s="330">
        <f t="shared" si="36"/>
        <v>1</v>
      </c>
      <c r="Y23" s="330">
        <f t="shared" si="36"/>
        <v>1</v>
      </c>
      <c r="Z23" s="330">
        <f t="shared" si="36"/>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27"/>
        <v>Motorcycle or Moped</v>
      </c>
      <c r="B24" s="76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764">
        <v>6868.8671622055499</v>
      </c>
      <c r="K24" s="986">
        <f t="shared" si="28"/>
        <v>174448.5557997103</v>
      </c>
      <c r="L24" s="987">
        <f t="shared" si="29"/>
        <v>159415.0639821435</v>
      </c>
      <c r="M24" s="987">
        <f t="shared" si="30"/>
        <v>156845.98005151856</v>
      </c>
      <c r="N24" s="987">
        <f t="shared" si="31"/>
        <v>154276.89612089362</v>
      </c>
      <c r="O24" s="987">
        <f t="shared" si="32"/>
        <v>154567.5819960676</v>
      </c>
      <c r="P24" s="987">
        <f t="shared" si="33"/>
        <v>154858.26787124161</v>
      </c>
      <c r="Q24" s="987">
        <f t="shared" si="34"/>
        <v>155416.47421033561</v>
      </c>
      <c r="R24" s="988">
        <f t="shared" si="35"/>
        <v>155974.68054942964</v>
      </c>
      <c r="S24" s="330">
        <f t="shared" si="36"/>
        <v>1.2369825282591598</v>
      </c>
      <c r="T24" s="330">
        <f t="shared" si="36"/>
        <v>1.0801642289685731</v>
      </c>
      <c r="U24" s="330">
        <f t="shared" si="36"/>
        <v>1.0481149950663742</v>
      </c>
      <c r="V24" s="330">
        <f t="shared" si="36"/>
        <v>1.0169368473388392</v>
      </c>
      <c r="W24" s="330">
        <f t="shared" si="36"/>
        <v>1.003343550412825</v>
      </c>
      <c r="X24" s="330">
        <f t="shared" si="36"/>
        <v>0.99015789355953798</v>
      </c>
      <c r="Y24" s="330">
        <f t="shared" si="36"/>
        <v>0.98688659802185419</v>
      </c>
      <c r="Z24" s="330">
        <f t="shared" si="36"/>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27"/>
        <v>Motorcycle or Moped</v>
      </c>
      <c r="B25" s="76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764">
        <v>7540.9608799540883</v>
      </c>
      <c r="K25" s="986">
        <f t="shared" si="28"/>
        <v>227346.62147828657</v>
      </c>
      <c r="L25" s="987">
        <f t="shared" si="29"/>
        <v>181465.94491118923</v>
      </c>
      <c r="M25" s="987">
        <f t="shared" si="30"/>
        <v>171445.00178036213</v>
      </c>
      <c r="N25" s="987">
        <f t="shared" si="31"/>
        <v>161424.058649535</v>
      </c>
      <c r="O25" s="987">
        <f t="shared" si="32"/>
        <v>163891.70354364614</v>
      </c>
      <c r="P25" s="987">
        <f t="shared" si="33"/>
        <v>166359.34843775732</v>
      </c>
      <c r="Q25" s="987">
        <f t="shared" si="34"/>
        <v>168797.79264445865</v>
      </c>
      <c r="R25" s="988">
        <f t="shared" si="35"/>
        <v>171236.23685116001</v>
      </c>
      <c r="S25" s="330">
        <f t="shared" si="36"/>
        <v>1.6120729537610547</v>
      </c>
      <c r="T25" s="330">
        <f t="shared" si="36"/>
        <v>1.2295765379550596</v>
      </c>
      <c r="U25" s="330">
        <f t="shared" si="36"/>
        <v>1.1456721883222982</v>
      </c>
      <c r="V25" s="330">
        <f t="shared" si="36"/>
        <v>1.0640483274894341</v>
      </c>
      <c r="W25" s="330">
        <f t="shared" si="36"/>
        <v>1.063869160616562</v>
      </c>
      <c r="X25" s="330">
        <f t="shared" si="36"/>
        <v>1.063695366656346</v>
      </c>
      <c r="Y25" s="330">
        <f t="shared" si="36"/>
        <v>1.0718572801428914</v>
      </c>
      <c r="Z25" s="330">
        <f t="shared" si="36"/>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27"/>
        <v>Motorcycle or Moped</v>
      </c>
      <c r="B26" s="76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764">
        <v>9287.6163716223946</v>
      </c>
      <c r="K26" s="986">
        <f t="shared" si="28"/>
        <v>1452753.9094457545</v>
      </c>
      <c r="L26" s="987">
        <f t="shared" si="29"/>
        <v>538071.45443535224</v>
      </c>
      <c r="M26" s="987">
        <f t="shared" si="30"/>
        <v>394691.84220395895</v>
      </c>
      <c r="N26" s="987">
        <f t="shared" si="31"/>
        <v>251312.22997256575</v>
      </c>
      <c r="O26" s="987">
        <f t="shared" si="32"/>
        <v>234494.37782190836</v>
      </c>
      <c r="P26" s="987">
        <f t="shared" si="33"/>
        <v>217676.52567125103</v>
      </c>
      <c r="Q26" s="987">
        <f t="shared" si="34"/>
        <v>214287.45572439212</v>
      </c>
      <c r="R26" s="988">
        <f t="shared" si="35"/>
        <v>210898.3857775332</v>
      </c>
      <c r="S26" s="330">
        <f t="shared" si="36"/>
        <v>10.3012099791059</v>
      </c>
      <c r="T26" s="330">
        <f t="shared" si="36"/>
        <v>3.6458633405890888</v>
      </c>
      <c r="U26" s="330">
        <f t="shared" si="36"/>
        <v>2.6375074331421184</v>
      </c>
      <c r="V26" s="330">
        <f t="shared" si="36"/>
        <v>1.6565582616189463</v>
      </c>
      <c r="W26" s="330">
        <f t="shared" si="36"/>
        <v>1.5221718458509992</v>
      </c>
      <c r="X26" s="330">
        <f t="shared" si="36"/>
        <v>1.3918154522767392</v>
      </c>
      <c r="Y26" s="330">
        <f t="shared" si="36"/>
        <v>1.3607142952708948</v>
      </c>
      <c r="Z26" s="330">
        <f t="shared" si="36"/>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27"/>
        <v>Motorcycle or Moped</v>
      </c>
      <c r="B27" s="765"/>
      <c r="J27" s="748"/>
      <c r="K27" s="982"/>
      <c r="R27" s="973"/>
    </row>
    <row r="28" spans="1:45" x14ac:dyDescent="0.2">
      <c r="A28" s="322" t="str">
        <f t="shared" si="27"/>
        <v>Motorcycle or Moped</v>
      </c>
      <c r="B28" s="749" t="s">
        <v>832</v>
      </c>
      <c r="C28" s="456" t="s">
        <v>831</v>
      </c>
      <c r="D28" s="455">
        <v>0.08</v>
      </c>
      <c r="E28" s="454"/>
      <c r="J28" s="748"/>
      <c r="K28" s="982"/>
      <c r="R28" s="973"/>
      <c r="AB28" s="452" t="s">
        <v>816</v>
      </c>
      <c r="AC28" s="322" t="s">
        <v>834</v>
      </c>
    </row>
    <row r="29" spans="1:45" x14ac:dyDescent="0.2">
      <c r="A29" s="322" t="str">
        <f>B29</f>
        <v xml:space="preserve">Van / LCV </v>
      </c>
      <c r="B29" s="751" t="s">
        <v>701</v>
      </c>
      <c r="C29" s="351">
        <v>2010</v>
      </c>
      <c r="D29" s="351">
        <v>2020</v>
      </c>
      <c r="E29" s="354"/>
      <c r="F29" s="351">
        <v>2030</v>
      </c>
      <c r="G29" s="351"/>
      <c r="H29" s="351">
        <v>2040</v>
      </c>
      <c r="I29" s="351"/>
      <c r="J29" s="752">
        <v>2050</v>
      </c>
      <c r="K29" s="979" t="e">
        <f>#REF!</f>
        <v>#REF!</v>
      </c>
      <c r="L29" s="980" t="e">
        <f>#REF!</f>
        <v>#REF!</v>
      </c>
      <c r="M29" s="980" t="e">
        <f>#REF!</f>
        <v>#REF!</v>
      </c>
      <c r="N29" s="980" t="e">
        <f>#REF!</f>
        <v>#REF!</v>
      </c>
      <c r="O29" s="980" t="e">
        <f>#REF!</f>
        <v>#REF!</v>
      </c>
      <c r="P29" s="980" t="e">
        <f>#REF!</f>
        <v>#REF!</v>
      </c>
      <c r="Q29" s="980" t="e">
        <f>#REF!</f>
        <v>#REF!</v>
      </c>
      <c r="R29" s="981" t="e">
        <f>#REF!</f>
        <v>#REF!</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37">A29</f>
        <v xml:space="preserve">Van / LCV </v>
      </c>
      <c r="B30" s="753" t="s">
        <v>791</v>
      </c>
      <c r="C30" s="442"/>
      <c r="D30" s="448" t="s">
        <v>193</v>
      </c>
      <c r="E30" s="462"/>
      <c r="F30" s="448" t="s">
        <v>193</v>
      </c>
      <c r="G30" s="448"/>
      <c r="H30" s="448" t="s">
        <v>193</v>
      </c>
      <c r="I30" s="448"/>
      <c r="J30" s="754" t="s">
        <v>193</v>
      </c>
      <c r="K30" s="982" t="s">
        <v>1293</v>
      </c>
      <c r="L30" s="972" t="s">
        <v>1293</v>
      </c>
      <c r="M30" s="972" t="s">
        <v>1293</v>
      </c>
      <c r="N30" s="972" t="s">
        <v>1293</v>
      </c>
      <c r="O30" s="972" t="s">
        <v>1293</v>
      </c>
      <c r="P30" s="972" t="s">
        <v>1293</v>
      </c>
      <c r="Q30" s="972" t="s">
        <v>1293</v>
      </c>
      <c r="R30" s="973" t="s">
        <v>1293</v>
      </c>
      <c r="AB30" s="447" t="s">
        <v>659</v>
      </c>
      <c r="AC30" s="446" t="s">
        <v>663</v>
      </c>
      <c r="AD30" s="446" t="s">
        <v>663</v>
      </c>
      <c r="AE30" s="446" t="s">
        <v>663</v>
      </c>
      <c r="AF30" s="446" t="s">
        <v>663</v>
      </c>
      <c r="AG30" s="446" t="s">
        <v>663</v>
      </c>
    </row>
    <row r="31" spans="1:45" ht="15" x14ac:dyDescent="0.2">
      <c r="A31" s="322" t="str">
        <f t="shared" si="37"/>
        <v xml:space="preserve">Van / LCV </v>
      </c>
      <c r="B31" s="755" t="s">
        <v>680</v>
      </c>
      <c r="C31" s="442">
        <v>11305.478439259858</v>
      </c>
      <c r="D31" s="442">
        <v>12289.794448140692</v>
      </c>
      <c r="E31" s="332">
        <f t="shared" ref="E31:E43" si="38">AVERAGE(D31,F31)</f>
        <v>12516.277438952329</v>
      </c>
      <c r="F31" s="442">
        <v>12742.760429763966</v>
      </c>
      <c r="G31" s="332">
        <f t="shared" ref="G31:G43" si="39">AVERAGE(F31,H31)</f>
        <v>13021.038161305632</v>
      </c>
      <c r="H31" s="442">
        <v>13299.315892847299</v>
      </c>
      <c r="I31" s="332">
        <f t="shared" ref="I31:I43" si="40">AVERAGE(H31,J31)</f>
        <v>13438.741884494142</v>
      </c>
      <c r="J31" s="756">
        <v>13578.167876140986</v>
      </c>
      <c r="K31" s="986">
        <f t="shared" ref="K31:K43" si="41">C31*$B$2*$L$2</f>
        <v>256718.95326853491</v>
      </c>
      <c r="L31" s="987">
        <f t="shared" ref="L31:L43" si="42">D31*$B$2*$L$2</f>
        <v>279070.29176720825</v>
      </c>
      <c r="M31" s="987">
        <f t="shared" ref="M31:M43" si="43">E31*$B$2*$L$2</f>
        <v>284213.15030669142</v>
      </c>
      <c r="N31" s="987">
        <f t="shared" ref="N31:N43" si="44">F31*$B$2*$L$2</f>
        <v>289356.00884617458</v>
      </c>
      <c r="O31" s="987">
        <f t="shared" ref="O31:O43" si="45">G31*$B$2*$L$2</f>
        <v>295674.99555187975</v>
      </c>
      <c r="P31" s="987">
        <f t="shared" ref="P31:P43" si="46">H31*$B$2*$L$2</f>
        <v>301993.98225758487</v>
      </c>
      <c r="Q31" s="987">
        <f t="shared" ref="Q31:Q43" si="47">I31*$B$2*$L$2</f>
        <v>305159.99551622837</v>
      </c>
      <c r="R31" s="988">
        <f t="shared" ref="R31:R43" si="48">J31*$B$2*$L$2</f>
        <v>308326.00877487194</v>
      </c>
      <c r="S31" s="330">
        <f t="shared" ref="S31:S43" si="49">C31/C$31</f>
        <v>1</v>
      </c>
      <c r="T31" s="330">
        <f t="shared" ref="T31:T43" si="50">D31/D$31</f>
        <v>1</v>
      </c>
      <c r="U31" s="330">
        <f t="shared" ref="U31:U43" si="51">E31/E$31</f>
        <v>1</v>
      </c>
      <c r="V31" s="330">
        <f t="shared" ref="V31:V43" si="52">F31/F$31</f>
        <v>1</v>
      </c>
      <c r="W31" s="330">
        <f t="shared" ref="W31:W43" si="53">G31/G$31</f>
        <v>1</v>
      </c>
      <c r="X31" s="330">
        <f t="shared" ref="X31:X43" si="54">H31/H$31</f>
        <v>1</v>
      </c>
      <c r="Y31" s="330">
        <f t="shared" ref="Y31:Y43" si="55">I31/I$31</f>
        <v>1</v>
      </c>
      <c r="Z31" s="330">
        <f t="shared" ref="Z31:Z43" si="56">J31/J$31</f>
        <v>1</v>
      </c>
      <c r="AB31" s="459" t="s">
        <v>680</v>
      </c>
      <c r="AC31" s="439">
        <v>2.8454207298952694</v>
      </c>
      <c r="AD31" s="439">
        <v>2.3296805874954902</v>
      </c>
      <c r="AE31" s="439">
        <v>2.0623539773065218</v>
      </c>
      <c r="AF31" s="439">
        <v>1.8329916444732148</v>
      </c>
      <c r="AG31" s="439">
        <v>1.6746537880884433</v>
      </c>
    </row>
    <row r="32" spans="1:45" ht="15" x14ac:dyDescent="0.2">
      <c r="A32" s="322" t="str">
        <f t="shared" si="37"/>
        <v xml:space="preserve">Van / LCV </v>
      </c>
      <c r="B32" s="755" t="s">
        <v>687</v>
      </c>
      <c r="C32" s="442">
        <v>12067.578439259856</v>
      </c>
      <c r="D32" s="442">
        <v>13322.531671240238</v>
      </c>
      <c r="E32" s="332">
        <f t="shared" si="38"/>
        <v>13559.916920694781</v>
      </c>
      <c r="F32" s="442">
        <v>13797.302170149324</v>
      </c>
      <c r="G32" s="332">
        <f t="shared" si="39"/>
        <v>14084.66938951456</v>
      </c>
      <c r="H32" s="442">
        <v>14372.036608879796</v>
      </c>
      <c r="I32" s="332">
        <f t="shared" si="40"/>
        <v>14513.120679970814</v>
      </c>
      <c r="J32" s="756">
        <v>14654.204751061832</v>
      </c>
      <c r="K32" s="986">
        <f t="shared" si="41"/>
        <v>274024.32564504078</v>
      </c>
      <c r="L32" s="987">
        <f t="shared" si="42"/>
        <v>302521.15413804707</v>
      </c>
      <c r="M32" s="987">
        <f t="shared" si="43"/>
        <v>307911.57552434888</v>
      </c>
      <c r="N32" s="987">
        <f t="shared" si="44"/>
        <v>313301.99691065069</v>
      </c>
      <c r="O32" s="987">
        <f t="shared" si="45"/>
        <v>319827.38300160522</v>
      </c>
      <c r="P32" s="987">
        <f t="shared" si="46"/>
        <v>326352.76909255981</v>
      </c>
      <c r="Q32" s="987">
        <f t="shared" si="47"/>
        <v>329556.43316108553</v>
      </c>
      <c r="R32" s="988">
        <f t="shared" si="48"/>
        <v>332760.09722961136</v>
      </c>
      <c r="S32" s="330">
        <f t="shared" si="49"/>
        <v>1.0674097964181242</v>
      </c>
      <c r="T32" s="330">
        <f t="shared" si="50"/>
        <v>1.084032098946601</v>
      </c>
      <c r="U32" s="330">
        <f t="shared" si="51"/>
        <v>1.0833825781533497</v>
      </c>
      <c r="V32" s="330">
        <f t="shared" si="52"/>
        <v>1.0827561458286703</v>
      </c>
      <c r="W32" s="330">
        <f t="shared" si="53"/>
        <v>1.0816855933476717</v>
      </c>
      <c r="X32" s="330">
        <f t="shared" si="54"/>
        <v>1.0806598418050535</v>
      </c>
      <c r="Y32" s="330">
        <f t="shared" si="55"/>
        <v>1.0799463822365925</v>
      </c>
      <c r="Z32" s="330">
        <f t="shared" si="56"/>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37"/>
        <v xml:space="preserve">Van / LCV </v>
      </c>
      <c r="B33" s="755" t="s">
        <v>688</v>
      </c>
      <c r="C33" s="442">
        <v>13782.736415022977</v>
      </c>
      <c r="D33" s="442">
        <v>13427.805704040664</v>
      </c>
      <c r="E33" s="332">
        <f t="shared" si="38"/>
        <v>13342.505844101395</v>
      </c>
      <c r="F33" s="442">
        <v>13257.205984162127</v>
      </c>
      <c r="G33" s="332">
        <f t="shared" si="39"/>
        <v>13379.130824979849</v>
      </c>
      <c r="H33" s="442">
        <v>13501.055665797574</v>
      </c>
      <c r="I33" s="332">
        <f t="shared" si="40"/>
        <v>13550.4912530031</v>
      </c>
      <c r="J33" s="756">
        <v>13599.926840208624</v>
      </c>
      <c r="K33" s="986">
        <f t="shared" si="41"/>
        <v>312971.24528172216</v>
      </c>
      <c r="L33" s="987">
        <f t="shared" si="42"/>
        <v>304911.66239049146</v>
      </c>
      <c r="M33" s="987">
        <f t="shared" si="43"/>
        <v>302974.71731778071</v>
      </c>
      <c r="N33" s="987">
        <f t="shared" si="44"/>
        <v>301037.77224507002</v>
      </c>
      <c r="O33" s="987">
        <f t="shared" si="45"/>
        <v>303806.37842837517</v>
      </c>
      <c r="P33" s="987">
        <f t="shared" si="46"/>
        <v>306574.98461168044</v>
      </c>
      <c r="Q33" s="987">
        <f t="shared" si="47"/>
        <v>307697.54234064365</v>
      </c>
      <c r="R33" s="988">
        <f t="shared" si="48"/>
        <v>308820.10006960679</v>
      </c>
      <c r="S33" s="330">
        <f t="shared" si="49"/>
        <v>1.2191201362306343</v>
      </c>
      <c r="T33" s="330">
        <f t="shared" si="50"/>
        <v>1.0925980707571672</v>
      </c>
      <c r="U33" s="330">
        <f t="shared" si="51"/>
        <v>1.0660123115022788</v>
      </c>
      <c r="V33" s="330">
        <f t="shared" si="52"/>
        <v>1.0403715943051508</v>
      </c>
      <c r="W33" s="330">
        <f t="shared" si="53"/>
        <v>1.0275010839564509</v>
      </c>
      <c r="X33" s="330">
        <f t="shared" si="54"/>
        <v>1.0151691842329105</v>
      </c>
      <c r="Y33" s="330">
        <f t="shared" si="55"/>
        <v>1.0083154635656701</v>
      </c>
      <c r="Z33" s="330">
        <f t="shared" si="56"/>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37"/>
        <v xml:space="preserve">Van / LCV </v>
      </c>
      <c r="B34" s="755" t="s">
        <v>689</v>
      </c>
      <c r="C34" s="442">
        <v>14581.175917305238</v>
      </c>
      <c r="D34" s="442">
        <v>14391.269995327921</v>
      </c>
      <c r="E34" s="332">
        <f t="shared" si="38"/>
        <v>14294.563247962416</v>
      </c>
      <c r="F34" s="442">
        <v>14197.856500596912</v>
      </c>
      <c r="G34" s="332">
        <f t="shared" si="39"/>
        <v>14327.249958258559</v>
      </c>
      <c r="H34" s="442">
        <v>14456.643415920207</v>
      </c>
      <c r="I34" s="332">
        <f t="shared" si="40"/>
        <v>14506.008189654398</v>
      </c>
      <c r="J34" s="756">
        <v>14555.372963388589</v>
      </c>
      <c r="K34" s="986">
        <f t="shared" si="41"/>
        <v>331101.79626860912</v>
      </c>
      <c r="L34" s="987">
        <f t="shared" si="42"/>
        <v>326789.51087781903</v>
      </c>
      <c r="M34" s="987">
        <f t="shared" si="43"/>
        <v>324593.54410904757</v>
      </c>
      <c r="N34" s="987">
        <f t="shared" si="44"/>
        <v>322397.57734027604</v>
      </c>
      <c r="O34" s="987">
        <f t="shared" si="45"/>
        <v>325335.7770095038</v>
      </c>
      <c r="P34" s="987">
        <f t="shared" si="46"/>
        <v>328273.9766787315</v>
      </c>
      <c r="Q34" s="987">
        <f t="shared" si="47"/>
        <v>329394.92641203705</v>
      </c>
      <c r="R34" s="988">
        <f t="shared" si="48"/>
        <v>330515.8761453426</v>
      </c>
      <c r="S34" s="330">
        <f t="shared" si="49"/>
        <v>1.2897442594441701</v>
      </c>
      <c r="T34" s="330">
        <f t="shared" si="50"/>
        <v>1.1709935472114554</v>
      </c>
      <c r="U34" s="330">
        <f t="shared" si="51"/>
        <v>1.1420778516362879</v>
      </c>
      <c r="V34" s="330">
        <f t="shared" si="52"/>
        <v>1.1141900201964245</v>
      </c>
      <c r="W34" s="330">
        <f t="shared" si="53"/>
        <v>1.1003154879642831</v>
      </c>
      <c r="X34" s="330">
        <f t="shared" si="54"/>
        <v>1.0870215830947627</v>
      </c>
      <c r="Y34" s="330">
        <f t="shared" si="55"/>
        <v>1.0794171295448189</v>
      </c>
      <c r="Z34" s="330">
        <f t="shared" si="56"/>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37"/>
        <v xml:space="preserve">Van / LCV </v>
      </c>
      <c r="B35" s="755" t="s">
        <v>691</v>
      </c>
      <c r="C35" s="442">
        <v>17244.006666903901</v>
      </c>
      <c r="D35" s="442">
        <v>14975.578208305285</v>
      </c>
      <c r="E35" s="332">
        <f t="shared" si="38"/>
        <v>14582.535049386763</v>
      </c>
      <c r="F35" s="442">
        <v>14189.491890468238</v>
      </c>
      <c r="G35" s="332">
        <f t="shared" si="39"/>
        <v>14227.836500369689</v>
      </c>
      <c r="H35" s="442">
        <v>14266.18111027114</v>
      </c>
      <c r="I35" s="332">
        <f t="shared" si="40"/>
        <v>14253.68100490546</v>
      </c>
      <c r="J35" s="756">
        <v>14241.180899539781</v>
      </c>
      <c r="K35" s="986">
        <f t="shared" si="41"/>
        <v>391567.9787871961</v>
      </c>
      <c r="L35" s="987">
        <f t="shared" si="42"/>
        <v>340057.67937043676</v>
      </c>
      <c r="M35" s="987">
        <f t="shared" si="43"/>
        <v>331132.65873650002</v>
      </c>
      <c r="N35" s="987">
        <f t="shared" si="44"/>
        <v>322207.63810256316</v>
      </c>
      <c r="O35" s="987">
        <f t="shared" si="45"/>
        <v>323078.34765902098</v>
      </c>
      <c r="P35" s="987">
        <f t="shared" si="46"/>
        <v>323949.05721547874</v>
      </c>
      <c r="Q35" s="987">
        <f t="shared" si="47"/>
        <v>323665.21129224211</v>
      </c>
      <c r="R35" s="988">
        <f t="shared" si="48"/>
        <v>323381.36536900542</v>
      </c>
      <c r="S35" s="330">
        <f t="shared" si="49"/>
        <v>1.5252788070447043</v>
      </c>
      <c r="T35" s="330">
        <f t="shared" si="50"/>
        <v>1.2185377283157834</v>
      </c>
      <c r="U35" s="330">
        <f t="shared" si="51"/>
        <v>1.1650856351269399</v>
      </c>
      <c r="V35" s="330">
        <f t="shared" si="52"/>
        <v>1.1135335996214024</v>
      </c>
      <c r="W35" s="330">
        <f t="shared" si="53"/>
        <v>1.0926806545003667</v>
      </c>
      <c r="X35" s="330">
        <f t="shared" si="54"/>
        <v>1.0727003723510204</v>
      </c>
      <c r="Y35" s="330">
        <f t="shared" si="55"/>
        <v>1.0606410278146357</v>
      </c>
      <c r="Z35" s="330">
        <f t="shared" si="56"/>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37"/>
        <v xml:space="preserve">Van / LCV </v>
      </c>
      <c r="B36" s="755" t="s">
        <v>695</v>
      </c>
      <c r="C36" s="442">
        <v>17948.50016215329</v>
      </c>
      <c r="D36" s="442">
        <v>15887.386898316114</v>
      </c>
      <c r="E36" s="332">
        <f t="shared" si="38"/>
        <v>15492.43721685409</v>
      </c>
      <c r="F36" s="442">
        <v>15097.487535392065</v>
      </c>
      <c r="G36" s="332">
        <f t="shared" si="39"/>
        <v>15144.921633117086</v>
      </c>
      <c r="H36" s="442">
        <v>15192.355730842108</v>
      </c>
      <c r="I36" s="332">
        <f t="shared" si="40"/>
        <v>15181.513704920602</v>
      </c>
      <c r="J36" s="756">
        <v>15170.671678999097</v>
      </c>
      <c r="K36" s="986">
        <f t="shared" si="41"/>
        <v>407565.25246796885</v>
      </c>
      <c r="L36" s="987">
        <f t="shared" si="42"/>
        <v>360762.55919824337</v>
      </c>
      <c r="M36" s="987">
        <f t="shared" si="43"/>
        <v>351794.2462371061</v>
      </c>
      <c r="N36" s="987">
        <f t="shared" si="44"/>
        <v>342825.93327596883</v>
      </c>
      <c r="O36" s="987">
        <f t="shared" si="45"/>
        <v>343903.04221767606</v>
      </c>
      <c r="P36" s="987">
        <f t="shared" si="46"/>
        <v>344980.15115938324</v>
      </c>
      <c r="Q36" s="987">
        <f t="shared" si="47"/>
        <v>344733.95604602882</v>
      </c>
      <c r="R36" s="988">
        <f t="shared" si="48"/>
        <v>344487.76093267452</v>
      </c>
      <c r="S36" s="330">
        <f t="shared" si="49"/>
        <v>1.5875931530526484</v>
      </c>
      <c r="T36" s="330">
        <f t="shared" si="50"/>
        <v>1.2927300749704318</v>
      </c>
      <c r="U36" s="330">
        <f t="shared" si="51"/>
        <v>1.2377831421856753</v>
      </c>
      <c r="V36" s="330">
        <f t="shared" si="52"/>
        <v>1.1847894040390208</v>
      </c>
      <c r="W36" s="330">
        <f t="shared" si="53"/>
        <v>1.163111684759742</v>
      </c>
      <c r="X36" s="330">
        <f t="shared" si="54"/>
        <v>1.1423411439540987</v>
      </c>
      <c r="Y36" s="330">
        <f t="shared" si="55"/>
        <v>1.129682661919216</v>
      </c>
      <c r="Z36" s="330">
        <f t="shared" si="56"/>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37"/>
        <v xml:space="preserve">Van / LCV </v>
      </c>
      <c r="B37" s="755" t="s">
        <v>839</v>
      </c>
      <c r="C37" s="442">
        <v>21872.524729385099</v>
      </c>
      <c r="D37" s="442">
        <v>16676.133179824523</v>
      </c>
      <c r="E37" s="332">
        <f t="shared" si="38"/>
        <v>15889.36787814397</v>
      </c>
      <c r="F37" s="442">
        <v>15102.602576463418</v>
      </c>
      <c r="G37" s="332">
        <f t="shared" si="39"/>
        <v>15085.19053170866</v>
      </c>
      <c r="H37" s="442">
        <v>15067.778486953905</v>
      </c>
      <c r="I37" s="332">
        <f t="shared" si="40"/>
        <v>15004.514134513698</v>
      </c>
      <c r="J37" s="756">
        <v>14941.24978207349</v>
      </c>
      <c r="K37" s="986">
        <f t="shared" si="41"/>
        <v>496669.97146876116</v>
      </c>
      <c r="L37" s="987">
        <f t="shared" si="42"/>
        <v>378673.00154450681</v>
      </c>
      <c r="M37" s="987">
        <f t="shared" si="43"/>
        <v>360807.54226292181</v>
      </c>
      <c r="N37" s="987">
        <f t="shared" si="44"/>
        <v>342942.08298133669</v>
      </c>
      <c r="O37" s="987">
        <f t="shared" si="45"/>
        <v>342546.6992806184</v>
      </c>
      <c r="P37" s="987">
        <f t="shared" si="46"/>
        <v>342151.31557990005</v>
      </c>
      <c r="Q37" s="987">
        <f t="shared" si="47"/>
        <v>340714.74140704051</v>
      </c>
      <c r="R37" s="988">
        <f t="shared" si="48"/>
        <v>339278.16723418084</v>
      </c>
      <c r="S37" s="330">
        <f t="shared" si="49"/>
        <v>1.9346836886999574</v>
      </c>
      <c r="T37" s="330">
        <f t="shared" si="50"/>
        <v>1.3569090394630183</v>
      </c>
      <c r="U37" s="330">
        <f t="shared" si="51"/>
        <v>1.2694962983717613</v>
      </c>
      <c r="V37" s="330">
        <f t="shared" si="52"/>
        <v>1.1851908116539207</v>
      </c>
      <c r="W37" s="330">
        <f t="shared" si="53"/>
        <v>1.158524408333049</v>
      </c>
      <c r="X37" s="330">
        <f t="shared" si="54"/>
        <v>1.132973952070552</v>
      </c>
      <c r="Y37" s="330">
        <f t="shared" si="55"/>
        <v>1.1165118181059919</v>
      </c>
      <c r="Z37" s="330">
        <f t="shared" si="56"/>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37"/>
        <v xml:space="preserve">Van / LCV </v>
      </c>
      <c r="B38" s="755" t="s">
        <v>838</v>
      </c>
      <c r="C38" s="442">
        <v>22530.287595513764</v>
      </c>
      <c r="D38" s="442">
        <v>17434.836796625434</v>
      </c>
      <c r="E38" s="332">
        <f t="shared" si="38"/>
        <v>16624.647547676945</v>
      </c>
      <c r="F38" s="442">
        <v>15814.458298728454</v>
      </c>
      <c r="G38" s="332">
        <f t="shared" si="39"/>
        <v>15806.135741797267</v>
      </c>
      <c r="H38" s="442">
        <v>15797.81318486608</v>
      </c>
      <c r="I38" s="332">
        <f t="shared" si="40"/>
        <v>15736.206911870046</v>
      </c>
      <c r="J38" s="756">
        <v>15674.600638874013</v>
      </c>
      <c r="K38" s="986">
        <f t="shared" si="41"/>
        <v>511606.11020881409</v>
      </c>
      <c r="L38" s="987">
        <f t="shared" si="42"/>
        <v>395901.25060911983</v>
      </c>
      <c r="M38" s="987">
        <f t="shared" si="43"/>
        <v>377503.8924559966</v>
      </c>
      <c r="N38" s="987">
        <f t="shared" si="44"/>
        <v>359106.5343028733</v>
      </c>
      <c r="O38" s="987">
        <f t="shared" si="45"/>
        <v>358917.54998740437</v>
      </c>
      <c r="P38" s="987">
        <f t="shared" si="46"/>
        <v>358728.56567193544</v>
      </c>
      <c r="Q38" s="987">
        <f t="shared" si="47"/>
        <v>357329.64230895805</v>
      </c>
      <c r="R38" s="988">
        <f t="shared" si="48"/>
        <v>355930.71894598071</v>
      </c>
      <c r="S38" s="330">
        <f t="shared" si="49"/>
        <v>1.9928645847728288</v>
      </c>
      <c r="T38" s="330">
        <f t="shared" si="50"/>
        <v>1.4186434826225371</v>
      </c>
      <c r="U38" s="330">
        <f t="shared" si="51"/>
        <v>1.3282421733429157</v>
      </c>
      <c r="V38" s="330">
        <f t="shared" si="52"/>
        <v>1.2410543528535429</v>
      </c>
      <c r="W38" s="330">
        <f t="shared" si="53"/>
        <v>1.2138921294899554</v>
      </c>
      <c r="X38" s="330">
        <f t="shared" si="54"/>
        <v>1.1878666024740818</v>
      </c>
      <c r="Y38" s="330">
        <f t="shared" si="55"/>
        <v>1.170958341719976</v>
      </c>
      <c r="Z38" s="330">
        <f t="shared" si="56"/>
        <v>1.1543973223675335</v>
      </c>
      <c r="AB38" s="459" t="s">
        <v>838</v>
      </c>
      <c r="AC38" s="439">
        <v>1.3726349581761412</v>
      </c>
      <c r="AD38" s="439">
        <v>1.2547494611459762</v>
      </c>
      <c r="AE38" s="439">
        <v>1.1811373360677029</v>
      </c>
      <c r="AF38" s="439">
        <v>1.1171068754070992</v>
      </c>
      <c r="AG38" s="439">
        <v>1.0596566745051081</v>
      </c>
      <c r="AK38" s="469">
        <v>1.1636030437253695</v>
      </c>
      <c r="AL38" s="466"/>
      <c r="AM38" s="465"/>
      <c r="AN38" s="465"/>
      <c r="AO38" s="465"/>
    </row>
    <row r="39" spans="1:43" ht="15" x14ac:dyDescent="0.25">
      <c r="A39" s="322" t="str">
        <f t="shared" si="37"/>
        <v xml:space="preserve">Van / LCV </v>
      </c>
      <c r="B39" s="755" t="s">
        <v>692</v>
      </c>
      <c r="C39" s="442">
        <v>30266.705966079498</v>
      </c>
      <c r="D39" s="442">
        <v>20700.397697957917</v>
      </c>
      <c r="E39" s="332">
        <f t="shared" si="38"/>
        <v>19045.56947060291</v>
      </c>
      <c r="F39" s="442">
        <v>17390.7412432479</v>
      </c>
      <c r="G39" s="332">
        <f t="shared" si="39"/>
        <v>17563.206557000587</v>
      </c>
      <c r="H39" s="442">
        <v>17735.671870753275</v>
      </c>
      <c r="I39" s="332">
        <f t="shared" si="40"/>
        <v>17824.297653410675</v>
      </c>
      <c r="J39" s="756">
        <v>17912.923436068075</v>
      </c>
      <c r="K39" s="986">
        <f t="shared" si="41"/>
        <v>687280.69459810818</v>
      </c>
      <c r="L39" s="987">
        <f t="shared" si="42"/>
        <v>470053.91747136478</v>
      </c>
      <c r="M39" s="987">
        <f t="shared" si="43"/>
        <v>432476.93453798129</v>
      </c>
      <c r="N39" s="987">
        <f t="shared" si="44"/>
        <v>394899.95160459774</v>
      </c>
      <c r="O39" s="987">
        <f t="shared" si="45"/>
        <v>398816.20469017857</v>
      </c>
      <c r="P39" s="987">
        <f t="shared" si="46"/>
        <v>402732.45777575945</v>
      </c>
      <c r="Q39" s="987">
        <f t="shared" si="47"/>
        <v>404744.92618022813</v>
      </c>
      <c r="R39" s="988">
        <f t="shared" si="48"/>
        <v>406757.3945846968</v>
      </c>
      <c r="S39" s="330">
        <f t="shared" si="49"/>
        <v>2.6771716145133779</v>
      </c>
      <c r="T39" s="330">
        <f t="shared" si="50"/>
        <v>1.6843567063149421</v>
      </c>
      <c r="U39" s="330">
        <f t="shared" si="51"/>
        <v>1.5216640541484443</v>
      </c>
      <c r="V39" s="330">
        <f t="shared" si="52"/>
        <v>1.3647546258993764</v>
      </c>
      <c r="W39" s="330">
        <f t="shared" si="53"/>
        <v>1.3488330453705932</v>
      </c>
      <c r="X39" s="330">
        <f t="shared" si="54"/>
        <v>1.3335777579576074</v>
      </c>
      <c r="Y39" s="330">
        <f t="shared" si="55"/>
        <v>1.3263367811220979</v>
      </c>
      <c r="Z39" s="330">
        <f t="shared" si="56"/>
        <v>1.3192445107078068</v>
      </c>
      <c r="AB39" s="459" t="s">
        <v>692</v>
      </c>
      <c r="AC39" s="439">
        <v>0.71204570298567482</v>
      </c>
      <c r="AD39" s="439">
        <v>0.65747551719774433</v>
      </c>
      <c r="AE39" s="439">
        <v>0.61881416451317972</v>
      </c>
      <c r="AF39" s="439">
        <v>0.58917428402300132</v>
      </c>
      <c r="AG39" s="439">
        <v>0.55797401529936719</v>
      </c>
      <c r="AK39" s="469">
        <v>2015</v>
      </c>
      <c r="AL39" s="466"/>
      <c r="AM39" s="465"/>
      <c r="AN39" s="465"/>
      <c r="AO39" s="465"/>
    </row>
    <row r="40" spans="1:43" ht="15" x14ac:dyDescent="0.25">
      <c r="A40" s="322" t="str">
        <f t="shared" si="37"/>
        <v xml:space="preserve">Van / LCV </v>
      </c>
      <c r="B40" s="755" t="s">
        <v>699</v>
      </c>
      <c r="C40" s="442">
        <v>89397.233323383392</v>
      </c>
      <c r="D40" s="442">
        <v>35742.45176358601</v>
      </c>
      <c r="E40" s="332">
        <f t="shared" si="38"/>
        <v>27438.425753122989</v>
      </c>
      <c r="F40" s="442">
        <v>19134.399742659967</v>
      </c>
      <c r="G40" s="332">
        <f t="shared" si="39"/>
        <v>18221.158014073364</v>
      </c>
      <c r="H40" s="442">
        <v>17307.916285486757</v>
      </c>
      <c r="I40" s="332">
        <f t="shared" si="40"/>
        <v>17072.587033819684</v>
      </c>
      <c r="J40" s="756">
        <v>16837.25778215261</v>
      </c>
      <c r="K40" s="986">
        <f t="shared" si="41"/>
        <v>2029986.1069289211</v>
      </c>
      <c r="L40" s="987">
        <f t="shared" si="42"/>
        <v>811621.09620542661</v>
      </c>
      <c r="M40" s="987">
        <f t="shared" si="43"/>
        <v>623057.57129366533</v>
      </c>
      <c r="N40" s="987">
        <f t="shared" si="44"/>
        <v>434494.04638190416</v>
      </c>
      <c r="O40" s="987">
        <f t="shared" si="45"/>
        <v>413756.62585578545</v>
      </c>
      <c r="P40" s="987">
        <f t="shared" si="46"/>
        <v>393019.20532966667</v>
      </c>
      <c r="Q40" s="987">
        <f t="shared" si="47"/>
        <v>387675.47047704476</v>
      </c>
      <c r="R40" s="988">
        <f t="shared" si="48"/>
        <v>382331.73562442278</v>
      </c>
      <c r="S40" s="330">
        <f t="shared" si="49"/>
        <v>7.9074259266143905</v>
      </c>
      <c r="T40" s="330">
        <f t="shared" si="50"/>
        <v>2.9083034638543888</v>
      </c>
      <c r="U40" s="330">
        <f t="shared" si="51"/>
        <v>2.1922193629018594</v>
      </c>
      <c r="V40" s="330">
        <f t="shared" si="52"/>
        <v>1.5015898515965738</v>
      </c>
      <c r="W40" s="330">
        <f t="shared" si="53"/>
        <v>1.3993629223989856</v>
      </c>
      <c r="X40" s="330">
        <f t="shared" si="54"/>
        <v>1.3014140294836807</v>
      </c>
      <c r="Y40" s="330">
        <f t="shared" si="55"/>
        <v>1.2704006952851989</v>
      </c>
      <c r="Z40" s="330">
        <f t="shared" si="56"/>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37"/>
        <v xml:space="preserve">Van / LCV </v>
      </c>
      <c r="B41" s="755" t="s">
        <v>837</v>
      </c>
      <c r="C41" s="442">
        <v>93147.376244808911</v>
      </c>
      <c r="D41" s="442">
        <v>37446.557579359069</v>
      </c>
      <c r="E41" s="332">
        <f t="shared" si="38"/>
        <v>28874.627869843178</v>
      </c>
      <c r="F41" s="442">
        <v>20302.698160327291</v>
      </c>
      <c r="G41" s="332">
        <f t="shared" si="39"/>
        <v>19342.312720809401</v>
      </c>
      <c r="H41" s="442">
        <v>18381.927281291511</v>
      </c>
      <c r="I41" s="332">
        <f t="shared" si="40"/>
        <v>18103.33880463173</v>
      </c>
      <c r="J41" s="756">
        <v>17824.750327971949</v>
      </c>
      <c r="K41" s="986">
        <f t="shared" si="41"/>
        <v>2115142.4115088796</v>
      </c>
      <c r="L41" s="987">
        <f t="shared" si="42"/>
        <v>850317.04911307932</v>
      </c>
      <c r="M41" s="987">
        <f t="shared" si="43"/>
        <v>655670.10565630661</v>
      </c>
      <c r="N41" s="987">
        <f t="shared" si="44"/>
        <v>461023.16219953395</v>
      </c>
      <c r="O41" s="987">
        <f t="shared" si="45"/>
        <v>439215.22668473097</v>
      </c>
      <c r="P41" s="987">
        <f t="shared" si="46"/>
        <v>417407.29116992804</v>
      </c>
      <c r="Q41" s="987">
        <f t="shared" si="47"/>
        <v>411081.24822490633</v>
      </c>
      <c r="R41" s="988">
        <f t="shared" si="48"/>
        <v>404755.20527988463</v>
      </c>
      <c r="S41" s="330">
        <f t="shared" si="49"/>
        <v>8.2391361626361252</v>
      </c>
      <c r="T41" s="330">
        <f t="shared" si="50"/>
        <v>3.0469637012541178</v>
      </c>
      <c r="U41" s="330">
        <f t="shared" si="51"/>
        <v>2.3069661095863436</v>
      </c>
      <c r="V41" s="330">
        <f t="shared" si="52"/>
        <v>1.5932731586874349</v>
      </c>
      <c r="W41" s="330">
        <f t="shared" si="53"/>
        <v>1.4854662494031066</v>
      </c>
      <c r="X41" s="330">
        <f t="shared" si="54"/>
        <v>1.3821708897957501</v>
      </c>
      <c r="Y41" s="330">
        <f t="shared" si="55"/>
        <v>1.3471007152477332</v>
      </c>
      <c r="Z41" s="330">
        <f t="shared" si="56"/>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37"/>
        <v xml:space="preserve">Van / LCV </v>
      </c>
      <c r="B42" s="755" t="s">
        <v>836</v>
      </c>
      <c r="C42" s="442">
        <v>63892.000362104511</v>
      </c>
      <c r="D42" s="442">
        <v>28828.821424319947</v>
      </c>
      <c r="E42" s="332">
        <f t="shared" si="38"/>
        <v>23564.877441733282</v>
      </c>
      <c r="F42" s="442">
        <v>18300.933459146618</v>
      </c>
      <c r="G42" s="332">
        <f t="shared" si="39"/>
        <v>17735.79136497252</v>
      </c>
      <c r="H42" s="442">
        <v>17170.649270798422</v>
      </c>
      <c r="I42" s="332">
        <f t="shared" si="40"/>
        <v>16943.796547064114</v>
      </c>
      <c r="J42" s="756">
        <v>16716.943823329806</v>
      </c>
      <c r="K42" s="986">
        <f t="shared" si="41"/>
        <v>1450826.4770319744</v>
      </c>
      <c r="L42" s="987">
        <f t="shared" si="42"/>
        <v>654629.9565984091</v>
      </c>
      <c r="M42" s="987">
        <f t="shared" si="43"/>
        <v>535099.04098663956</v>
      </c>
      <c r="N42" s="987">
        <f t="shared" si="44"/>
        <v>415568.12537486979</v>
      </c>
      <c r="O42" s="987">
        <f t="shared" si="45"/>
        <v>402735.17118864605</v>
      </c>
      <c r="P42" s="987">
        <f t="shared" si="46"/>
        <v>389902.21700242232</v>
      </c>
      <c r="Q42" s="987">
        <f t="shared" si="47"/>
        <v>384750.9627590857</v>
      </c>
      <c r="R42" s="988">
        <f t="shared" si="48"/>
        <v>379599.70851574908</v>
      </c>
      <c r="S42" s="330">
        <f t="shared" si="49"/>
        <v>5.6514194162920681</v>
      </c>
      <c r="T42" s="330">
        <f t="shared" si="50"/>
        <v>2.3457529372007864</v>
      </c>
      <c r="U42" s="330">
        <f t="shared" si="51"/>
        <v>1.8827385024557088</v>
      </c>
      <c r="V42" s="330">
        <f t="shared" si="52"/>
        <v>1.4361828082712849</v>
      </c>
      <c r="W42" s="330">
        <f t="shared" si="53"/>
        <v>1.362087350122176</v>
      </c>
      <c r="X42" s="330">
        <f t="shared" si="54"/>
        <v>1.2910926704157184</v>
      </c>
      <c r="Y42" s="330">
        <f t="shared" si="55"/>
        <v>1.2608171726710642</v>
      </c>
      <c r="Z42" s="330">
        <f t="shared" si="56"/>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37"/>
        <v xml:space="preserve">Van / LCV </v>
      </c>
      <c r="B43" s="755" t="s">
        <v>700</v>
      </c>
      <c r="C43" s="468">
        <v>13192.267722867144</v>
      </c>
      <c r="D43" s="468">
        <v>13865.866014584546</v>
      </c>
      <c r="E43" s="332">
        <f t="shared" si="38"/>
        <v>14011.820937842185</v>
      </c>
      <c r="F43" s="468">
        <v>14157.775861099826</v>
      </c>
      <c r="G43" s="332">
        <f t="shared" si="39"/>
        <v>14366.961685106786</v>
      </c>
      <c r="H43" s="468">
        <v>14576.147509113745</v>
      </c>
      <c r="I43" s="332">
        <f t="shared" si="40"/>
        <v>14667.876634420591</v>
      </c>
      <c r="J43" s="757">
        <v>14759.605759727438</v>
      </c>
      <c r="K43" s="986">
        <f t="shared" si="41"/>
        <v>299563.18781626469</v>
      </c>
      <c r="L43" s="987">
        <f t="shared" si="42"/>
        <v>314858.90920499049</v>
      </c>
      <c r="M43" s="987">
        <f t="shared" si="43"/>
        <v>318173.17806361499</v>
      </c>
      <c r="N43" s="987">
        <f t="shared" si="44"/>
        <v>321487.44692223961</v>
      </c>
      <c r="O43" s="987">
        <f t="shared" si="45"/>
        <v>326237.53035004</v>
      </c>
      <c r="P43" s="987">
        <f t="shared" si="46"/>
        <v>330987.61377784034</v>
      </c>
      <c r="Q43" s="987">
        <f t="shared" si="47"/>
        <v>333070.55128106324</v>
      </c>
      <c r="R43" s="988">
        <f t="shared" si="48"/>
        <v>335153.48878428608</v>
      </c>
      <c r="S43" s="330">
        <f t="shared" si="49"/>
        <v>1.166891590987883</v>
      </c>
      <c r="T43" s="330">
        <f t="shared" si="50"/>
        <v>1.12824230487291</v>
      </c>
      <c r="U43" s="330">
        <f t="shared" si="51"/>
        <v>1.1194878833730166</v>
      </c>
      <c r="V43" s="330">
        <f t="shared" si="52"/>
        <v>1.1110446546598123</v>
      </c>
      <c r="W43" s="330">
        <f t="shared" si="53"/>
        <v>1.1033653006102699</v>
      </c>
      <c r="X43" s="330">
        <f t="shared" si="54"/>
        <v>1.0960073154554633</v>
      </c>
      <c r="Y43" s="330">
        <f t="shared" si="55"/>
        <v>1.0914620401590305</v>
      </c>
      <c r="Z43" s="330">
        <f t="shared" si="56"/>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37"/>
        <v xml:space="preserve">Van / LCV </v>
      </c>
      <c r="B44" s="758"/>
      <c r="C44" s="457"/>
      <c r="D44" s="457"/>
      <c r="E44" s="458"/>
      <c r="F44" s="457"/>
      <c r="G44" s="457"/>
      <c r="H44" s="457"/>
      <c r="I44" s="457"/>
      <c r="J44" s="759"/>
      <c r="K44" s="989"/>
      <c r="L44" s="990"/>
      <c r="M44" s="990"/>
      <c r="N44" s="990"/>
      <c r="O44" s="990"/>
      <c r="P44" s="990"/>
      <c r="Q44" s="990"/>
      <c r="R44" s="991"/>
      <c r="AB44" s="464"/>
      <c r="AE44" s="463"/>
      <c r="AF44" s="463"/>
    </row>
    <row r="45" spans="1:43" x14ac:dyDescent="0.2">
      <c r="A45" s="322" t="str">
        <f t="shared" si="37"/>
        <v xml:space="preserve">Van / LCV </v>
      </c>
      <c r="B45" s="749" t="s">
        <v>832</v>
      </c>
      <c r="C45" s="456" t="s">
        <v>831</v>
      </c>
      <c r="D45" s="455">
        <v>0.08</v>
      </c>
      <c r="E45" s="454"/>
      <c r="F45" s="453"/>
      <c r="G45" s="453"/>
      <c r="H45" s="453"/>
      <c r="I45" s="453"/>
      <c r="J45" s="750"/>
      <c r="K45" s="992"/>
      <c r="L45" s="977"/>
      <c r="M45" s="977"/>
      <c r="N45" s="977"/>
      <c r="O45" s="977"/>
      <c r="P45" s="977"/>
      <c r="Q45" s="977"/>
      <c r="R45" s="978"/>
      <c r="AB45" s="452" t="s">
        <v>816</v>
      </c>
      <c r="AC45" s="322" t="s">
        <v>834</v>
      </c>
      <c r="AE45" s="463"/>
      <c r="AF45" s="463"/>
    </row>
    <row r="46" spans="1:43" x14ac:dyDescent="0.2">
      <c r="A46" s="322" t="str">
        <f>B46</f>
        <v>Small Rigid Truck</v>
      </c>
      <c r="B46" s="751" t="s">
        <v>725</v>
      </c>
      <c r="C46" s="351">
        <v>2010</v>
      </c>
      <c r="D46" s="351">
        <v>2020</v>
      </c>
      <c r="E46" s="354"/>
      <c r="F46" s="351">
        <v>2030</v>
      </c>
      <c r="G46" s="351"/>
      <c r="H46" s="351">
        <v>2040</v>
      </c>
      <c r="I46" s="351"/>
      <c r="J46" s="752">
        <v>2050</v>
      </c>
      <c r="K46" s="979" t="e">
        <f>#REF!</f>
        <v>#REF!</v>
      </c>
      <c r="L46" s="980" t="e">
        <f>#REF!</f>
        <v>#REF!</v>
      </c>
      <c r="M46" s="980" t="e">
        <f>#REF!</f>
        <v>#REF!</v>
      </c>
      <c r="N46" s="980" t="e">
        <f>#REF!</f>
        <v>#REF!</v>
      </c>
      <c r="O46" s="980" t="e">
        <f>#REF!</f>
        <v>#REF!</v>
      </c>
      <c r="P46" s="980" t="e">
        <f>#REF!</f>
        <v>#REF!</v>
      </c>
      <c r="Q46" s="980" t="e">
        <f>#REF!</f>
        <v>#REF!</v>
      </c>
      <c r="R46" s="981" t="e">
        <f>#REF!</f>
        <v>#REF!</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753" t="s">
        <v>791</v>
      </c>
      <c r="C47" s="448" t="s">
        <v>193</v>
      </c>
      <c r="D47" s="448" t="s">
        <v>193</v>
      </c>
      <c r="E47" s="462"/>
      <c r="F47" s="448" t="s">
        <v>193</v>
      </c>
      <c r="G47" s="448"/>
      <c r="H47" s="448" t="s">
        <v>193</v>
      </c>
      <c r="I47" s="448"/>
      <c r="J47" s="754" t="s">
        <v>193</v>
      </c>
      <c r="K47" s="982" t="s">
        <v>1293</v>
      </c>
      <c r="L47" s="972" t="s">
        <v>1293</v>
      </c>
      <c r="M47" s="972" t="s">
        <v>1293</v>
      </c>
      <c r="N47" s="972" t="s">
        <v>1293</v>
      </c>
      <c r="O47" s="972" t="s">
        <v>1293</v>
      </c>
      <c r="P47" s="972" t="s">
        <v>1293</v>
      </c>
      <c r="Q47" s="972" t="s">
        <v>1293</v>
      </c>
      <c r="R47" s="973" t="s">
        <v>1293</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7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56">
        <v>40824.618068870353</v>
      </c>
      <c r="K48" s="986">
        <f t="shared" ref="K48:K56" si="57">C48*$B$2*$L$2</f>
        <v>665778.63573137915</v>
      </c>
      <c r="L48" s="987">
        <f t="shared" ref="L48:L56" si="58">D48*$B$2*$L$2</f>
        <v>801123.55808473728</v>
      </c>
      <c r="M48" s="987">
        <f t="shared" ref="M48:M56" si="59">E48*$B$2*$L$2</f>
        <v>826470.92571812973</v>
      </c>
      <c r="N48" s="987">
        <f t="shared" ref="N48:N56" si="60">F48*$B$2*$L$2</f>
        <v>851818.2933515223</v>
      </c>
      <c r="O48" s="987">
        <f t="shared" ref="O48:O56" si="61">G48*$B$2*$L$2</f>
        <v>874517.283360634</v>
      </c>
      <c r="P48" s="987">
        <f t="shared" ref="P48:P56" si="62">H48*$B$2*$L$2</f>
        <v>897216.2733697457</v>
      </c>
      <c r="Q48" s="987">
        <f t="shared" ref="Q48:Q56" si="63">I48*$B$2*$L$2</f>
        <v>912120.28588473646</v>
      </c>
      <c r="R48" s="988">
        <f t="shared" ref="R48:R56" si="64">J48*$B$2*$L$2</f>
        <v>927024.29839972744</v>
      </c>
      <c r="S48" s="330">
        <f t="shared" ref="S48:S56" si="65">C48/C$48</f>
        <v>1</v>
      </c>
      <c r="T48" s="330">
        <f t="shared" ref="T48:T56" si="66">D48/D$48</f>
        <v>1</v>
      </c>
      <c r="U48" s="330">
        <f t="shared" ref="U48:U56" si="67">E48/E$48</f>
        <v>1</v>
      </c>
      <c r="V48" s="330">
        <f t="shared" ref="V48:V56" si="68">F48/F$48</f>
        <v>1</v>
      </c>
      <c r="W48" s="330">
        <f t="shared" ref="W48:W56" si="69">G48/G$48</f>
        <v>1</v>
      </c>
      <c r="X48" s="330">
        <f t="shared" ref="X48:X56" si="70">H48/H$48</f>
        <v>1</v>
      </c>
      <c r="Y48" s="330">
        <f t="shared" ref="Y48:Y56" si="71">I48/I$48</f>
        <v>1</v>
      </c>
      <c r="Z48" s="330">
        <f t="shared" ref="Z48:Z56" si="72">J48/J$48</f>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766"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756" t="e">
        <f>J48*'Vehicle eff data 2023'!#REF!</f>
        <v>#REF!</v>
      </c>
      <c r="K49" s="986" t="e">
        <f t="shared" si="57"/>
        <v>#REF!</v>
      </c>
      <c r="L49" s="987" t="e">
        <f t="shared" si="58"/>
        <v>#REF!</v>
      </c>
      <c r="M49" s="987" t="e">
        <f t="shared" si="59"/>
        <v>#REF!</v>
      </c>
      <c r="N49" s="987" t="e">
        <f t="shared" si="60"/>
        <v>#REF!</v>
      </c>
      <c r="O49" s="987" t="e">
        <f t="shared" si="61"/>
        <v>#REF!</v>
      </c>
      <c r="P49" s="987" t="e">
        <f t="shared" si="62"/>
        <v>#REF!</v>
      </c>
      <c r="Q49" s="987" t="e">
        <f t="shared" si="63"/>
        <v>#REF!</v>
      </c>
      <c r="R49" s="988" t="e">
        <f t="shared" si="64"/>
        <v>#REF!</v>
      </c>
      <c r="S49" s="330" t="e">
        <f t="shared" si="65"/>
        <v>#REF!</v>
      </c>
      <c r="T49" s="330" t="e">
        <f t="shared" si="66"/>
        <v>#REF!</v>
      </c>
      <c r="U49" s="330" t="e">
        <f t="shared" si="67"/>
        <v>#REF!</v>
      </c>
      <c r="V49" s="330" t="e">
        <f t="shared" si="68"/>
        <v>#REF!</v>
      </c>
      <c r="W49" s="330" t="e">
        <f t="shared" si="69"/>
        <v>#REF!</v>
      </c>
      <c r="X49" s="330" t="e">
        <f t="shared" si="70"/>
        <v>#REF!</v>
      </c>
      <c r="Y49" s="330" t="e">
        <f t="shared" si="71"/>
        <v>#REF!</v>
      </c>
      <c r="Z49" s="330" t="e">
        <f t="shared" si="72"/>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5" x14ac:dyDescent="0.2">
      <c r="A50" s="322" t="str">
        <f>A48</f>
        <v>Small Rigid Truck</v>
      </c>
      <c r="B50" s="755" t="s">
        <v>829</v>
      </c>
      <c r="C50" s="442">
        <v>35669.354783651295</v>
      </c>
      <c r="D50" s="442">
        <v>39884.927570945212</v>
      </c>
      <c r="E50" s="332">
        <f t="shared" ref="E50:E56" si="73">AVERAGE(D50,F50)</f>
        <v>40227.826617070168</v>
      </c>
      <c r="F50" s="442">
        <v>40570.725663195117</v>
      </c>
      <c r="G50" s="332">
        <f t="shared" ref="G50:G56" si="74">AVERAGE(F50,H50)</f>
        <v>41186.286477136309</v>
      </c>
      <c r="H50" s="442">
        <v>41801.847291077502</v>
      </c>
      <c r="I50" s="332">
        <f t="shared" ref="I50:I56" si="75">AVERAGE(H50,J50)</f>
        <v>42208.318748892634</v>
      </c>
      <c r="J50" s="756">
        <v>42614.790206707767</v>
      </c>
      <c r="K50" s="986">
        <f t="shared" si="57"/>
        <v>809961.24781628046</v>
      </c>
      <c r="L50" s="987">
        <f t="shared" si="58"/>
        <v>905686.29290798248</v>
      </c>
      <c r="M50" s="987">
        <f t="shared" si="59"/>
        <v>913472.66698059905</v>
      </c>
      <c r="N50" s="987">
        <f t="shared" si="60"/>
        <v>921259.04105321539</v>
      </c>
      <c r="O50" s="987">
        <f t="shared" si="61"/>
        <v>935236.87743379187</v>
      </c>
      <c r="P50" s="987">
        <f t="shared" si="62"/>
        <v>949214.71381436847</v>
      </c>
      <c r="Q50" s="987">
        <f t="shared" si="63"/>
        <v>958444.65730985743</v>
      </c>
      <c r="R50" s="988">
        <f t="shared" si="64"/>
        <v>967674.60080534616</v>
      </c>
      <c r="S50" s="330">
        <f t="shared" si="65"/>
        <v>1.2165623892790012</v>
      </c>
      <c r="T50" s="330">
        <f t="shared" si="66"/>
        <v>1.1305201098732205</v>
      </c>
      <c r="U50" s="330">
        <f t="shared" si="67"/>
        <v>1.1052689677944478</v>
      </c>
      <c r="V50" s="330">
        <f t="shared" si="68"/>
        <v>1.0815206109609068</v>
      </c>
      <c r="W50" s="330">
        <f t="shared" si="69"/>
        <v>1.0694321258464121</v>
      </c>
      <c r="X50" s="330">
        <f t="shared" si="70"/>
        <v>1.0579553024036537</v>
      </c>
      <c r="Y50" s="330">
        <f t="shared" si="71"/>
        <v>1.0507875684183334</v>
      </c>
      <c r="Z50" s="330">
        <f t="shared" si="72"/>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76">A50</f>
        <v>Small Rigid Truck</v>
      </c>
      <c r="B51" s="755" t="s">
        <v>828</v>
      </c>
      <c r="C51" s="442">
        <v>36209.955757295749</v>
      </c>
      <c r="D51" s="442">
        <v>38227.4132830854</v>
      </c>
      <c r="E51" s="332">
        <f t="shared" si="73"/>
        <v>38919.452372247106</v>
      </c>
      <c r="F51" s="442">
        <v>39611.491461408819</v>
      </c>
      <c r="G51" s="332">
        <f t="shared" si="74"/>
        <v>40485.614094740085</v>
      </c>
      <c r="H51" s="442">
        <v>41359.736728071344</v>
      </c>
      <c r="I51" s="332">
        <f t="shared" si="75"/>
        <v>41811.402311297265</v>
      </c>
      <c r="J51" s="756">
        <v>42263.067894523185</v>
      </c>
      <c r="K51" s="986">
        <f t="shared" si="57"/>
        <v>822236.93493873021</v>
      </c>
      <c r="L51" s="987">
        <f t="shared" si="58"/>
        <v>868048.31630282162</v>
      </c>
      <c r="M51" s="987">
        <f t="shared" si="59"/>
        <v>883762.78177591099</v>
      </c>
      <c r="N51" s="987">
        <f t="shared" si="60"/>
        <v>899477.24724900036</v>
      </c>
      <c r="O51" s="987">
        <f t="shared" si="61"/>
        <v>919326.37160607881</v>
      </c>
      <c r="P51" s="987">
        <f t="shared" si="62"/>
        <v>939175.49596315704</v>
      </c>
      <c r="Q51" s="987">
        <f t="shared" si="63"/>
        <v>949431.68426833511</v>
      </c>
      <c r="R51" s="988">
        <f t="shared" si="64"/>
        <v>959687.8725735133</v>
      </c>
      <c r="S51" s="330">
        <f t="shared" si="65"/>
        <v>1.2350004803555712</v>
      </c>
      <c r="T51" s="330">
        <f t="shared" si="66"/>
        <v>1.0835386221547183</v>
      </c>
      <c r="U51" s="330">
        <f t="shared" si="67"/>
        <v>1.0693210786671046</v>
      </c>
      <c r="V51" s="330">
        <f t="shared" si="68"/>
        <v>1.0559496717427392</v>
      </c>
      <c r="W51" s="330">
        <f t="shared" si="69"/>
        <v>1.0512386537099077</v>
      </c>
      <c r="X51" s="330">
        <f t="shared" si="70"/>
        <v>1.046766007080792</v>
      </c>
      <c r="Y51" s="330">
        <f t="shared" si="71"/>
        <v>1.0409062258136355</v>
      </c>
      <c r="Z51" s="330">
        <f t="shared" si="72"/>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76"/>
        <v>Small Rigid Truck</v>
      </c>
      <c r="B52" s="755" t="s">
        <v>689</v>
      </c>
      <c r="C52" s="442">
        <v>37168.384735655469</v>
      </c>
      <c r="D52" s="442">
        <v>38999.227156820401</v>
      </c>
      <c r="E52" s="332">
        <f t="shared" si="73"/>
        <v>39111.830061309956</v>
      </c>
      <c r="F52" s="442">
        <v>39224.432965799504</v>
      </c>
      <c r="G52" s="332">
        <f t="shared" si="74"/>
        <v>39512.013612509909</v>
      </c>
      <c r="H52" s="442">
        <v>39799.594259220306</v>
      </c>
      <c r="I52" s="332">
        <f t="shared" si="75"/>
        <v>40104.585122615928</v>
      </c>
      <c r="J52" s="756">
        <v>40409.575986011558</v>
      </c>
      <c r="K52" s="986">
        <f t="shared" si="57"/>
        <v>844000.4441461165</v>
      </c>
      <c r="L52" s="987">
        <f t="shared" si="58"/>
        <v>885574.26629670395</v>
      </c>
      <c r="M52" s="987">
        <f t="shared" si="59"/>
        <v>888131.19477442082</v>
      </c>
      <c r="N52" s="987">
        <f t="shared" si="60"/>
        <v>890688.1232521371</v>
      </c>
      <c r="O52" s="987">
        <f t="shared" si="61"/>
        <v>897218.35574078676</v>
      </c>
      <c r="P52" s="987">
        <f t="shared" si="62"/>
        <v>903748.58822943643</v>
      </c>
      <c r="Q52" s="987">
        <f t="shared" si="63"/>
        <v>910674.16290794755</v>
      </c>
      <c r="R52" s="988">
        <f t="shared" si="64"/>
        <v>917599.7375864588</v>
      </c>
      <c r="S52" s="330">
        <f t="shared" si="65"/>
        <v>1.2676892871741894</v>
      </c>
      <c r="T52" s="330">
        <f t="shared" si="66"/>
        <v>1.1054153349501603</v>
      </c>
      <c r="U52" s="330">
        <f t="shared" si="67"/>
        <v>1.0746067007774214</v>
      </c>
      <c r="V52" s="330">
        <f t="shared" si="68"/>
        <v>1.0456315979640207</v>
      </c>
      <c r="W52" s="330">
        <f t="shared" si="69"/>
        <v>1.0259584033524372</v>
      </c>
      <c r="X52" s="330">
        <f t="shared" si="70"/>
        <v>1.0072806468781008</v>
      </c>
      <c r="Y52" s="330">
        <f t="shared" si="71"/>
        <v>0.99841454795034379</v>
      </c>
      <c r="Z52" s="330">
        <f t="shared" si="72"/>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76"/>
        <v>Small Rigid Truck</v>
      </c>
      <c r="B53" s="755" t="s">
        <v>692</v>
      </c>
      <c r="C53" s="442">
        <v>98258.953517306407</v>
      </c>
      <c r="D53" s="442">
        <v>64495.792840614806</v>
      </c>
      <c r="E53" s="332">
        <f t="shared" si="73"/>
        <v>58565.260766379783</v>
      </c>
      <c r="F53" s="442">
        <v>52634.728692144752</v>
      </c>
      <c r="G53" s="332">
        <f t="shared" si="74"/>
        <v>53056.923719918734</v>
      </c>
      <c r="H53" s="442">
        <v>53479.118747692715</v>
      </c>
      <c r="I53" s="332">
        <f t="shared" si="75"/>
        <v>53610.51498168605</v>
      </c>
      <c r="J53" s="756">
        <v>53741.911215679378</v>
      </c>
      <c r="K53" s="986">
        <f t="shared" si="57"/>
        <v>2231213.4627250633</v>
      </c>
      <c r="L53" s="987">
        <f t="shared" si="58"/>
        <v>1464537.0841422672</v>
      </c>
      <c r="M53" s="987">
        <f t="shared" si="59"/>
        <v>1329869.6311368232</v>
      </c>
      <c r="N53" s="987">
        <f t="shared" si="60"/>
        <v>1195202.1781313787</v>
      </c>
      <c r="O53" s="987">
        <f t="shared" si="61"/>
        <v>1204789.1643157878</v>
      </c>
      <c r="P53" s="987">
        <f t="shared" si="62"/>
        <v>1214376.1505001965</v>
      </c>
      <c r="Q53" s="987">
        <f t="shared" si="63"/>
        <v>1217359.8281778309</v>
      </c>
      <c r="R53" s="988">
        <f t="shared" si="64"/>
        <v>1220343.5058554651</v>
      </c>
      <c r="S53" s="330">
        <f t="shared" si="65"/>
        <v>3.3512842602316359</v>
      </c>
      <c r="T53" s="330">
        <f t="shared" si="66"/>
        <v>1.8281038790615101</v>
      </c>
      <c r="U53" s="330">
        <f t="shared" si="67"/>
        <v>1.6090942702930351</v>
      </c>
      <c r="V53" s="330">
        <f t="shared" si="68"/>
        <v>1.4031187020283344</v>
      </c>
      <c r="W53" s="330">
        <f t="shared" si="69"/>
        <v>1.3776619253149238</v>
      </c>
      <c r="X53" s="330">
        <f t="shared" si="70"/>
        <v>1.3534932284935812</v>
      </c>
      <c r="Y53" s="330">
        <f t="shared" si="71"/>
        <v>1.3346483430055707</v>
      </c>
      <c r="Z53" s="330">
        <f t="shared" si="72"/>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76"/>
        <v>Small Rigid Truck</v>
      </c>
      <c r="B54" s="755" t="s">
        <v>699</v>
      </c>
      <c r="C54" s="442">
        <v>186705.6549520159</v>
      </c>
      <c r="D54" s="442">
        <v>79994.586312453306</v>
      </c>
      <c r="E54" s="332">
        <f t="shared" si="73"/>
        <v>63025.263123564284</v>
      </c>
      <c r="F54" s="442">
        <v>46055.939934675262</v>
      </c>
      <c r="G54" s="332">
        <f t="shared" si="74"/>
        <v>43953.965599473762</v>
      </c>
      <c r="H54" s="442">
        <v>41851.991264272263</v>
      </c>
      <c r="I54" s="332">
        <f t="shared" si="75"/>
        <v>41106.818849390285</v>
      </c>
      <c r="J54" s="756">
        <v>40361.6464345083</v>
      </c>
      <c r="K54" s="986">
        <f t="shared" si="57"/>
        <v>4239615.3834720589</v>
      </c>
      <c r="L54" s="987">
        <f t="shared" si="58"/>
        <v>1816475.664927891</v>
      </c>
      <c r="M54" s="987">
        <f t="shared" si="59"/>
        <v>1431145.056397513</v>
      </c>
      <c r="N54" s="987">
        <f t="shared" si="60"/>
        <v>1045814.4478671353</v>
      </c>
      <c r="O54" s="987">
        <f t="shared" si="61"/>
        <v>998083.9025364432</v>
      </c>
      <c r="P54" s="987">
        <f t="shared" si="62"/>
        <v>950353.35720575124</v>
      </c>
      <c r="Q54" s="987">
        <f t="shared" si="63"/>
        <v>933432.36767126399</v>
      </c>
      <c r="R54" s="988">
        <f t="shared" si="64"/>
        <v>916511.3781367765</v>
      </c>
      <c r="S54" s="330">
        <f t="shared" si="65"/>
        <v>6.3679054207179622</v>
      </c>
      <c r="T54" s="330">
        <f t="shared" si="66"/>
        <v>2.267410122441758</v>
      </c>
      <c r="U54" s="330">
        <f t="shared" si="67"/>
        <v>1.7316338807127127</v>
      </c>
      <c r="V54" s="330">
        <f t="shared" si="68"/>
        <v>1.2277435880747822</v>
      </c>
      <c r="W54" s="330">
        <f t="shared" si="69"/>
        <v>1.1412969434988889</v>
      </c>
      <c r="X54" s="330">
        <f t="shared" si="70"/>
        <v>1.0592243870437554</v>
      </c>
      <c r="Y54" s="330">
        <f t="shared" si="71"/>
        <v>1.0233654290079244</v>
      </c>
      <c r="Z54" s="330">
        <f t="shared" si="72"/>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76"/>
        <v>Small Rigid Truck</v>
      </c>
      <c r="B55" s="755" t="s">
        <v>827</v>
      </c>
      <c r="C55" s="442">
        <v>46317.339930537317</v>
      </c>
      <c r="D55" s="442">
        <v>45451.674961545068</v>
      </c>
      <c r="E55" s="332">
        <f t="shared" si="73"/>
        <v>45628.700300804441</v>
      </c>
      <c r="F55" s="442">
        <v>45805.725640063807</v>
      </c>
      <c r="G55" s="332">
        <f t="shared" si="74"/>
        <v>46283.513838402505</v>
      </c>
      <c r="H55" s="442">
        <v>46761.302036741195</v>
      </c>
      <c r="I55" s="332">
        <f t="shared" si="75"/>
        <v>47093.283384632814</v>
      </c>
      <c r="J55" s="756">
        <v>47425.264732524425</v>
      </c>
      <c r="K55" s="986">
        <f t="shared" si="57"/>
        <v>1051750.1836860697</v>
      </c>
      <c r="L55" s="987">
        <f t="shared" si="58"/>
        <v>1032093.1115935526</v>
      </c>
      <c r="M55" s="987">
        <f t="shared" si="59"/>
        <v>1036112.9113783062</v>
      </c>
      <c r="N55" s="987">
        <f t="shared" si="60"/>
        <v>1040132.7111630597</v>
      </c>
      <c r="O55" s="987">
        <f t="shared" si="61"/>
        <v>1050982.078292506</v>
      </c>
      <c r="P55" s="987">
        <f t="shared" si="62"/>
        <v>1061831.4454219521</v>
      </c>
      <c r="Q55" s="987">
        <f t="shared" si="63"/>
        <v>1069369.9060535212</v>
      </c>
      <c r="R55" s="988">
        <f t="shared" si="64"/>
        <v>1076908.3666850901</v>
      </c>
      <c r="S55" s="330">
        <f t="shared" si="65"/>
        <v>1.5797295485919105</v>
      </c>
      <c r="T55" s="330">
        <f t="shared" si="66"/>
        <v>1.2883070297682906</v>
      </c>
      <c r="U55" s="330">
        <f t="shared" si="67"/>
        <v>1.2536592385001522</v>
      </c>
      <c r="V55" s="330">
        <f t="shared" si="68"/>
        <v>1.2210734604801745</v>
      </c>
      <c r="W55" s="330">
        <f t="shared" si="69"/>
        <v>1.2017853715294742</v>
      </c>
      <c r="X55" s="330">
        <f t="shared" si="70"/>
        <v>1.1834732348689445</v>
      </c>
      <c r="Y55" s="330">
        <f t="shared" si="71"/>
        <v>1.1724000908676822</v>
      </c>
      <c r="Z55" s="330">
        <f t="shared" si="72"/>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76"/>
        <v>Small Rigid Truck</v>
      </c>
      <c r="B56" s="755" t="s">
        <v>700</v>
      </c>
      <c r="C56" s="442">
        <v>44275.919735739342</v>
      </c>
      <c r="D56" s="442">
        <v>43586.340712469508</v>
      </c>
      <c r="E56" s="332">
        <f t="shared" si="73"/>
        <v>43737.618689486233</v>
      </c>
      <c r="F56" s="442">
        <v>43888.896666502958</v>
      </c>
      <c r="G56" s="332">
        <f t="shared" si="74"/>
        <v>44371.661420226636</v>
      </c>
      <c r="H56" s="442">
        <v>44854.426173950313</v>
      </c>
      <c r="I56" s="332">
        <f t="shared" si="75"/>
        <v>45190.948956767446</v>
      </c>
      <c r="J56" s="756">
        <v>45527.471739584573</v>
      </c>
      <c r="K56" s="986">
        <f t="shared" si="57"/>
        <v>1005394.6704359738</v>
      </c>
      <c r="L56" s="987">
        <f t="shared" si="58"/>
        <v>989736.06686595443</v>
      </c>
      <c r="M56" s="987">
        <f t="shared" si="59"/>
        <v>993171.20887440338</v>
      </c>
      <c r="N56" s="987">
        <f t="shared" si="60"/>
        <v>996606.35088285233</v>
      </c>
      <c r="O56" s="987">
        <f t="shared" si="61"/>
        <v>1007568.7230563734</v>
      </c>
      <c r="P56" s="987">
        <f t="shared" si="62"/>
        <v>1018531.0952298945</v>
      </c>
      <c r="Q56" s="987">
        <f t="shared" si="63"/>
        <v>1026172.6804153406</v>
      </c>
      <c r="R56" s="988">
        <f t="shared" si="64"/>
        <v>1033814.2656007867</v>
      </c>
      <c r="S56" s="330">
        <f t="shared" si="65"/>
        <v>1.5101035336339914</v>
      </c>
      <c r="T56" s="330">
        <f t="shared" si="66"/>
        <v>1.2354349798826749</v>
      </c>
      <c r="U56" s="330">
        <f t="shared" si="67"/>
        <v>1.2017013278615045</v>
      </c>
      <c r="V56" s="330">
        <f t="shared" si="68"/>
        <v>1.1699752854116976</v>
      </c>
      <c r="W56" s="330">
        <f t="shared" si="69"/>
        <v>1.1521427217360913</v>
      </c>
      <c r="X56" s="330">
        <f t="shared" si="70"/>
        <v>1.1352124626591058</v>
      </c>
      <c r="Y56" s="330">
        <f t="shared" si="71"/>
        <v>1.1250409581889473</v>
      </c>
      <c r="Z56" s="330">
        <f t="shared" si="72"/>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76"/>
        <v>Small Rigid Truck</v>
      </c>
      <c r="B57" s="758"/>
      <c r="C57" s="457"/>
      <c r="D57" s="457"/>
      <c r="E57" s="458"/>
      <c r="F57" s="457"/>
      <c r="G57" s="457"/>
      <c r="H57" s="457"/>
      <c r="I57" s="457"/>
      <c r="J57" s="759"/>
      <c r="K57" s="989"/>
      <c r="L57" s="990"/>
      <c r="M57" s="990"/>
      <c r="N57" s="990"/>
      <c r="O57" s="990"/>
      <c r="P57" s="990"/>
      <c r="Q57" s="990"/>
      <c r="R57" s="991"/>
    </row>
    <row r="58" spans="1:33" x14ac:dyDescent="0.2">
      <c r="A58" s="322" t="str">
        <f t="shared" si="76"/>
        <v>Small Rigid Truck</v>
      </c>
      <c r="B58" s="749" t="s">
        <v>832</v>
      </c>
      <c r="C58" s="456" t="s">
        <v>831</v>
      </c>
      <c r="D58" s="455">
        <v>0.08</v>
      </c>
      <c r="E58" s="454"/>
      <c r="F58" s="453"/>
      <c r="G58" s="453"/>
      <c r="H58" s="453"/>
      <c r="I58" s="453"/>
      <c r="J58" s="750"/>
      <c r="K58" s="992"/>
      <c r="L58" s="977"/>
      <c r="M58" s="977"/>
      <c r="N58" s="977"/>
      <c r="O58" s="977"/>
      <c r="P58" s="977"/>
      <c r="Q58" s="977"/>
      <c r="R58" s="978"/>
      <c r="T58" s="453"/>
      <c r="U58" s="453"/>
      <c r="V58" s="453"/>
      <c r="W58" s="453"/>
      <c r="X58" s="453"/>
      <c r="Y58" s="453"/>
      <c r="Z58" s="453"/>
      <c r="AA58" s="453"/>
      <c r="AB58" s="452" t="s">
        <v>816</v>
      </c>
      <c r="AC58" s="322" t="s">
        <v>834</v>
      </c>
    </row>
    <row r="59" spans="1:33" x14ac:dyDescent="0.2">
      <c r="A59" s="322" t="str">
        <f>B59</f>
        <v>Large Rigid Truck</v>
      </c>
      <c r="B59" s="751" t="s">
        <v>735</v>
      </c>
      <c r="C59" s="351">
        <v>2010</v>
      </c>
      <c r="D59" s="351">
        <v>2020</v>
      </c>
      <c r="E59" s="354"/>
      <c r="F59" s="351">
        <v>2030</v>
      </c>
      <c r="G59" s="351"/>
      <c r="H59" s="351">
        <v>2040</v>
      </c>
      <c r="I59" s="351"/>
      <c r="J59" s="752">
        <v>2050</v>
      </c>
      <c r="K59" s="979" t="e">
        <f>#REF!</f>
        <v>#REF!</v>
      </c>
      <c r="L59" s="980" t="e">
        <f>#REF!</f>
        <v>#REF!</v>
      </c>
      <c r="M59" s="980" t="e">
        <f>#REF!</f>
        <v>#REF!</v>
      </c>
      <c r="N59" s="980" t="e">
        <f>#REF!</f>
        <v>#REF!</v>
      </c>
      <c r="O59" s="980" t="e">
        <f>#REF!</f>
        <v>#REF!</v>
      </c>
      <c r="P59" s="980" t="e">
        <f>#REF!</f>
        <v>#REF!</v>
      </c>
      <c r="Q59" s="980" t="e">
        <f>#REF!</f>
        <v>#REF!</v>
      </c>
      <c r="R59" s="981" t="e">
        <f>#REF!</f>
        <v>#REF!</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77">A59</f>
        <v>Large Rigid Truck</v>
      </c>
      <c r="B60" s="753" t="s">
        <v>791</v>
      </c>
      <c r="C60" s="448" t="s">
        <v>193</v>
      </c>
      <c r="D60" s="449"/>
      <c r="E60" s="450"/>
      <c r="F60" s="449"/>
      <c r="G60" s="449"/>
      <c r="H60" s="449"/>
      <c r="I60" s="448"/>
      <c r="J60" s="754" t="s">
        <v>193</v>
      </c>
      <c r="K60" s="982" t="s">
        <v>1293</v>
      </c>
      <c r="L60" s="972" t="s">
        <v>1293</v>
      </c>
      <c r="M60" s="972" t="s">
        <v>1293</v>
      </c>
      <c r="N60" s="972" t="s">
        <v>1293</v>
      </c>
      <c r="O60" s="972" t="s">
        <v>1293</v>
      </c>
      <c r="P60" s="972" t="s">
        <v>1293</v>
      </c>
      <c r="Q60" s="972" t="s">
        <v>1293</v>
      </c>
      <c r="R60" s="973" t="s">
        <v>1293</v>
      </c>
      <c r="AB60" s="447" t="s">
        <v>659</v>
      </c>
      <c r="AC60" s="446" t="s">
        <v>663</v>
      </c>
      <c r="AD60" s="446" t="s">
        <v>663</v>
      </c>
      <c r="AE60" s="446" t="s">
        <v>663</v>
      </c>
      <c r="AF60" s="446" t="s">
        <v>663</v>
      </c>
      <c r="AG60" s="446" t="s">
        <v>663</v>
      </c>
    </row>
    <row r="61" spans="1:33" ht="15" x14ac:dyDescent="0.2">
      <c r="A61" s="322" t="str">
        <f t="shared" si="77"/>
        <v>Large Rigid Truck</v>
      </c>
      <c r="B61" s="7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56">
        <v>66164.514819809236</v>
      </c>
      <c r="K61" s="986">
        <f t="shared" ref="K61:K68" si="78">C61*$B$2*$L$2</f>
        <v>1090172.2877167715</v>
      </c>
      <c r="L61" s="987">
        <f t="shared" ref="L61:L68" si="79">D61*$B$2*$L$2</f>
        <v>1315681.0659007472</v>
      </c>
      <c r="M61" s="987">
        <f t="shared" ref="M61:M68" si="80">E61*$B$2*$L$2</f>
        <v>1358231.1945810246</v>
      </c>
      <c r="N61" s="987">
        <f t="shared" ref="N61:N68" si="81">F61*$B$2*$L$2</f>
        <v>1400781.3232613022</v>
      </c>
      <c r="O61" s="987">
        <f t="shared" ref="O61:O68" si="82">G61*$B$2*$L$2</f>
        <v>1428091.3772378955</v>
      </c>
      <c r="P61" s="987">
        <f t="shared" ref="P61:P68" si="83">H61*$B$2*$L$2</f>
        <v>1455401.4312144886</v>
      </c>
      <c r="Q61" s="987">
        <f t="shared" ref="Q61:Q68" si="84">I61*$B$2*$L$2</f>
        <v>1478915.4952081111</v>
      </c>
      <c r="R61" s="988">
        <f t="shared" ref="R61:R68" si="85">J61*$B$2*$L$2</f>
        <v>1502429.5592017337</v>
      </c>
      <c r="S61" s="330">
        <f t="shared" ref="S61:Z68" si="86">C61/C$61</f>
        <v>1</v>
      </c>
      <c r="T61" s="330">
        <f t="shared" si="86"/>
        <v>1</v>
      </c>
      <c r="U61" s="330">
        <f t="shared" si="86"/>
        <v>1</v>
      </c>
      <c r="V61" s="330">
        <f t="shared" si="86"/>
        <v>1</v>
      </c>
      <c r="W61" s="330">
        <f t="shared" si="86"/>
        <v>1</v>
      </c>
      <c r="X61" s="330">
        <f t="shared" si="86"/>
        <v>1</v>
      </c>
      <c r="Y61" s="330">
        <f t="shared" si="86"/>
        <v>1</v>
      </c>
      <c r="Z61" s="330">
        <f t="shared" si="86"/>
        <v>1</v>
      </c>
      <c r="AB61" s="441" t="s">
        <v>687</v>
      </c>
      <c r="AC61" s="440">
        <v>12.405066687804799</v>
      </c>
      <c r="AD61" s="440">
        <v>11.079673113362597</v>
      </c>
      <c r="AE61" s="440">
        <v>9.2713390042129831</v>
      </c>
      <c r="AF61" s="439">
        <v>8.5519347392531859</v>
      </c>
      <c r="AG61" s="439">
        <v>8.0369288469360249</v>
      </c>
    </row>
    <row r="62" spans="1:33" ht="15" x14ac:dyDescent="0.2">
      <c r="A62" s="322" t="str">
        <f t="shared" si="77"/>
        <v>Large Rigid Truck</v>
      </c>
      <c r="B62" s="7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56">
        <v>67898.65113591867</v>
      </c>
      <c r="K62" s="986">
        <f t="shared" si="78"/>
        <v>1251462.2511156902</v>
      </c>
      <c r="L62" s="987">
        <f t="shared" si="79"/>
        <v>1438647.9420531017</v>
      </c>
      <c r="M62" s="987">
        <f t="shared" si="80"/>
        <v>1458081.9748655683</v>
      </c>
      <c r="N62" s="987">
        <f t="shared" si="81"/>
        <v>1477516.0076780347</v>
      </c>
      <c r="O62" s="987">
        <f t="shared" si="82"/>
        <v>1493510.0045810719</v>
      </c>
      <c r="P62" s="987">
        <f t="shared" si="83"/>
        <v>1509504.0014841093</v>
      </c>
      <c r="Q62" s="987">
        <f t="shared" si="84"/>
        <v>1525655.7153264512</v>
      </c>
      <c r="R62" s="988">
        <f t="shared" si="85"/>
        <v>1541807.4291687931</v>
      </c>
      <c r="S62" s="330">
        <f t="shared" si="86"/>
        <v>1.1479490583426224</v>
      </c>
      <c r="T62" s="330">
        <f t="shared" si="86"/>
        <v>1.0934625262454229</v>
      </c>
      <c r="U62" s="330">
        <f t="shared" si="86"/>
        <v>1.0735153048191803</v>
      </c>
      <c r="V62" s="330">
        <f t="shared" si="86"/>
        <v>1.0547799168524596</v>
      </c>
      <c r="W62" s="330">
        <f t="shared" si="86"/>
        <v>1.0458084324195727</v>
      </c>
      <c r="X62" s="330">
        <f t="shared" si="86"/>
        <v>1.0371736409689207</v>
      </c>
      <c r="Y62" s="330">
        <f t="shared" si="86"/>
        <v>1.031604388668443</v>
      </c>
      <c r="Z62" s="330">
        <f t="shared" si="8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77"/>
        <v>Large Rigid Truck</v>
      </c>
      <c r="B63" s="7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56">
        <v>67413.099113642267</v>
      </c>
      <c r="K63" s="986">
        <f t="shared" si="78"/>
        <v>1222647.8522578445</v>
      </c>
      <c r="L63" s="987">
        <f t="shared" si="79"/>
        <v>1372343.0981439524</v>
      </c>
      <c r="M63" s="987">
        <f t="shared" si="80"/>
        <v>1403967.5524806932</v>
      </c>
      <c r="N63" s="987">
        <f t="shared" si="81"/>
        <v>1435592.006817434</v>
      </c>
      <c r="O63" s="987">
        <f t="shared" si="82"/>
        <v>1464979.9470014698</v>
      </c>
      <c r="P63" s="987">
        <f t="shared" si="83"/>
        <v>1494367.8871855056</v>
      </c>
      <c r="Q63" s="987">
        <f t="shared" si="84"/>
        <v>1512574.8261645143</v>
      </c>
      <c r="R63" s="988">
        <f t="shared" si="85"/>
        <v>1530781.7651435228</v>
      </c>
      <c r="S63" s="330">
        <f t="shared" si="86"/>
        <v>1.1215180077807025</v>
      </c>
      <c r="T63" s="330">
        <f t="shared" si="86"/>
        <v>1.0430666927660108</v>
      </c>
      <c r="U63" s="330">
        <f t="shared" si="86"/>
        <v>1.0336734703798176</v>
      </c>
      <c r="V63" s="330">
        <f t="shared" si="86"/>
        <v>1.0248509049757213</v>
      </c>
      <c r="W63" s="330">
        <f t="shared" si="86"/>
        <v>1.0258306788707887</v>
      </c>
      <c r="X63" s="330">
        <f t="shared" si="86"/>
        <v>1.0267736825973166</v>
      </c>
      <c r="Y63" s="330">
        <f t="shared" si="86"/>
        <v>1.0227594687224957</v>
      </c>
      <c r="Z63" s="330">
        <f t="shared" si="8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77"/>
        <v>Large Rigid Truck</v>
      </c>
      <c r="B64" s="7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56">
        <v>67091.109722539215</v>
      </c>
      <c r="K64" s="986">
        <f t="shared" si="78"/>
        <v>1374904.7892648717</v>
      </c>
      <c r="L64" s="987">
        <f t="shared" si="79"/>
        <v>1464898.8589608679</v>
      </c>
      <c r="M64" s="987">
        <f t="shared" si="80"/>
        <v>1472073.7340344051</v>
      </c>
      <c r="N64" s="987">
        <f t="shared" si="81"/>
        <v>1479248.6091079421</v>
      </c>
      <c r="O64" s="987">
        <f t="shared" si="82"/>
        <v>1490943.5371321745</v>
      </c>
      <c r="P64" s="987">
        <f t="shared" si="83"/>
        <v>1502638.4651564066</v>
      </c>
      <c r="Q64" s="987">
        <f t="shared" si="84"/>
        <v>1513054.3309258979</v>
      </c>
      <c r="R64" s="988">
        <f t="shared" si="85"/>
        <v>1523470.196695389</v>
      </c>
      <c r="S64" s="330">
        <f t="shared" si="86"/>
        <v>1.2611811956295795</v>
      </c>
      <c r="T64" s="330">
        <f t="shared" si="86"/>
        <v>1.1134148669669899</v>
      </c>
      <c r="U64" s="330">
        <f t="shared" si="86"/>
        <v>1.0838167610253551</v>
      </c>
      <c r="V64" s="330">
        <f t="shared" si="86"/>
        <v>1.0560167990132481</v>
      </c>
      <c r="W64" s="330">
        <f t="shared" si="86"/>
        <v>1.0440113013047128</v>
      </c>
      <c r="X64" s="330">
        <f t="shared" si="86"/>
        <v>1.0324563607873465</v>
      </c>
      <c r="Y64" s="330">
        <f t="shared" si="86"/>
        <v>1.0230836960113008</v>
      </c>
      <c r="Z64" s="330">
        <f t="shared" si="8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77"/>
        <v>Large Rigid Truck</v>
      </c>
      <c r="B65" s="755" t="s">
        <v>692</v>
      </c>
      <c r="C65" s="444"/>
      <c r="D65" s="444"/>
      <c r="E65" s="445"/>
      <c r="F65" s="444"/>
      <c r="G65" s="444"/>
      <c r="H65" s="444"/>
      <c r="I65" s="444"/>
      <c r="J65" s="767"/>
      <c r="K65" s="986">
        <f t="shared" si="78"/>
        <v>0</v>
      </c>
      <c r="L65" s="987">
        <f t="shared" si="79"/>
        <v>0</v>
      </c>
      <c r="M65" s="987">
        <f t="shared" si="80"/>
        <v>0</v>
      </c>
      <c r="N65" s="987">
        <f t="shared" si="81"/>
        <v>0</v>
      </c>
      <c r="O65" s="987">
        <f t="shared" si="82"/>
        <v>0</v>
      </c>
      <c r="P65" s="987">
        <f t="shared" si="83"/>
        <v>0</v>
      </c>
      <c r="Q65" s="987">
        <f t="shared" si="84"/>
        <v>0</v>
      </c>
      <c r="R65" s="988">
        <f t="shared" si="85"/>
        <v>0</v>
      </c>
      <c r="S65" s="330">
        <f t="shared" si="86"/>
        <v>0</v>
      </c>
      <c r="T65" s="330">
        <f t="shared" si="86"/>
        <v>0</v>
      </c>
      <c r="U65" s="330">
        <f t="shared" si="86"/>
        <v>0</v>
      </c>
      <c r="V65" s="330">
        <f t="shared" si="86"/>
        <v>0</v>
      </c>
      <c r="W65" s="330">
        <f t="shared" si="86"/>
        <v>0</v>
      </c>
      <c r="X65" s="330">
        <f t="shared" si="86"/>
        <v>0</v>
      </c>
      <c r="Y65" s="330">
        <f t="shared" si="86"/>
        <v>0</v>
      </c>
      <c r="Z65" s="330">
        <f t="shared" si="86"/>
        <v>0</v>
      </c>
      <c r="AA65" s="422"/>
      <c r="AB65" s="441" t="s">
        <v>692</v>
      </c>
      <c r="AC65" s="443"/>
      <c r="AD65" s="443"/>
      <c r="AE65" s="443"/>
      <c r="AF65" s="443"/>
      <c r="AG65" s="443"/>
    </row>
    <row r="66" spans="1:33" ht="15" x14ac:dyDescent="0.2">
      <c r="A66" s="322" t="str">
        <f t="shared" si="77"/>
        <v>Large Rigid Truck</v>
      </c>
      <c r="B66" s="7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56">
        <v>64871.264266849503</v>
      </c>
      <c r="K66" s="986">
        <f t="shared" si="78"/>
        <v>6646335.9282112597</v>
      </c>
      <c r="L66" s="987">
        <f t="shared" si="79"/>
        <v>2881951.858115403</v>
      </c>
      <c r="M66" s="987">
        <f t="shared" si="80"/>
        <v>2284380.404211686</v>
      </c>
      <c r="N66" s="987">
        <f t="shared" si="81"/>
        <v>1686808.9503079685</v>
      </c>
      <c r="O66" s="987">
        <f t="shared" si="82"/>
        <v>1608555.7489292668</v>
      </c>
      <c r="P66" s="987">
        <f t="shared" si="83"/>
        <v>1530302.5475505649</v>
      </c>
      <c r="Q66" s="987">
        <f t="shared" si="84"/>
        <v>1501682.8212576015</v>
      </c>
      <c r="R66" s="988">
        <f t="shared" si="85"/>
        <v>1473063.0949646386</v>
      </c>
      <c r="S66" s="330">
        <f t="shared" si="86"/>
        <v>6.0965922571111886</v>
      </c>
      <c r="T66" s="330">
        <f t="shared" si="86"/>
        <v>2.1904638843018911</v>
      </c>
      <c r="U66" s="330">
        <f t="shared" si="86"/>
        <v>1.6818789123131217</v>
      </c>
      <c r="V66" s="330">
        <f t="shared" si="86"/>
        <v>1.2041914910606719</v>
      </c>
      <c r="W66" s="330">
        <f t="shared" si="86"/>
        <v>1.1263675242129196</v>
      </c>
      <c r="X66" s="330">
        <f t="shared" si="86"/>
        <v>1.0514642316062404</v>
      </c>
      <c r="Y66" s="330">
        <f t="shared" si="86"/>
        <v>1.0153946091735868</v>
      </c>
      <c r="Z66" s="330">
        <f t="shared" si="8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77"/>
        <v>Large Rigid Truck</v>
      </c>
      <c r="B67" s="7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56">
        <v>73297.478459946346</v>
      </c>
      <c r="K67" s="986">
        <f t="shared" si="78"/>
        <v>1562487.9227139144</v>
      </c>
      <c r="L67" s="987">
        <f t="shared" si="79"/>
        <v>1591948.900674769</v>
      </c>
      <c r="M67" s="987">
        <f t="shared" si="80"/>
        <v>1602456.0906004498</v>
      </c>
      <c r="N67" s="987">
        <f t="shared" si="81"/>
        <v>1612963.2805261309</v>
      </c>
      <c r="O67" s="987">
        <f t="shared" si="82"/>
        <v>1625082.6125852494</v>
      </c>
      <c r="P67" s="987">
        <f t="shared" si="83"/>
        <v>1637201.9446443676</v>
      </c>
      <c r="Q67" s="987">
        <f t="shared" si="84"/>
        <v>1650801.5752668702</v>
      </c>
      <c r="R67" s="988">
        <f t="shared" si="85"/>
        <v>1664401.2058893729</v>
      </c>
      <c r="S67" s="330">
        <f t="shared" si="86"/>
        <v>1.433248616130528</v>
      </c>
      <c r="T67" s="330">
        <f t="shared" si="86"/>
        <v>1.2099808547331203</v>
      </c>
      <c r="U67" s="330">
        <f t="shared" si="86"/>
        <v>1.1798109902009442</v>
      </c>
      <c r="V67" s="330">
        <f t="shared" si="86"/>
        <v>1.1514740050722738</v>
      </c>
      <c r="W67" s="330">
        <f t="shared" si="86"/>
        <v>1.1379402176129367</v>
      </c>
      <c r="X67" s="330">
        <f t="shared" si="86"/>
        <v>1.1249143428958785</v>
      </c>
      <c r="Y67" s="330">
        <f t="shared" si="86"/>
        <v>1.1162244094511777</v>
      </c>
      <c r="Z67" s="330">
        <f t="shared" si="8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77"/>
        <v>Large Rigid Truck</v>
      </c>
      <c r="B68" s="7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56">
        <v>69966.904678313702</v>
      </c>
      <c r="K68" s="986">
        <f t="shared" si="78"/>
        <v>1487113.2881623034</v>
      </c>
      <c r="L68" s="987">
        <f t="shared" si="79"/>
        <v>1519428.2946851326</v>
      </c>
      <c r="M68" s="987">
        <f t="shared" si="80"/>
        <v>1528176.2389433449</v>
      </c>
      <c r="N68" s="987">
        <f t="shared" si="81"/>
        <v>1536924.1832015577</v>
      </c>
      <c r="O68" s="987">
        <f t="shared" si="82"/>
        <v>1549192.6179772823</v>
      </c>
      <c r="P68" s="987">
        <f t="shared" si="83"/>
        <v>1561461.0527530063</v>
      </c>
      <c r="Q68" s="987">
        <f t="shared" si="84"/>
        <v>1575116.6564707891</v>
      </c>
      <c r="R68" s="988">
        <f t="shared" si="85"/>
        <v>1588772.2601885719</v>
      </c>
      <c r="S68" s="330">
        <f t="shared" si="86"/>
        <v>1.3641085036906184</v>
      </c>
      <c r="T68" s="330">
        <f t="shared" si="86"/>
        <v>1.1548606528322234</v>
      </c>
      <c r="U68" s="330">
        <f t="shared" si="86"/>
        <v>1.125122324564739</v>
      </c>
      <c r="V68" s="330">
        <f t="shared" si="86"/>
        <v>1.0971906590125626</v>
      </c>
      <c r="W68" s="330">
        <f t="shared" si="86"/>
        <v>1.0847993641510612</v>
      </c>
      <c r="X68" s="330">
        <f t="shared" si="86"/>
        <v>1.0728731051542351</v>
      </c>
      <c r="Y68" s="330">
        <f t="shared" si="86"/>
        <v>1.0650484504181494</v>
      </c>
      <c r="Z68" s="330">
        <f t="shared" si="8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77"/>
        <v>Large Rigid Truck</v>
      </c>
      <c r="B69" s="765"/>
      <c r="E69" s="332"/>
      <c r="J69" s="748"/>
      <c r="K69" s="982"/>
      <c r="R69" s="973"/>
      <c r="Z69" s="422"/>
      <c r="AA69" s="422"/>
    </row>
    <row r="70" spans="1:33" ht="15" x14ac:dyDescent="0.2">
      <c r="A70" s="322" t="str">
        <f t="shared" si="77"/>
        <v>Large Rigid Truck</v>
      </c>
      <c r="B70" s="768" t="s">
        <v>832</v>
      </c>
      <c r="C70" s="359" t="s">
        <v>831</v>
      </c>
      <c r="D70" s="358">
        <v>0.08</v>
      </c>
      <c r="E70" s="357"/>
      <c r="J70" s="748"/>
      <c r="K70" s="982"/>
      <c r="R70" s="973"/>
      <c r="Z70" s="422"/>
      <c r="AA70" s="422"/>
      <c r="AB70" s="437" t="s">
        <v>816</v>
      </c>
    </row>
    <row r="71" spans="1:33" ht="15" x14ac:dyDescent="0.2">
      <c r="A71" s="322" t="str">
        <f>B71</f>
        <v>Articulated Truck</v>
      </c>
      <c r="B71" s="769" t="s">
        <v>747</v>
      </c>
      <c r="C71" s="351">
        <v>2010</v>
      </c>
      <c r="D71" s="351">
        <v>2020</v>
      </c>
      <c r="E71" s="354"/>
      <c r="F71" s="351">
        <v>2030</v>
      </c>
      <c r="G71" s="351"/>
      <c r="H71" s="351">
        <v>2040</v>
      </c>
      <c r="I71" s="351"/>
      <c r="J71" s="752">
        <v>2050</v>
      </c>
      <c r="K71" s="979" t="e">
        <f>#REF!</f>
        <v>#REF!</v>
      </c>
      <c r="L71" s="980" t="e">
        <f>#REF!</f>
        <v>#REF!</v>
      </c>
      <c r="M71" s="980" t="e">
        <f>#REF!</f>
        <v>#REF!</v>
      </c>
      <c r="N71" s="980" t="e">
        <f>#REF!</f>
        <v>#REF!</v>
      </c>
      <c r="O71" s="980" t="e">
        <f>#REF!</f>
        <v>#REF!</v>
      </c>
      <c r="P71" s="980" t="e">
        <f>#REF!</f>
        <v>#REF!</v>
      </c>
      <c r="Q71" s="980" t="e">
        <f>#REF!</f>
        <v>#REF!</v>
      </c>
      <c r="R71" s="981" t="e">
        <f>#REF!</f>
        <v>#REF!</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87">A71</f>
        <v>Articulated Truck</v>
      </c>
      <c r="B72" s="770" t="s">
        <v>791</v>
      </c>
      <c r="C72" s="433" t="s">
        <v>193</v>
      </c>
      <c r="D72" s="432" t="s">
        <v>193</v>
      </c>
      <c r="E72" s="431"/>
      <c r="F72" s="430" t="s">
        <v>193</v>
      </c>
      <c r="G72" s="430"/>
      <c r="H72" s="429" t="s">
        <v>193</v>
      </c>
      <c r="I72" s="429"/>
      <c r="J72" s="771" t="s">
        <v>193</v>
      </c>
      <c r="K72" s="982" t="s">
        <v>1293</v>
      </c>
      <c r="L72" s="972" t="s">
        <v>1293</v>
      </c>
      <c r="M72" s="972" t="s">
        <v>1293</v>
      </c>
      <c r="N72" s="972" t="s">
        <v>1293</v>
      </c>
      <c r="O72" s="972" t="s">
        <v>1293</v>
      </c>
      <c r="P72" s="972" t="s">
        <v>1293</v>
      </c>
      <c r="Q72" s="972" t="s">
        <v>1293</v>
      </c>
      <c r="R72" s="973" t="s">
        <v>1293</v>
      </c>
      <c r="Z72" s="422"/>
      <c r="AA72" s="422"/>
      <c r="AB72" s="427" t="s">
        <v>659</v>
      </c>
      <c r="AC72" s="426" t="s">
        <v>663</v>
      </c>
      <c r="AD72" s="425" t="s">
        <v>663</v>
      </c>
      <c r="AE72" s="425" t="s">
        <v>663</v>
      </c>
      <c r="AF72" s="424" t="s">
        <v>663</v>
      </c>
      <c r="AG72" s="423" t="s">
        <v>663</v>
      </c>
    </row>
    <row r="73" spans="1:33" ht="15" x14ac:dyDescent="0.2">
      <c r="A73" s="322" t="str">
        <f t="shared" si="87"/>
        <v>Articulated Truck</v>
      </c>
      <c r="B73" s="772"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773">
        <v>85111.655194109291</v>
      </c>
      <c r="K73" s="986">
        <f t="shared" ref="K73:K80" si="88">C73*$B$2*$L$2</f>
        <v>1395112.6467240318</v>
      </c>
      <c r="L73" s="987">
        <f t="shared" ref="L73:L80" si="89">D73*$B$2*$L$2</f>
        <v>1730067.6286486848</v>
      </c>
      <c r="M73" s="987">
        <f t="shared" ref="M73:M80" si="90">E73*$B$2*$L$2</f>
        <v>1774785.2469423125</v>
      </c>
      <c r="N73" s="987">
        <f t="shared" ref="N73:N80" si="91">F73*$B$2*$L$2</f>
        <v>1819502.8652359401</v>
      </c>
      <c r="O73" s="987">
        <f t="shared" ref="O73:O80" si="92">G73*$B$2*$L$2</f>
        <v>1854404.1981620255</v>
      </c>
      <c r="P73" s="987">
        <f t="shared" ref="P73:P80" si="93">H73*$B$2*$L$2</f>
        <v>1889305.531088111</v>
      </c>
      <c r="Q73" s="987">
        <f t="shared" ref="Q73:Q80" si="94">I73*$B$2*$L$2</f>
        <v>1910988.4739253921</v>
      </c>
      <c r="R73" s="988">
        <f t="shared" ref="R73:R80" si="95">J73*$B$2*$L$2</f>
        <v>1932671.4167626728</v>
      </c>
      <c r="S73" s="330">
        <f t="shared" ref="S73:Z80" si="96">C73/C$73</f>
        <v>1</v>
      </c>
      <c r="T73" s="330">
        <f t="shared" si="96"/>
        <v>1</v>
      </c>
      <c r="U73" s="330">
        <f t="shared" si="96"/>
        <v>1</v>
      </c>
      <c r="V73" s="330">
        <f t="shared" si="96"/>
        <v>1</v>
      </c>
      <c r="W73" s="330">
        <f t="shared" si="96"/>
        <v>1</v>
      </c>
      <c r="X73" s="330">
        <f t="shared" si="96"/>
        <v>1</v>
      </c>
      <c r="Y73" s="330">
        <f t="shared" si="96"/>
        <v>1</v>
      </c>
      <c r="Z73" s="330">
        <f t="shared" si="96"/>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87"/>
        <v>Articulated Truck</v>
      </c>
      <c r="B74" s="772"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773">
        <v>87170.477281091473</v>
      </c>
      <c r="K74" s="986">
        <f t="shared" si="88"/>
        <v>1624016.8396025607</v>
      </c>
      <c r="L74" s="987">
        <f t="shared" si="89"/>
        <v>1881725.045006172</v>
      </c>
      <c r="M74" s="987">
        <f t="shared" si="90"/>
        <v>1897286.7445443028</v>
      </c>
      <c r="N74" s="987">
        <f t="shared" si="91"/>
        <v>1912848.4440824341</v>
      </c>
      <c r="O74" s="987">
        <f t="shared" si="92"/>
        <v>1933601.2778243772</v>
      </c>
      <c r="P74" s="987">
        <f t="shared" si="93"/>
        <v>1954354.1115663205</v>
      </c>
      <c r="Q74" s="987">
        <f t="shared" si="94"/>
        <v>1966888.097370245</v>
      </c>
      <c r="R74" s="988">
        <f t="shared" si="95"/>
        <v>1979422.0831741695</v>
      </c>
      <c r="S74" s="330">
        <f t="shared" si="96"/>
        <v>1.1640757779782414</v>
      </c>
      <c r="T74" s="330">
        <f t="shared" si="96"/>
        <v>1.0876598196776521</v>
      </c>
      <c r="U74" s="330">
        <f t="shared" si="96"/>
        <v>1.069023279189999</v>
      </c>
      <c r="V74" s="330">
        <f t="shared" si="96"/>
        <v>1.0513027929936178</v>
      </c>
      <c r="W74" s="330">
        <f t="shared" si="96"/>
        <v>1.0427075605959299</v>
      </c>
      <c r="X74" s="330">
        <f t="shared" si="96"/>
        <v>1.0344298894000199</v>
      </c>
      <c r="Y74" s="330">
        <f t="shared" si="96"/>
        <v>1.0292516800637885</v>
      </c>
      <c r="Z74" s="330">
        <f t="shared" si="96"/>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87"/>
        <v>Articulated Truck</v>
      </c>
      <c r="B75" s="772"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773">
        <v>86819.718766163729</v>
      </c>
      <c r="K75" s="986">
        <f t="shared" si="88"/>
        <v>1644710.1407518331</v>
      </c>
      <c r="L75" s="987">
        <f t="shared" si="89"/>
        <v>1831304.8833940399</v>
      </c>
      <c r="M75" s="987">
        <f t="shared" si="90"/>
        <v>1857938.5454296654</v>
      </c>
      <c r="N75" s="987">
        <f t="shared" si="91"/>
        <v>1884572.207465291</v>
      </c>
      <c r="O75" s="987">
        <f t="shared" si="92"/>
        <v>1913752.0074682483</v>
      </c>
      <c r="P75" s="987">
        <f t="shared" si="93"/>
        <v>1942931.8074712059</v>
      </c>
      <c r="Q75" s="987">
        <f t="shared" si="94"/>
        <v>1957194.5239114198</v>
      </c>
      <c r="R75" s="988">
        <f t="shared" si="95"/>
        <v>1971457.2403516336</v>
      </c>
      <c r="S75" s="330">
        <f t="shared" si="96"/>
        <v>1.1789084878657647</v>
      </c>
      <c r="T75" s="330">
        <f t="shared" si="96"/>
        <v>1.0585163568573497</v>
      </c>
      <c r="U75" s="330">
        <f t="shared" si="96"/>
        <v>1.0468525973103582</v>
      </c>
      <c r="V75" s="330">
        <f t="shared" si="96"/>
        <v>1.0357621543074147</v>
      </c>
      <c r="W75" s="330">
        <f t="shared" si="96"/>
        <v>1.0320037073713728</v>
      </c>
      <c r="X75" s="330">
        <f t="shared" si="96"/>
        <v>1.0283841207791362</v>
      </c>
      <c r="Y75" s="330">
        <f t="shared" si="96"/>
        <v>1.0241791358851657</v>
      </c>
      <c r="Z75" s="330">
        <f t="shared" si="96"/>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87"/>
        <v>Articulated Truck</v>
      </c>
      <c r="B76" s="772"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773">
        <v>86268.993976230602</v>
      </c>
      <c r="K76" s="986">
        <f t="shared" si="88"/>
        <v>1783871.1084484912</v>
      </c>
      <c r="L76" s="987">
        <f t="shared" si="89"/>
        <v>1896985.6971040559</v>
      </c>
      <c r="M76" s="987">
        <f t="shared" si="90"/>
        <v>1902930.270255306</v>
      </c>
      <c r="N76" s="987">
        <f t="shared" si="91"/>
        <v>1908874.8434065564</v>
      </c>
      <c r="O76" s="987">
        <f t="shared" si="92"/>
        <v>1922746.5154993071</v>
      </c>
      <c r="P76" s="987">
        <f t="shared" si="93"/>
        <v>1936618.1875920582</v>
      </c>
      <c r="Q76" s="987">
        <f t="shared" si="94"/>
        <v>1947784.9272202607</v>
      </c>
      <c r="R76" s="988">
        <f t="shared" si="95"/>
        <v>1958951.6668484637</v>
      </c>
      <c r="S76" s="330">
        <f t="shared" si="96"/>
        <v>1.2786573991980736</v>
      </c>
      <c r="T76" s="330">
        <f t="shared" si="96"/>
        <v>1.0964806610396767</v>
      </c>
      <c r="U76" s="330">
        <f t="shared" si="96"/>
        <v>1.0722031150156157</v>
      </c>
      <c r="V76" s="330">
        <f t="shared" si="96"/>
        <v>1.0491188993863041</v>
      </c>
      <c r="W76" s="330">
        <f t="shared" si="96"/>
        <v>1.0368540566317841</v>
      </c>
      <c r="X76" s="330">
        <f t="shared" si="96"/>
        <v>1.0250423532485498</v>
      </c>
      <c r="Y76" s="330">
        <f t="shared" si="96"/>
        <v>1.0192551937371368</v>
      </c>
      <c r="Z76" s="330">
        <f t="shared" si="96"/>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87"/>
        <v>Articulated Truck</v>
      </c>
      <c r="B77" s="772" t="s">
        <v>692</v>
      </c>
      <c r="C77" s="421"/>
      <c r="D77" s="420"/>
      <c r="E77" s="419"/>
      <c r="F77" s="418"/>
      <c r="G77" s="418"/>
      <c r="H77" s="417"/>
      <c r="I77" s="417"/>
      <c r="J77" s="774"/>
      <c r="K77" s="986">
        <f t="shared" si="88"/>
        <v>0</v>
      </c>
      <c r="L77" s="987">
        <f t="shared" si="89"/>
        <v>0</v>
      </c>
      <c r="M77" s="987">
        <f t="shared" si="90"/>
        <v>0</v>
      </c>
      <c r="N77" s="987">
        <f t="shared" si="91"/>
        <v>0</v>
      </c>
      <c r="O77" s="987">
        <f t="shared" si="92"/>
        <v>0</v>
      </c>
      <c r="P77" s="987">
        <f t="shared" si="93"/>
        <v>0</v>
      </c>
      <c r="Q77" s="987">
        <f t="shared" si="94"/>
        <v>0</v>
      </c>
      <c r="R77" s="988">
        <f t="shared" si="95"/>
        <v>0</v>
      </c>
      <c r="S77" s="330">
        <f t="shared" si="96"/>
        <v>0</v>
      </c>
      <c r="T77" s="330">
        <f t="shared" si="96"/>
        <v>0</v>
      </c>
      <c r="U77" s="330">
        <f t="shared" si="96"/>
        <v>0</v>
      </c>
      <c r="V77" s="330">
        <f t="shared" si="96"/>
        <v>0</v>
      </c>
      <c r="W77" s="330">
        <f t="shared" si="96"/>
        <v>0</v>
      </c>
      <c r="X77" s="330">
        <f t="shared" si="96"/>
        <v>0</v>
      </c>
      <c r="Y77" s="330">
        <f t="shared" si="96"/>
        <v>0</v>
      </c>
      <c r="Z77" s="330">
        <f t="shared" si="96"/>
        <v>0</v>
      </c>
      <c r="AB77" s="404" t="s">
        <v>692</v>
      </c>
      <c r="AC77" s="415"/>
      <c r="AD77" s="414"/>
      <c r="AE77" s="413"/>
      <c r="AF77" s="412"/>
      <c r="AG77" s="411"/>
    </row>
    <row r="78" spans="1:33" ht="15" x14ac:dyDescent="0.2">
      <c r="A78" s="322" t="str">
        <f t="shared" si="87"/>
        <v>Articulated Truck</v>
      </c>
      <c r="B78" s="772"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773">
        <v>84519.914845238978</v>
      </c>
      <c r="K78" s="986">
        <f t="shared" si="88"/>
        <v>9335138.1238165591</v>
      </c>
      <c r="L78" s="987">
        <f t="shared" si="89"/>
        <v>3917325.5916932854</v>
      </c>
      <c r="M78" s="987">
        <f t="shared" si="90"/>
        <v>3068086.0809690007</v>
      </c>
      <c r="N78" s="987">
        <f t="shared" si="91"/>
        <v>2218846.570244716</v>
      </c>
      <c r="O78" s="987">
        <f t="shared" si="92"/>
        <v>2107147.7627626616</v>
      </c>
      <c r="P78" s="987">
        <f t="shared" si="93"/>
        <v>1995448.9552806069</v>
      </c>
      <c r="Q78" s="987">
        <f t="shared" si="94"/>
        <v>1957341.7192276465</v>
      </c>
      <c r="R78" s="988">
        <f t="shared" si="95"/>
        <v>1919234.4831746866</v>
      </c>
      <c r="S78" s="330">
        <f t="shared" si="96"/>
        <v>6.6913149599332318</v>
      </c>
      <c r="T78" s="330">
        <f t="shared" si="96"/>
        <v>2.2642615391590306</v>
      </c>
      <c r="U78" s="330">
        <f t="shared" si="96"/>
        <v>1.7287083528865539</v>
      </c>
      <c r="V78" s="330">
        <f t="shared" si="96"/>
        <v>1.2194795691937488</v>
      </c>
      <c r="W78" s="330">
        <f t="shared" si="96"/>
        <v>1.1362936758076476</v>
      </c>
      <c r="X78" s="330">
        <f t="shared" si="96"/>
        <v>1.0561811853328797</v>
      </c>
      <c r="Y78" s="330">
        <f t="shared" si="96"/>
        <v>1.0242561616329584</v>
      </c>
      <c r="Z78" s="330">
        <f t="shared" si="96"/>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87"/>
        <v>Articulated Truck</v>
      </c>
      <c r="B79" s="772"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773">
        <v>94743.421151816074</v>
      </c>
      <c r="K79" s="986">
        <f t="shared" si="88"/>
        <v>2046533.9148666237</v>
      </c>
      <c r="L79" s="987">
        <f t="shared" si="89"/>
        <v>2108801.656127146</v>
      </c>
      <c r="M79" s="987">
        <f t="shared" si="90"/>
        <v>2106316.844035977</v>
      </c>
      <c r="N79" s="987">
        <f t="shared" si="91"/>
        <v>2103832.0319448072</v>
      </c>
      <c r="O79" s="987">
        <f t="shared" si="92"/>
        <v>2118782.4370040284</v>
      </c>
      <c r="P79" s="987">
        <f t="shared" si="93"/>
        <v>2133732.84206325</v>
      </c>
      <c r="Q79" s="987">
        <f t="shared" si="94"/>
        <v>2142558.707645128</v>
      </c>
      <c r="R79" s="988">
        <f t="shared" si="95"/>
        <v>2151384.5732270065</v>
      </c>
      <c r="S79" s="330">
        <f t="shared" si="96"/>
        <v>1.4669309461657043</v>
      </c>
      <c r="T79" s="330">
        <f t="shared" si="96"/>
        <v>1.2189128454904861</v>
      </c>
      <c r="U79" s="330">
        <f t="shared" si="96"/>
        <v>1.1868009651673876</v>
      </c>
      <c r="V79" s="330">
        <f t="shared" si="96"/>
        <v>1.1562675014925008</v>
      </c>
      <c r="W79" s="330">
        <f t="shared" si="96"/>
        <v>1.1425677525450162</v>
      </c>
      <c r="X79" s="330">
        <f t="shared" si="96"/>
        <v>1.1293741573044385</v>
      </c>
      <c r="Y79" s="330">
        <f t="shared" si="96"/>
        <v>1.121178247215727</v>
      </c>
      <c r="Z79" s="330">
        <f t="shared" si="96"/>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87"/>
        <v>Articulated Truck</v>
      </c>
      <c r="B80" s="772"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773">
        <v>89944.528950709704</v>
      </c>
      <c r="K80" s="986">
        <f t="shared" si="88"/>
        <v>1934229.4609811425</v>
      </c>
      <c r="L80" s="987">
        <f t="shared" si="89"/>
        <v>2006400.9570075311</v>
      </c>
      <c r="M80" s="987">
        <f t="shared" si="90"/>
        <v>2000610.9653214198</v>
      </c>
      <c r="N80" s="987">
        <f t="shared" si="91"/>
        <v>1994820.9736353087</v>
      </c>
      <c r="O80" s="987">
        <f t="shared" si="92"/>
        <v>2009804.2622660839</v>
      </c>
      <c r="P80" s="987">
        <f t="shared" si="93"/>
        <v>2024787.550896859</v>
      </c>
      <c r="Q80" s="987">
        <f t="shared" si="94"/>
        <v>2033600.6818396156</v>
      </c>
      <c r="R80" s="988">
        <f t="shared" si="95"/>
        <v>2042413.8127823726</v>
      </c>
      <c r="S80" s="330">
        <f t="shared" si="96"/>
        <v>1.3864324615815442</v>
      </c>
      <c r="T80" s="330">
        <f t="shared" si="96"/>
        <v>1.1597240037227237</v>
      </c>
      <c r="U80" s="330">
        <f t="shared" si="96"/>
        <v>1.1272411514396863</v>
      </c>
      <c r="V80" s="330">
        <f t="shared" si="96"/>
        <v>1.0963549504367691</v>
      </c>
      <c r="W80" s="330">
        <f t="shared" si="96"/>
        <v>1.0838005351034481</v>
      </c>
      <c r="X80" s="330">
        <f t="shared" si="96"/>
        <v>1.0717099577487181</v>
      </c>
      <c r="Y80" s="330">
        <f t="shared" si="96"/>
        <v>1.0641616679468318</v>
      </c>
      <c r="Z80" s="330">
        <f t="shared" si="96"/>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87"/>
        <v>Articulated Truck</v>
      </c>
      <c r="B81" s="765"/>
      <c r="E81" s="322"/>
      <c r="J81" s="748"/>
      <c r="K81" s="982"/>
      <c r="R81" s="973"/>
      <c r="T81" s="330"/>
      <c r="U81" s="330"/>
      <c r="V81" s="330"/>
      <c r="W81" s="330"/>
      <c r="X81" s="330"/>
      <c r="Y81" s="330"/>
      <c r="Z81" s="330"/>
    </row>
    <row r="82" spans="1:33" x14ac:dyDescent="0.2">
      <c r="A82" s="322" t="str">
        <f t="shared" si="87"/>
        <v>Articulated Truck</v>
      </c>
      <c r="B82" s="775" t="s">
        <v>832</v>
      </c>
      <c r="C82" s="359" t="s">
        <v>831</v>
      </c>
      <c r="D82" s="358">
        <v>0.08</v>
      </c>
      <c r="E82" s="357"/>
      <c r="J82" s="748"/>
      <c r="K82" s="982"/>
      <c r="R82" s="973"/>
      <c r="AB82" s="356" t="s">
        <v>816</v>
      </c>
    </row>
    <row r="83" spans="1:33" x14ac:dyDescent="0.2">
      <c r="A83" s="322" t="str">
        <f>B83</f>
        <v>Construction Truck</v>
      </c>
      <c r="B83" s="776" t="s">
        <v>733</v>
      </c>
      <c r="C83" s="351">
        <v>2010</v>
      </c>
      <c r="D83" s="351">
        <v>2020</v>
      </c>
      <c r="E83" s="354"/>
      <c r="F83" s="351">
        <v>2030</v>
      </c>
      <c r="G83" s="351"/>
      <c r="H83" s="351">
        <v>2040</v>
      </c>
      <c r="I83" s="351"/>
      <c r="J83" s="752">
        <v>2050</v>
      </c>
      <c r="K83" s="979" t="e">
        <f>#REF!</f>
        <v>#REF!</v>
      </c>
      <c r="L83" s="980" t="e">
        <f>#REF!</f>
        <v>#REF!</v>
      </c>
      <c r="M83" s="980" t="e">
        <f>#REF!</f>
        <v>#REF!</v>
      </c>
      <c r="N83" s="980" t="e">
        <f>#REF!</f>
        <v>#REF!</v>
      </c>
      <c r="O83" s="980" t="e">
        <f>#REF!</f>
        <v>#REF!</v>
      </c>
      <c r="P83" s="980" t="e">
        <f>#REF!</f>
        <v>#REF!</v>
      </c>
      <c r="Q83" s="980" t="e">
        <f>#REF!</f>
        <v>#REF!</v>
      </c>
      <c r="R83" s="981" t="e">
        <f>#REF!</f>
        <v>#REF!</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97">A83</f>
        <v>Construction Truck</v>
      </c>
      <c r="B84" s="777" t="s">
        <v>791</v>
      </c>
      <c r="C84" s="395" t="s">
        <v>193</v>
      </c>
      <c r="D84" s="394" t="s">
        <v>193</v>
      </c>
      <c r="E84" s="393"/>
      <c r="F84" s="392" t="s">
        <v>193</v>
      </c>
      <c r="G84" s="392"/>
      <c r="H84" s="391" t="s">
        <v>193</v>
      </c>
      <c r="I84" s="391"/>
      <c r="J84" s="778" t="s">
        <v>193</v>
      </c>
      <c r="K84" s="982" t="s">
        <v>1293</v>
      </c>
      <c r="L84" s="972" t="s">
        <v>1293</v>
      </c>
      <c r="M84" s="972" t="s">
        <v>1293</v>
      </c>
      <c r="N84" s="972" t="s">
        <v>1293</v>
      </c>
      <c r="O84" s="972" t="s">
        <v>1293</v>
      </c>
      <c r="P84" s="972" t="s">
        <v>1293</v>
      </c>
      <c r="Q84" s="972" t="s">
        <v>1293</v>
      </c>
      <c r="R84" s="973" t="s">
        <v>1293</v>
      </c>
      <c r="AB84" s="389" t="s">
        <v>659</v>
      </c>
      <c r="AC84" s="388" t="s">
        <v>663</v>
      </c>
      <c r="AD84" s="387" t="s">
        <v>663</v>
      </c>
      <c r="AE84" s="386" t="s">
        <v>663</v>
      </c>
      <c r="AF84" s="385" t="s">
        <v>663</v>
      </c>
      <c r="AG84" s="384" t="s">
        <v>663</v>
      </c>
    </row>
    <row r="85" spans="1:33" ht="15" x14ac:dyDescent="0.2">
      <c r="A85" s="322" t="str">
        <f t="shared" si="97"/>
        <v>Construction Truck</v>
      </c>
      <c r="B85" s="779"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780">
        <v>69543.339670011163</v>
      </c>
      <c r="K85" s="986">
        <f t="shared" ref="K85:K92" si="98">C85*$B$2*$L$2</f>
        <v>1137597.3363551064</v>
      </c>
      <c r="L85" s="987">
        <f t="shared" ref="L85:L92" si="99">D85*$B$2*$L$2</f>
        <v>1383918.8651500437</v>
      </c>
      <c r="M85" s="987">
        <f t="shared" ref="M85:M92" si="100">E85*$B$2*$L$2</f>
        <v>1422058.348454529</v>
      </c>
      <c r="N85" s="987">
        <f t="shared" ref="N85:N92" si="101">F85*$B$2*$L$2</f>
        <v>1460197.8317590139</v>
      </c>
      <c r="O85" s="987">
        <f t="shared" ref="O85:O92" si="102">G85*$B$2*$L$2</f>
        <v>1491158.4773601948</v>
      </c>
      <c r="P85" s="987">
        <f t="shared" ref="P85:P92" si="103">H85*$B$2*$L$2</f>
        <v>1522119.1229613756</v>
      </c>
      <c r="Q85" s="987">
        <f t="shared" ref="Q85:Q92" si="104">I85*$B$2*$L$2</f>
        <v>1550636.6440783634</v>
      </c>
      <c r="R85" s="988">
        <f t="shared" ref="R85:R92" si="105">J85*$B$2*$L$2</f>
        <v>1579154.1651953517</v>
      </c>
      <c r="S85" s="330">
        <f t="shared" ref="S85:Z92" si="106">C85/C$85</f>
        <v>1</v>
      </c>
      <c r="T85" s="330">
        <f t="shared" si="106"/>
        <v>1</v>
      </c>
      <c r="U85" s="330">
        <f t="shared" si="106"/>
        <v>1</v>
      </c>
      <c r="V85" s="330">
        <f t="shared" si="106"/>
        <v>1</v>
      </c>
      <c r="W85" s="330">
        <f t="shared" si="106"/>
        <v>1</v>
      </c>
      <c r="X85" s="330">
        <f t="shared" si="106"/>
        <v>1</v>
      </c>
      <c r="Y85" s="330">
        <f t="shared" si="106"/>
        <v>1</v>
      </c>
      <c r="Z85" s="330">
        <f t="shared" si="106"/>
        <v>1</v>
      </c>
      <c r="AB85" s="366" t="s">
        <v>687</v>
      </c>
      <c r="AC85" s="365">
        <v>13.15733229927832</v>
      </c>
      <c r="AD85" s="364">
        <v>12.08372523506852</v>
      </c>
      <c r="AE85" s="363">
        <v>11.084387942527147</v>
      </c>
      <c r="AF85" s="362">
        <v>10.395192174875143</v>
      </c>
      <c r="AG85" s="361">
        <v>9.891747987713071</v>
      </c>
    </row>
    <row r="86" spans="1:33" ht="15" x14ac:dyDescent="0.2">
      <c r="A86" s="322" t="str">
        <f t="shared" si="97"/>
        <v>Construction Truck</v>
      </c>
      <c r="B86" s="779"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780">
        <v>72584.198123675305</v>
      </c>
      <c r="K86" s="986">
        <f t="shared" si="98"/>
        <v>1346607.8828800418</v>
      </c>
      <c r="L86" s="987">
        <f t="shared" si="99"/>
        <v>1554979.3466084711</v>
      </c>
      <c r="M86" s="987">
        <f t="shared" si="100"/>
        <v>1565121.4498371221</v>
      </c>
      <c r="N86" s="987">
        <f t="shared" si="101"/>
        <v>1575263.5530657738</v>
      </c>
      <c r="O86" s="987">
        <f t="shared" si="102"/>
        <v>1592226.4639649913</v>
      </c>
      <c r="P86" s="987">
        <f t="shared" si="103"/>
        <v>1609189.3748642085</v>
      </c>
      <c r="Q86" s="987">
        <f t="shared" si="104"/>
        <v>1628696.8900172515</v>
      </c>
      <c r="R86" s="988">
        <f t="shared" si="105"/>
        <v>1648204.4051702945</v>
      </c>
      <c r="S86" s="330">
        <f t="shared" si="106"/>
        <v>1.1837298135688425</v>
      </c>
      <c r="T86" s="330">
        <f t="shared" si="106"/>
        <v>1.1236058599720591</v>
      </c>
      <c r="U86" s="330">
        <f t="shared" si="106"/>
        <v>1.1006028349948314</v>
      </c>
      <c r="V86" s="330">
        <f t="shared" si="106"/>
        <v>1.0788014601885465</v>
      </c>
      <c r="W86" s="330">
        <f t="shared" si="106"/>
        <v>1.0677781658618322</v>
      </c>
      <c r="X86" s="330">
        <f t="shared" si="106"/>
        <v>1.0572033099048335</v>
      </c>
      <c r="Y86" s="330">
        <f t="shared" si="106"/>
        <v>1.0503407721189795</v>
      </c>
      <c r="Z86" s="330">
        <f t="shared" si="106"/>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97"/>
        <v>Construction Truck</v>
      </c>
      <c r="B87" s="779"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780">
        <v>76325.45168161644</v>
      </c>
      <c r="K87" s="986">
        <f t="shared" si="98"/>
        <v>1342547.3340257551</v>
      </c>
      <c r="L87" s="987">
        <f t="shared" si="99"/>
        <v>1491591.0939995577</v>
      </c>
      <c r="M87" s="987">
        <f t="shared" si="100"/>
        <v>1514135.0535089909</v>
      </c>
      <c r="N87" s="987">
        <f t="shared" si="101"/>
        <v>1536679.0130184239</v>
      </c>
      <c r="O87" s="987">
        <f t="shared" si="102"/>
        <v>1583068.6517735035</v>
      </c>
      <c r="P87" s="987">
        <f t="shared" si="103"/>
        <v>1629458.2905285831</v>
      </c>
      <c r="Q87" s="987">
        <f t="shared" si="104"/>
        <v>1681308.5726067531</v>
      </c>
      <c r="R87" s="988">
        <f t="shared" si="105"/>
        <v>1733158.8546849233</v>
      </c>
      <c r="S87" s="330">
        <f t="shared" si="106"/>
        <v>1.1801604057260844</v>
      </c>
      <c r="T87" s="330">
        <f t="shared" si="106"/>
        <v>1.0778024142606366</v>
      </c>
      <c r="U87" s="330">
        <f t="shared" si="106"/>
        <v>1.0647488938513174</v>
      </c>
      <c r="V87" s="330">
        <f t="shared" si="106"/>
        <v>1.0523772735419539</v>
      </c>
      <c r="W87" s="330">
        <f t="shared" si="106"/>
        <v>1.0616367581372155</v>
      </c>
      <c r="X87" s="330">
        <f t="shared" si="106"/>
        <v>1.0705195578637583</v>
      </c>
      <c r="Y87" s="330">
        <f t="shared" si="106"/>
        <v>1.0842698571760221</v>
      </c>
      <c r="Z87" s="330">
        <f t="shared" si="106"/>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97"/>
        <v>Construction Truck</v>
      </c>
      <c r="B88" s="779"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780">
        <v>74071.864505954203</v>
      </c>
      <c r="K88" s="986">
        <f t="shared" si="98"/>
        <v>1414182.1605491259</v>
      </c>
      <c r="L88" s="987">
        <f t="shared" si="99"/>
        <v>1502839.0430894408</v>
      </c>
      <c r="M88" s="987">
        <f t="shared" si="100"/>
        <v>1511859.3318245267</v>
      </c>
      <c r="N88" s="987">
        <f t="shared" si="101"/>
        <v>1520879.6205596121</v>
      </c>
      <c r="O88" s="987">
        <f t="shared" si="102"/>
        <v>1555612.3634689415</v>
      </c>
      <c r="P88" s="987">
        <f t="shared" si="103"/>
        <v>1590345.1063782712</v>
      </c>
      <c r="Q88" s="987">
        <f t="shared" si="104"/>
        <v>1636165.3349091376</v>
      </c>
      <c r="R88" s="988">
        <f t="shared" si="105"/>
        <v>1681985.5634400039</v>
      </c>
      <c r="S88" s="330">
        <f t="shared" si="106"/>
        <v>1.2431306890012639</v>
      </c>
      <c r="T88" s="330">
        <f t="shared" si="106"/>
        <v>1.0859300215742804</v>
      </c>
      <c r="U88" s="330">
        <f t="shared" si="106"/>
        <v>1.0631485926492341</v>
      </c>
      <c r="V88" s="330">
        <f t="shared" si="106"/>
        <v>1.0415572379856901</v>
      </c>
      <c r="W88" s="330">
        <f t="shared" si="106"/>
        <v>1.0432240349280983</v>
      </c>
      <c r="X88" s="330">
        <f t="shared" si="106"/>
        <v>1.0448230249444326</v>
      </c>
      <c r="Y88" s="330">
        <f t="shared" si="106"/>
        <v>1.0551571453940514</v>
      </c>
      <c r="Z88" s="330">
        <f t="shared" si="106"/>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97"/>
        <v>Construction Truck</v>
      </c>
      <c r="B89" s="779" t="s">
        <v>692</v>
      </c>
      <c r="C89" s="383"/>
      <c r="D89" s="382"/>
      <c r="E89" s="381"/>
      <c r="F89" s="380"/>
      <c r="G89" s="380"/>
      <c r="H89" s="379"/>
      <c r="I89" s="379"/>
      <c r="J89" s="781"/>
      <c r="K89" s="986">
        <f t="shared" si="98"/>
        <v>0</v>
      </c>
      <c r="L89" s="987">
        <f t="shared" si="99"/>
        <v>0</v>
      </c>
      <c r="M89" s="987">
        <f t="shared" si="100"/>
        <v>0</v>
      </c>
      <c r="N89" s="987">
        <f t="shared" si="101"/>
        <v>0</v>
      </c>
      <c r="O89" s="987">
        <f t="shared" si="102"/>
        <v>0</v>
      </c>
      <c r="P89" s="987">
        <f t="shared" si="103"/>
        <v>0</v>
      </c>
      <c r="Q89" s="987">
        <f t="shared" si="104"/>
        <v>0</v>
      </c>
      <c r="R89" s="988">
        <f t="shared" si="105"/>
        <v>0</v>
      </c>
      <c r="S89" s="330">
        <f t="shared" si="106"/>
        <v>0</v>
      </c>
      <c r="T89" s="330">
        <f t="shared" si="106"/>
        <v>0</v>
      </c>
      <c r="U89" s="330">
        <f t="shared" si="106"/>
        <v>0</v>
      </c>
      <c r="V89" s="330">
        <f t="shared" si="106"/>
        <v>0</v>
      </c>
      <c r="W89" s="330">
        <f t="shared" si="106"/>
        <v>0</v>
      </c>
      <c r="X89" s="330">
        <f t="shared" si="106"/>
        <v>0</v>
      </c>
      <c r="Y89" s="330">
        <f t="shared" si="106"/>
        <v>0</v>
      </c>
      <c r="Z89" s="330">
        <f t="shared" si="106"/>
        <v>0</v>
      </c>
      <c r="AB89" s="366" t="s">
        <v>692</v>
      </c>
      <c r="AC89" s="377"/>
      <c r="AD89" s="376"/>
      <c r="AE89" s="375"/>
      <c r="AF89" s="374"/>
      <c r="AG89" s="373"/>
    </row>
    <row r="90" spans="1:33" ht="15" x14ac:dyDescent="0.2">
      <c r="A90" s="322" t="str">
        <f t="shared" si="97"/>
        <v>Construction Truck</v>
      </c>
      <c r="B90" s="779"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780">
        <v>72495.273137682903</v>
      </c>
      <c r="K90" s="986">
        <f t="shared" si="98"/>
        <v>6361518.0396460397</v>
      </c>
      <c r="L90" s="987">
        <f t="shared" si="99"/>
        <v>2831510.338498245</v>
      </c>
      <c r="M90" s="987">
        <f t="shared" si="100"/>
        <v>2272848.7879920425</v>
      </c>
      <c r="N90" s="987">
        <f t="shared" si="101"/>
        <v>1714187.2374858395</v>
      </c>
      <c r="O90" s="987">
        <f t="shared" si="102"/>
        <v>1667274.6287288663</v>
      </c>
      <c r="P90" s="987">
        <f t="shared" si="103"/>
        <v>1620362.0199718936</v>
      </c>
      <c r="Q90" s="987">
        <f t="shared" si="104"/>
        <v>1633273.5812916199</v>
      </c>
      <c r="R90" s="988">
        <f t="shared" si="105"/>
        <v>1646185.1426113467</v>
      </c>
      <c r="S90" s="330">
        <f t="shared" si="106"/>
        <v>5.5920648162103834</v>
      </c>
      <c r="T90" s="330">
        <f t="shared" si="106"/>
        <v>2.0460089169976405</v>
      </c>
      <c r="U90" s="330">
        <f t="shared" si="106"/>
        <v>1.5982809639717943</v>
      </c>
      <c r="V90" s="330">
        <f t="shared" si="106"/>
        <v>1.1739417770678782</v>
      </c>
      <c r="W90" s="330">
        <f t="shared" si="106"/>
        <v>1.1181069309819107</v>
      </c>
      <c r="X90" s="330">
        <f t="shared" si="106"/>
        <v>1.0645435009182334</v>
      </c>
      <c r="Y90" s="330">
        <f t="shared" si="106"/>
        <v>1.0532922638767981</v>
      </c>
      <c r="Z90" s="330">
        <f t="shared" si="106"/>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97"/>
        <v>Construction Truck</v>
      </c>
      <c r="B91" s="779"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780">
        <v>79269.06805478195</v>
      </c>
      <c r="K91" s="986">
        <f t="shared" si="98"/>
        <v>1696230.6292281745</v>
      </c>
      <c r="L91" s="987">
        <f t="shared" si="99"/>
        <v>1732741.1750382918</v>
      </c>
      <c r="M91" s="987">
        <f t="shared" si="100"/>
        <v>1737282.8772358573</v>
      </c>
      <c r="N91" s="987">
        <f t="shared" si="101"/>
        <v>1741824.5794334223</v>
      </c>
      <c r="O91" s="987">
        <f t="shared" si="102"/>
        <v>1754433.6167412347</v>
      </c>
      <c r="P91" s="987">
        <f t="shared" si="103"/>
        <v>1767042.6540490473</v>
      </c>
      <c r="Q91" s="987">
        <f t="shared" si="104"/>
        <v>1783521.8129362077</v>
      </c>
      <c r="R91" s="988">
        <f t="shared" si="105"/>
        <v>1800000.9718233682</v>
      </c>
      <c r="S91" s="330">
        <f t="shared" si="106"/>
        <v>1.4910641709683894</v>
      </c>
      <c r="T91" s="330">
        <f t="shared" si="106"/>
        <v>1.2520540175239454</v>
      </c>
      <c r="U91" s="330">
        <f t="shared" si="106"/>
        <v>1.2216677881916094</v>
      </c>
      <c r="V91" s="330">
        <f t="shared" si="106"/>
        <v>1.1928688986855631</v>
      </c>
      <c r="W91" s="330">
        <f t="shared" si="106"/>
        <v>1.1765574507192</v>
      </c>
      <c r="X91" s="330">
        <f t="shared" si="106"/>
        <v>1.1609095683727815</v>
      </c>
      <c r="Y91" s="330">
        <f t="shared" si="106"/>
        <v>1.1501868085906495</v>
      </c>
      <c r="Z91" s="330">
        <f t="shared" si="106"/>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97"/>
        <v>Construction Truck</v>
      </c>
      <c r="B92" s="779"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780">
        <v>76260.254204133933</v>
      </c>
      <c r="K92" s="986">
        <f t="shared" si="98"/>
        <v>1625139.9515696019</v>
      </c>
      <c r="L92" s="987">
        <f t="shared" si="99"/>
        <v>1665230.2912193926</v>
      </c>
      <c r="M92" s="987">
        <f t="shared" si="100"/>
        <v>1669000.4511277273</v>
      </c>
      <c r="N92" s="987">
        <f t="shared" si="101"/>
        <v>1672770.6110360618</v>
      </c>
      <c r="O92" s="987">
        <f t="shared" si="102"/>
        <v>1685630.342908764</v>
      </c>
      <c r="P92" s="987">
        <f t="shared" si="103"/>
        <v>1698490.0747814665</v>
      </c>
      <c r="Q92" s="987">
        <f t="shared" si="104"/>
        <v>1715084.2294452777</v>
      </c>
      <c r="R92" s="988">
        <f t="shared" si="105"/>
        <v>1731678.3841090889</v>
      </c>
      <c r="S92" s="330">
        <f t="shared" si="106"/>
        <v>1.4285722193905583</v>
      </c>
      <c r="T92" s="330">
        <f t="shared" si="106"/>
        <v>1.2032716173999471</v>
      </c>
      <c r="U92" s="330">
        <f t="shared" si="106"/>
        <v>1.1736511746803999</v>
      </c>
      <c r="V92" s="330">
        <f t="shared" si="106"/>
        <v>1.1455780680217651</v>
      </c>
      <c r="W92" s="330">
        <f t="shared" si="106"/>
        <v>1.1304166314319881</v>
      </c>
      <c r="X92" s="330">
        <f t="shared" si="106"/>
        <v>1.1158719768771779</v>
      </c>
      <c r="Y92" s="330">
        <f t="shared" si="106"/>
        <v>1.1060516569080923</v>
      </c>
      <c r="Z92" s="330">
        <f t="shared" si="106"/>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97"/>
        <v>Construction Truck</v>
      </c>
      <c r="B93" s="765"/>
      <c r="J93" s="748"/>
      <c r="K93" s="982"/>
      <c r="R93" s="973"/>
    </row>
    <row r="94" spans="1:33" x14ac:dyDescent="0.2">
      <c r="A94" s="322" t="str">
        <f t="shared" si="97"/>
        <v>Construction Truck</v>
      </c>
      <c r="B94" s="782" t="s">
        <v>832</v>
      </c>
      <c r="C94" s="359" t="s">
        <v>831</v>
      </c>
      <c r="D94" s="358">
        <v>0.08</v>
      </c>
      <c r="E94" s="357"/>
      <c r="J94" s="748"/>
      <c r="K94" s="982" t="s">
        <v>1462</v>
      </c>
      <c r="L94" s="1012">
        <v>0.97</v>
      </c>
      <c r="R94" s="973"/>
      <c r="AB94" s="356" t="s">
        <v>816</v>
      </c>
    </row>
    <row r="95" spans="1:33" x14ac:dyDescent="0.2">
      <c r="A95" s="322" t="str">
        <f>B95</f>
        <v>Bus</v>
      </c>
      <c r="B95" s="783" t="s">
        <v>60</v>
      </c>
      <c r="C95" s="351">
        <v>2010</v>
      </c>
      <c r="D95" s="351">
        <v>2020</v>
      </c>
      <c r="E95" s="354"/>
      <c r="F95" s="351">
        <v>2030</v>
      </c>
      <c r="G95" s="351"/>
      <c r="H95" s="351">
        <v>2040</v>
      </c>
      <c r="I95" s="351"/>
      <c r="J95" s="752">
        <v>2050</v>
      </c>
      <c r="K95" s="979" t="e">
        <f>#REF!</f>
        <v>#REF!</v>
      </c>
      <c r="L95" s="980" t="e">
        <f>#REF!</f>
        <v>#REF!</v>
      </c>
      <c r="M95" s="980" t="e">
        <f>#REF!</f>
        <v>#REF!</v>
      </c>
      <c r="N95" s="980" t="e">
        <f>#REF!</f>
        <v>#REF!</v>
      </c>
      <c r="O95" s="980" t="e">
        <f>#REF!</f>
        <v>#REF!</v>
      </c>
      <c r="P95" s="980" t="e">
        <f>#REF!</f>
        <v>#REF!</v>
      </c>
      <c r="Q95" s="980" t="e">
        <f>#REF!</f>
        <v>#REF!</v>
      </c>
      <c r="R95" s="981" t="e">
        <f>#REF!</f>
        <v>#REF!</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107">A95</f>
        <v>Bus</v>
      </c>
      <c r="B96" s="784" t="s">
        <v>791</v>
      </c>
      <c r="C96" s="349" t="s">
        <v>193</v>
      </c>
      <c r="D96" s="348" t="s">
        <v>193</v>
      </c>
      <c r="E96" s="347"/>
      <c r="F96" s="346" t="s">
        <v>193</v>
      </c>
      <c r="G96" s="346"/>
      <c r="H96" s="345" t="s">
        <v>193</v>
      </c>
      <c r="I96" s="345"/>
      <c r="J96" s="785" t="s">
        <v>193</v>
      </c>
      <c r="K96" s="982" t="s">
        <v>1293</v>
      </c>
      <c r="L96" s="972" t="s">
        <v>1293</v>
      </c>
      <c r="M96" s="972" t="s">
        <v>1293</v>
      </c>
      <c r="N96" s="972" t="s">
        <v>1293</v>
      </c>
      <c r="O96" s="972" t="s">
        <v>1293</v>
      </c>
      <c r="P96" s="972" t="s">
        <v>1293</v>
      </c>
      <c r="Q96" s="972" t="s">
        <v>1293</v>
      </c>
      <c r="R96" s="973" t="s">
        <v>1293</v>
      </c>
      <c r="AB96" s="343" t="s">
        <v>659</v>
      </c>
      <c r="AC96" s="342" t="s">
        <v>663</v>
      </c>
      <c r="AD96" s="341" t="s">
        <v>663</v>
      </c>
      <c r="AE96" s="340" t="s">
        <v>663</v>
      </c>
      <c r="AF96" s="339" t="s">
        <v>663</v>
      </c>
      <c r="AG96" s="338" t="s">
        <v>663</v>
      </c>
    </row>
    <row r="97" spans="1:33" ht="15" x14ac:dyDescent="0.2">
      <c r="A97" s="322" t="str">
        <f t="shared" si="107"/>
        <v>Bus</v>
      </c>
      <c r="B97" s="786" t="s">
        <v>687</v>
      </c>
      <c r="C97" s="336">
        <v>104585.67980691875</v>
      </c>
      <c r="D97" s="335">
        <v>113077.07610471442</v>
      </c>
      <c r="E97" s="332">
        <f t="shared" ref="E97:E104" si="108">AVERAGE(D97,F97)</f>
        <v>115188.39593625024</v>
      </c>
      <c r="F97" s="334">
        <v>117299.71576778605</v>
      </c>
      <c r="G97" s="332">
        <f t="shared" ref="G97:G104" si="109">AVERAGE(F97,H97)</f>
        <v>118657.16814124331</v>
      </c>
      <c r="H97" s="333">
        <v>120014.62051470055</v>
      </c>
      <c r="I97" s="332">
        <f t="shared" ref="I97:I104" si="110">AVERAGE(H97,J97)</f>
        <v>121564.25896065209</v>
      </c>
      <c r="J97" s="787">
        <v>123113.89740660363</v>
      </c>
      <c r="K97" s="986">
        <f t="shared" ref="K97:K104" si="111">C97*$B$2*$L$2</f>
        <v>2374877.4889236866</v>
      </c>
      <c r="L97" s="987">
        <f t="shared" ref="L97:L104" si="112">D97*$B$2*$L$2</f>
        <v>2567695.72134704</v>
      </c>
      <c r="M97" s="987">
        <f t="shared" ref="M97:M104" si="113">E97*$B$2*$L$2</f>
        <v>2615638.479371747</v>
      </c>
      <c r="N97" s="987">
        <f t="shared" ref="N97:N104" si="114">F97*$B$2*$L$2</f>
        <v>2663581.2373964535</v>
      </c>
      <c r="O97" s="987">
        <f t="shared" ref="O97:O104" si="115">G97*$B$2*$L$2</f>
        <v>2694405.5633458691</v>
      </c>
      <c r="P97" s="987">
        <f t="shared" ref="P97:P104" si="116">H97*$B$2*$L$2</f>
        <v>2725229.8892952842</v>
      </c>
      <c r="Q97" s="987">
        <f t="shared" ref="Q97:Q104" si="117">I97*$B$2*$L$2</f>
        <v>2760418.2771133413</v>
      </c>
      <c r="R97" s="988">
        <f t="shared" ref="R97:R104" si="118">J97*$B$2*$L$2</f>
        <v>2795606.6649313984</v>
      </c>
      <c r="S97" s="330">
        <f t="shared" ref="S97:Z104" si="119">C97/C$97</f>
        <v>1</v>
      </c>
      <c r="T97" s="330">
        <f t="shared" si="119"/>
        <v>1</v>
      </c>
      <c r="U97" s="330">
        <f t="shared" si="119"/>
        <v>1</v>
      </c>
      <c r="V97" s="330">
        <f t="shared" si="119"/>
        <v>1</v>
      </c>
      <c r="W97" s="330">
        <f t="shared" si="119"/>
        <v>1</v>
      </c>
      <c r="X97" s="330">
        <f t="shared" si="119"/>
        <v>1</v>
      </c>
      <c r="Y97" s="330">
        <f t="shared" si="119"/>
        <v>1</v>
      </c>
      <c r="Z97" s="330">
        <f t="shared" si="119"/>
        <v>1</v>
      </c>
      <c r="AB97" s="329" t="s">
        <v>687</v>
      </c>
      <c r="AC97" s="328">
        <v>13.994490402622045</v>
      </c>
      <c r="AD97" s="327">
        <v>13.191801941531427</v>
      </c>
      <c r="AE97" s="326">
        <v>11.734984998533537</v>
      </c>
      <c r="AF97" s="325">
        <v>11.220071176529693</v>
      </c>
      <c r="AG97" s="324">
        <v>10.791662866044483</v>
      </c>
    </row>
    <row r="98" spans="1:33" ht="15" x14ac:dyDescent="0.2">
      <c r="A98" s="322" t="str">
        <f t="shared" si="107"/>
        <v>Bus</v>
      </c>
      <c r="B98" s="786" t="s">
        <v>829</v>
      </c>
      <c r="C98" s="336">
        <v>112781.74324159419</v>
      </c>
      <c r="D98" s="335">
        <v>119843.62290240868</v>
      </c>
      <c r="E98" s="332">
        <f t="shared" si="108"/>
        <v>120931.82437835461</v>
      </c>
      <c r="F98" s="334">
        <v>122020.02585430053</v>
      </c>
      <c r="G98" s="332">
        <f t="shared" si="109"/>
        <v>122869.25200041107</v>
      </c>
      <c r="H98" s="333">
        <v>123718.47814652159</v>
      </c>
      <c r="I98" s="332">
        <f t="shared" si="110"/>
        <v>124937.38050446415</v>
      </c>
      <c r="J98" s="787">
        <v>126156.2828624067</v>
      </c>
      <c r="K98" s="986">
        <f t="shared" si="111"/>
        <v>2560989.4555403017</v>
      </c>
      <c r="L98" s="987">
        <f t="shared" si="112"/>
        <v>2721346.9640148692</v>
      </c>
      <c r="M98" s="987">
        <f t="shared" si="113"/>
        <v>2746057.2799339187</v>
      </c>
      <c r="N98" s="987">
        <f t="shared" si="114"/>
        <v>2770767.5958529678</v>
      </c>
      <c r="O98" s="987">
        <f t="shared" si="115"/>
        <v>2790051.3836633707</v>
      </c>
      <c r="P98" s="987">
        <f t="shared" si="116"/>
        <v>2809335.1714737732</v>
      </c>
      <c r="Q98" s="987">
        <f t="shared" si="117"/>
        <v>2837013.375377194</v>
      </c>
      <c r="R98" s="988">
        <f t="shared" si="118"/>
        <v>2864691.5792806144</v>
      </c>
      <c r="S98" s="330">
        <f t="shared" si="119"/>
        <v>1.0783669757638583</v>
      </c>
      <c r="T98" s="330">
        <f t="shared" si="119"/>
        <v>1.0598401287934625</v>
      </c>
      <c r="U98" s="330">
        <f t="shared" si="119"/>
        <v>1.0498611721729592</v>
      </c>
      <c r="V98" s="330">
        <f t="shared" si="119"/>
        <v>1.0402414452210533</v>
      </c>
      <c r="W98" s="330">
        <f t="shared" si="119"/>
        <v>1.0354979300884202</v>
      </c>
      <c r="X98" s="330">
        <f t="shared" si="119"/>
        <v>1.0308617201465662</v>
      </c>
      <c r="Y98" s="330">
        <f t="shared" si="119"/>
        <v>1.0277476420508092</v>
      </c>
      <c r="Z98" s="330">
        <f t="shared" si="119"/>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107"/>
        <v>Bus</v>
      </c>
      <c r="B99" s="786" t="s">
        <v>828</v>
      </c>
      <c r="C99" s="336">
        <v>113443.27980691874</v>
      </c>
      <c r="D99" s="335">
        <v>117649.86503170698</v>
      </c>
      <c r="E99" s="332">
        <f t="shared" si="108"/>
        <v>118979.95394617732</v>
      </c>
      <c r="F99" s="334">
        <v>120310.04286064766</v>
      </c>
      <c r="G99" s="332">
        <f t="shared" si="109"/>
        <v>121286.87552080402</v>
      </c>
      <c r="H99" s="333">
        <v>122263.7081809604</v>
      </c>
      <c r="I99" s="332">
        <f t="shared" si="110"/>
        <v>123565.6368522952</v>
      </c>
      <c r="J99" s="787">
        <v>124867.56552362998</v>
      </c>
      <c r="K99" s="986">
        <f t="shared" si="111"/>
        <v>2576011.2854886237</v>
      </c>
      <c r="L99" s="987">
        <f t="shared" si="112"/>
        <v>2671532.2456624438</v>
      </c>
      <c r="M99" s="987">
        <f t="shared" si="113"/>
        <v>2701735.2163470937</v>
      </c>
      <c r="N99" s="987">
        <f t="shared" si="114"/>
        <v>2731938.1870317436</v>
      </c>
      <c r="O99" s="987">
        <f t="shared" si="115"/>
        <v>2754119.5975205754</v>
      </c>
      <c r="P99" s="987">
        <f t="shared" si="116"/>
        <v>2776301.0080094072</v>
      </c>
      <c r="Q99" s="987">
        <f t="shared" si="117"/>
        <v>2805864.5304672192</v>
      </c>
      <c r="R99" s="988">
        <f t="shared" si="118"/>
        <v>2835428.0529250302</v>
      </c>
      <c r="S99" s="330">
        <f t="shared" si="119"/>
        <v>1.084692283076923</v>
      </c>
      <c r="T99" s="330">
        <f t="shared" si="119"/>
        <v>1.0404395752394406</v>
      </c>
      <c r="U99" s="330">
        <f t="shared" si="119"/>
        <v>1.0329161455814133</v>
      </c>
      <c r="V99" s="330">
        <f t="shared" si="119"/>
        <v>1.0256635497635906</v>
      </c>
      <c r="W99" s="330">
        <f t="shared" si="119"/>
        <v>1.0221622293937644</v>
      </c>
      <c r="X99" s="330">
        <f t="shared" si="119"/>
        <v>1.0187401139679007</v>
      </c>
      <c r="Y99" s="330">
        <f t="shared" si="119"/>
        <v>1.0164635387798555</v>
      </c>
      <c r="Z99" s="330">
        <f t="shared" si="119"/>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107"/>
        <v>Bus</v>
      </c>
      <c r="B100" s="786" t="s">
        <v>689</v>
      </c>
      <c r="C100" s="336">
        <v>116351.42843540911</v>
      </c>
      <c r="D100" s="335">
        <v>119377.37392363261</v>
      </c>
      <c r="E100" s="332">
        <f t="shared" si="108"/>
        <v>119821.79555029134</v>
      </c>
      <c r="F100" s="334">
        <v>120266.21717695009</v>
      </c>
      <c r="G100" s="332">
        <f t="shared" si="109"/>
        <v>120754.76021338374</v>
      </c>
      <c r="H100" s="333">
        <v>121243.30324981739</v>
      </c>
      <c r="I100" s="332">
        <f t="shared" si="110"/>
        <v>122275.5039036619</v>
      </c>
      <c r="J100" s="787">
        <v>123307.70455750641</v>
      </c>
      <c r="K100" s="986">
        <f t="shared" si="111"/>
        <v>2642048.0194372535</v>
      </c>
      <c r="L100" s="987">
        <f t="shared" si="112"/>
        <v>2710759.6235111486</v>
      </c>
      <c r="M100" s="987">
        <f t="shared" si="113"/>
        <v>2720851.3197996956</v>
      </c>
      <c r="N100" s="987">
        <f t="shared" si="114"/>
        <v>2730943.0160882436</v>
      </c>
      <c r="O100" s="987">
        <f t="shared" si="115"/>
        <v>2742036.5985150025</v>
      </c>
      <c r="P100" s="987">
        <f t="shared" si="116"/>
        <v>2753130.1809417619</v>
      </c>
      <c r="Q100" s="987">
        <f t="shared" si="117"/>
        <v>2776568.8591756579</v>
      </c>
      <c r="R100" s="988">
        <f t="shared" si="118"/>
        <v>2800007.5374095538</v>
      </c>
      <c r="S100" s="330">
        <f t="shared" si="119"/>
        <v>1.1124986580401039</v>
      </c>
      <c r="T100" s="330">
        <f t="shared" si="119"/>
        <v>1.0557168440850366</v>
      </c>
      <c r="U100" s="330">
        <f t="shared" si="119"/>
        <v>1.0402245345668795</v>
      </c>
      <c r="V100" s="330">
        <f t="shared" si="119"/>
        <v>1.0252899283663799</v>
      </c>
      <c r="W100" s="330">
        <f t="shared" si="119"/>
        <v>1.0176777526802558</v>
      </c>
      <c r="X100" s="330">
        <f t="shared" si="119"/>
        <v>1.0102377754464202</v>
      </c>
      <c r="Y100" s="330">
        <f t="shared" si="119"/>
        <v>1.005850773484664</v>
      </c>
      <c r="Z100" s="330">
        <f t="shared" si="119"/>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107"/>
        <v>Bus</v>
      </c>
      <c r="B101" s="786" t="s">
        <v>692</v>
      </c>
      <c r="C101" s="336">
        <v>210032.009662809</v>
      </c>
      <c r="D101" s="335">
        <v>160147.05094959697</v>
      </c>
      <c r="E101" s="332">
        <f t="shared" si="108"/>
        <v>151867.75591154594</v>
      </c>
      <c r="F101" s="334">
        <v>143588.46087349489</v>
      </c>
      <c r="G101" s="332">
        <f t="shared" si="109"/>
        <v>144564.87323401903</v>
      </c>
      <c r="H101" s="333">
        <v>145541.28559454315</v>
      </c>
      <c r="I101" s="332">
        <f t="shared" si="110"/>
        <v>146467.9438683865</v>
      </c>
      <c r="J101" s="787">
        <v>147394.60214222985</v>
      </c>
      <c r="K101" s="986">
        <f t="shared" si="111"/>
        <v>4769298.1737315217</v>
      </c>
      <c r="L101" s="987">
        <f t="shared" si="112"/>
        <v>3636536.3491432052</v>
      </c>
      <c r="M101" s="987">
        <f t="shared" si="113"/>
        <v>3448534.4023535051</v>
      </c>
      <c r="N101" s="987">
        <f t="shared" si="114"/>
        <v>3260532.4555638046</v>
      </c>
      <c r="O101" s="987">
        <f t="shared" si="115"/>
        <v>3282704.3221061127</v>
      </c>
      <c r="P101" s="987">
        <f t="shared" si="116"/>
        <v>3304876.1886484213</v>
      </c>
      <c r="Q101" s="987">
        <f t="shared" si="117"/>
        <v>3325918.2651405209</v>
      </c>
      <c r="R101" s="988">
        <f t="shared" si="118"/>
        <v>3346960.3416326209</v>
      </c>
      <c r="S101" s="330">
        <f t="shared" si="119"/>
        <v>2.008229138545166</v>
      </c>
      <c r="T101" s="330">
        <f t="shared" si="119"/>
        <v>1.4162645203285382</v>
      </c>
      <c r="U101" s="330">
        <f t="shared" si="119"/>
        <v>1.3184292973017482</v>
      </c>
      <c r="V101" s="330">
        <f t="shared" si="119"/>
        <v>1.2241160171074217</v>
      </c>
      <c r="W101" s="330">
        <f t="shared" si="119"/>
        <v>1.2183408343433288</v>
      </c>
      <c r="X101" s="330">
        <f t="shared" si="119"/>
        <v>1.2126962945878401</v>
      </c>
      <c r="Y101" s="330">
        <f t="shared" si="119"/>
        <v>1.2048602535042412</v>
      </c>
      <c r="Z101" s="330">
        <f t="shared" si="119"/>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107"/>
        <v>Bus</v>
      </c>
      <c r="B102" s="786" t="s">
        <v>699</v>
      </c>
      <c r="C102" s="336">
        <v>277340.96449320531</v>
      </c>
      <c r="D102" s="335">
        <v>162518.18115955184</v>
      </c>
      <c r="E102" s="332">
        <f t="shared" si="108"/>
        <v>144863.97068257336</v>
      </c>
      <c r="F102" s="334">
        <v>127209.76020559487</v>
      </c>
      <c r="G102" s="332">
        <f t="shared" si="109"/>
        <v>125207.46042029635</v>
      </c>
      <c r="H102" s="333">
        <v>123205.16063499784</v>
      </c>
      <c r="I102" s="332">
        <f t="shared" si="110"/>
        <v>122962.68940722018</v>
      </c>
      <c r="J102" s="787">
        <v>122720.21817944253</v>
      </c>
      <c r="K102" s="986">
        <f t="shared" si="111"/>
        <v>6297715.0843907837</v>
      </c>
      <c r="L102" s="987">
        <f>L101*$K$102/$K$101*($L$94^(COUNT($K101:L101)-1))</f>
        <v>4657878.9828369115</v>
      </c>
      <c r="M102" s="987">
        <f>M101*$K$102/$K$101*($L$94^(COUNT($K101:M101)-1))</f>
        <v>4284563.3154619941</v>
      </c>
      <c r="N102" s="987">
        <f>N101*$K$102/$K$101*($L$94^(COUNT($K101:N101)-1))</f>
        <v>3929454.4970450173</v>
      </c>
      <c r="O102" s="987">
        <f>O101*$K$102/$K$101*($L$94^(COUNT($K101:O101)-1))</f>
        <v>3837489.8313890011</v>
      </c>
      <c r="P102" s="987">
        <f>P101*$K$102/$K$101*($L$94^(COUNT($K101:P101)-1))</f>
        <v>3747506.5366250062</v>
      </c>
      <c r="Q102" s="987">
        <f>Q101*$K$102/$K$101*($L$94^(COUNT($K101:Q101)-1))</f>
        <v>3658225.8262062594</v>
      </c>
      <c r="R102" s="987">
        <f>R101*$K$102/$K$101*($L$94^(COUNT($K101:R101)-1))</f>
        <v>3570929.2025296749</v>
      </c>
      <c r="S102" s="330">
        <f t="shared" si="119"/>
        <v>2.6518062989619553</v>
      </c>
      <c r="T102" s="330">
        <f t="shared" si="119"/>
        <v>1.4372336706783322</v>
      </c>
      <c r="U102" s="330">
        <f t="shared" si="119"/>
        <v>1.2576264258662544</v>
      </c>
      <c r="V102" s="330">
        <f t="shared" si="119"/>
        <v>1.0844848120299573</v>
      </c>
      <c r="W102" s="330">
        <f t="shared" si="119"/>
        <v>1.0552035109354365</v>
      </c>
      <c r="X102" s="330">
        <f t="shared" si="119"/>
        <v>1.0265845953319201</v>
      </c>
      <c r="Y102" s="330">
        <f t="shared" si="119"/>
        <v>1.0115036315651029</v>
      </c>
      <c r="Z102" s="330">
        <f t="shared" si="119"/>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107"/>
        <v>Bus</v>
      </c>
      <c r="B103" s="786" t="s">
        <v>827</v>
      </c>
      <c r="C103" s="336">
        <v>118745.67980691875</v>
      </c>
      <c r="D103" s="335">
        <v>121980.88232500074</v>
      </c>
      <c r="E103" s="332">
        <f t="shared" si="108"/>
        <v>123266.32101324902</v>
      </c>
      <c r="F103" s="334">
        <v>124551.75970149731</v>
      </c>
      <c r="G103" s="332">
        <f t="shared" si="109"/>
        <v>125552.84139797505</v>
      </c>
      <c r="H103" s="333">
        <v>126553.92309445278</v>
      </c>
      <c r="I103" s="332">
        <f t="shared" si="110"/>
        <v>127857.69303261595</v>
      </c>
      <c r="J103" s="787">
        <v>129161.46297077912</v>
      </c>
      <c r="K103" s="986">
        <f t="shared" si="111"/>
        <v>2696415.4404409723</v>
      </c>
      <c r="L103" s="987">
        <f t="shared" si="112"/>
        <v>2769878.7448482919</v>
      </c>
      <c r="M103" s="987">
        <f t="shared" si="113"/>
        <v>2799067.8213045364</v>
      </c>
      <c r="N103" s="987">
        <f t="shared" si="114"/>
        <v>2828256.897760781</v>
      </c>
      <c r="O103" s="987">
        <f t="shared" si="115"/>
        <v>2850988.9428163529</v>
      </c>
      <c r="P103" s="987">
        <f t="shared" si="116"/>
        <v>2873720.9878719253</v>
      </c>
      <c r="Q103" s="987">
        <f t="shared" si="117"/>
        <v>2903326.3208639305</v>
      </c>
      <c r="R103" s="988">
        <f t="shared" si="118"/>
        <v>2932931.6538559366</v>
      </c>
      <c r="S103" s="330">
        <f t="shared" si="119"/>
        <v>1.1353913846153847</v>
      </c>
      <c r="T103" s="330">
        <f t="shared" si="119"/>
        <v>1.0787410368839128</v>
      </c>
      <c r="U103" s="330">
        <f t="shared" si="119"/>
        <v>1.0701279413724054</v>
      </c>
      <c r="V103" s="330">
        <f t="shared" si="119"/>
        <v>1.061824906277419</v>
      </c>
      <c r="W103" s="330">
        <f t="shared" si="119"/>
        <v>1.0581142577793825</v>
      </c>
      <c r="X103" s="330">
        <f t="shared" si="119"/>
        <v>1.054487549531111</v>
      </c>
      <c r="Y103" s="330">
        <f t="shared" si="119"/>
        <v>1.0517704309290523</v>
      </c>
      <c r="Z103" s="330">
        <f t="shared" si="119"/>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107"/>
        <v>Bus</v>
      </c>
      <c r="B104" s="786" t="s">
        <v>700</v>
      </c>
      <c r="C104" s="336">
        <v>116405.99579555681</v>
      </c>
      <c r="D104" s="335">
        <v>119894.70049649201</v>
      </c>
      <c r="E104" s="332">
        <f t="shared" si="108"/>
        <v>121154.48362723406</v>
      </c>
      <c r="F104" s="334">
        <v>122414.26675797613</v>
      </c>
      <c r="G104" s="332">
        <f t="shared" si="109"/>
        <v>123434.96810514023</v>
      </c>
      <c r="H104" s="333">
        <v>124455.66945230431</v>
      </c>
      <c r="I104" s="332">
        <f t="shared" si="110"/>
        <v>125768.60854731036</v>
      </c>
      <c r="J104" s="787">
        <v>127081.54764231641</v>
      </c>
      <c r="K104" s="986">
        <f t="shared" si="111"/>
        <v>2643287.1068102475</v>
      </c>
      <c r="L104" s="987">
        <f t="shared" si="112"/>
        <v>2722506.8075861959</v>
      </c>
      <c r="M104" s="987">
        <f t="shared" si="113"/>
        <v>2751113.3109205766</v>
      </c>
      <c r="N104" s="987">
        <f t="shared" si="114"/>
        <v>2779719.8142549582</v>
      </c>
      <c r="O104" s="987">
        <f t="shared" si="115"/>
        <v>2802897.3721842007</v>
      </c>
      <c r="P104" s="987">
        <f t="shared" si="116"/>
        <v>2826074.9301134432</v>
      </c>
      <c r="Q104" s="987">
        <f t="shared" si="117"/>
        <v>2855888.4715735563</v>
      </c>
      <c r="R104" s="988">
        <f t="shared" si="118"/>
        <v>2885702.0130336694</v>
      </c>
      <c r="S104" s="330">
        <f t="shared" si="119"/>
        <v>1.1130204059529007</v>
      </c>
      <c r="T104" s="330">
        <f t="shared" si="119"/>
        <v>1.0602918347965078</v>
      </c>
      <c r="U104" s="330">
        <f t="shared" si="119"/>
        <v>1.0517941728634341</v>
      </c>
      <c r="V104" s="330">
        <f t="shared" si="119"/>
        <v>1.043602415885774</v>
      </c>
      <c r="W104" s="330">
        <f t="shared" si="119"/>
        <v>1.0402655822546656</v>
      </c>
      <c r="X104" s="330">
        <f t="shared" si="119"/>
        <v>1.0370042326389706</v>
      </c>
      <c r="Y104" s="330">
        <f t="shared" si="119"/>
        <v>1.0345854087591577</v>
      </c>
      <c r="Z104" s="330">
        <f t="shared" si="119"/>
        <v>1.0322274765017712</v>
      </c>
      <c r="AB104" s="329" t="s">
        <v>700</v>
      </c>
      <c r="AC104" s="328">
        <v>16.093663963015352</v>
      </c>
      <c r="AD104" s="327">
        <v>15.170572232761142</v>
      </c>
      <c r="AE104" s="326">
        <v>13.495232748313567</v>
      </c>
      <c r="AF104" s="325">
        <v>12.90308185300915</v>
      </c>
      <c r="AG104" s="324">
        <v>12.410412295951149</v>
      </c>
    </row>
    <row r="105" spans="1:33" x14ac:dyDescent="0.25">
      <c r="B105" s="765"/>
      <c r="J105" s="748"/>
      <c r="K105" s="982"/>
      <c r="R105" s="973"/>
    </row>
    <row r="106" spans="1:33" ht="13.5" thickBot="1" x14ac:dyDescent="0.3">
      <c r="B106" s="788"/>
      <c r="C106" s="789"/>
      <c r="D106" s="789"/>
      <c r="E106" s="790"/>
      <c r="F106" s="789"/>
      <c r="G106" s="789"/>
      <c r="H106" s="789"/>
      <c r="I106" s="789"/>
      <c r="J106" s="791"/>
      <c r="K106" s="993"/>
      <c r="L106" s="994"/>
      <c r="M106" s="994"/>
      <c r="N106" s="994"/>
      <c r="O106" s="994"/>
      <c r="P106" s="994"/>
      <c r="Q106" s="994"/>
      <c r="R106" s="995"/>
    </row>
    <row r="107" spans="1:33" ht="13.5" thickTop="1" x14ac:dyDescent="0.25"/>
  </sheetData>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tabColor rgb="FFFFC1DA"/>
  </sheetPr>
  <dimension ref="A1:AY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I5" s="516"/>
      <c r="AJ5" s="230"/>
      <c r="AK5" s="230"/>
    </row>
    <row r="6" spans="5:44" x14ac:dyDescent="0.2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25">
      <c r="AB7" s="61" t="s">
        <v>656</v>
      </c>
      <c r="AC7" s="234">
        <v>3</v>
      </c>
      <c r="AD7" s="235">
        <f>AD6</f>
        <v>-5.0000000000000001E-3</v>
      </c>
      <c r="AE7" s="519">
        <f>AD7</f>
        <v>-5.0000000000000001E-3</v>
      </c>
      <c r="AF7" s="519">
        <v>-0.01</v>
      </c>
      <c r="AG7" s="519">
        <v>-0.02</v>
      </c>
      <c r="AH7" s="520">
        <v>-2.5000000000000001E-2</v>
      </c>
      <c r="AI7" s="516"/>
      <c r="AJ7" s="61"/>
      <c r="AK7" s="61"/>
    </row>
    <row r="8" spans="5:44" x14ac:dyDescent="0.25">
      <c r="AJ8" s="61"/>
      <c r="AK8" s="61"/>
    </row>
    <row r="9" spans="5:44" x14ac:dyDescent="0.25">
      <c r="AC9" s="192"/>
      <c r="AD9" s="192"/>
      <c r="AE9" s="192"/>
      <c r="AF9" s="192"/>
      <c r="AG9" s="192"/>
      <c r="AH9" s="192"/>
      <c r="AI9" s="192"/>
      <c r="AJ9" s="230"/>
      <c r="AK9" s="230"/>
    </row>
    <row r="10" spans="5:44" x14ac:dyDescent="0.2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2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25">
      <c r="AB12" s="61" t="s">
        <v>656</v>
      </c>
      <c r="AC12" s="234">
        <v>3</v>
      </c>
      <c r="AD12" s="235">
        <f>AD11</f>
        <v>-1E-3</v>
      </c>
      <c r="AE12" s="235">
        <f>AD12</f>
        <v>-1E-3</v>
      </c>
      <c r="AF12" s="235">
        <v>-5.0000000000000001E-3</v>
      </c>
      <c r="AG12" s="235">
        <v>-0.01</v>
      </c>
      <c r="AH12" s="235">
        <v>-0.02</v>
      </c>
      <c r="AI12" s="516"/>
    </row>
    <row r="15" spans="5:44" x14ac:dyDescent="0.25">
      <c r="V15" s="65" t="s">
        <v>658</v>
      </c>
      <c r="W15" s="65"/>
      <c r="X15" s="65" t="e">
        <f t="array" ref="X15:Z15">LINEST(J15:O15,J9:O9^{1;2},TRUE,TRUE)</f>
        <v>#VALUE!</v>
      </c>
      <c r="Y15" s="61" t="e">
        <v>#VALUE!</v>
      </c>
      <c r="Z15" s="61" t="e">
        <v>#VALUE!</v>
      </c>
      <c r="AD15" s="65" t="s">
        <v>847</v>
      </c>
      <c r="AF15" s="65"/>
      <c r="AL15" s="65" t="s">
        <v>660</v>
      </c>
      <c r="AR15" s="236" t="s">
        <v>661</v>
      </c>
    </row>
    <row r="16" spans="5:44" x14ac:dyDescent="0.2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25">
      <c r="R17" s="65"/>
      <c r="U17" s="65" t="s">
        <v>662</v>
      </c>
      <c r="V17" s="243">
        <v>0</v>
      </c>
      <c r="W17" s="244">
        <v>0</v>
      </c>
      <c r="X17" s="244">
        <v>0</v>
      </c>
      <c r="Y17" s="244">
        <v>1</v>
      </c>
      <c r="Z17" s="244">
        <v>0</v>
      </c>
      <c r="AA17" s="244">
        <v>0</v>
      </c>
      <c r="AB17" s="244">
        <v>0</v>
      </c>
      <c r="AD17" s="245"/>
      <c r="AE17" s="245"/>
      <c r="AF17" s="245"/>
      <c r="AG17" s="245"/>
      <c r="AH17" s="245"/>
      <c r="AI17" s="245"/>
    </row>
    <row r="18" spans="5:50" x14ac:dyDescent="0.25">
      <c r="N18"/>
      <c r="O18"/>
      <c r="R18" s="246"/>
      <c r="S18" s="65"/>
      <c r="V18" s="247">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tr">
        <f>Q20&amp;N20</f>
        <v>CAROGS</v>
      </c>
      <c r="AD20" s="67">
        <f t="array" ref="AD20">INDEX(AEA2012_ZAR2022!$AC$6:$AG$104,MATCH($T20&amp;$U20,AEA2012_ZAR2022!$A$6:$A$104&amp;AEA2012_ZAR2022!$B$6:$B$104,0),MATCH(AD$16,AEA2012_ZAR2022!$S$4:$Z$4,0))</f>
        <v>2.7731584934931535</v>
      </c>
      <c r="AE20" s="67">
        <f t="array" ref="AE20">IF($W$1,AD20*(1+INDEX(AE$1:AE$2,MATCH($O20,$AA$1:$AA$2,0)))^(AE$16-AD$16),INDEX(AEA2012_ZAR2022!$AC$6:$AG$104,MATCH($T20&amp;$U20,AEA2012_ZAR2022!$A$6:$A$104&amp;AEA2012_ZAR2022!$B$6:$B$104,0),MATCH(AE$16,AEA2012_ZAR2022!$AC$4:$AG$4,0)))</f>
        <v>2.637579136548537</v>
      </c>
      <c r="AF20" s="67">
        <f t="array" ref="AF20">IF($W$1,AE20*(1+INDEX(AF$1:AF$2,MATCH($O20,$AA$1:$AA$2,0)))^(AF$16-AE$16),INDEX(AEA2012_ZAR2022!$AC$6:$AG$104,MATCH($T20&amp;$U20,AEA2012_ZAR2022!$A$6:$A$104&amp;AEA2012_ZAR2022!$B$6:$B$104,0),MATCH(AF$16,AEA2012_ZAR2022!$AC$4:$AG$4,0)))</f>
        <v>2.5086282366764774</v>
      </c>
      <c r="AG20" s="67">
        <f t="array" ref="AG20">IF($W$1,AF20*(1+INDEX(AG$1:AG$2,MATCH($O20,$AA$1:$AA$2,0)))^(AG$16-AF$16),INDEX(AEA2012_ZAR2022!$AC$6:$AG$104,MATCH($T20&amp;$U20,AEA2012_ZAR2022!$A$6:$A$104&amp;AEA2012_ZAR2022!$B$6:$B$104,0),MATCH(AG$16,AEA2012_ZAR2022!$AC$4:$AG$4,0)))</f>
        <v>2.3859817294754837</v>
      </c>
      <c r="AH20" s="67">
        <f t="array" ref="AH20">IF($W$1,AG20*(1+INDEX(AH$1:AH$2,MATCH($O20,$AA$1:$AA$2,0)))^(AH$16-AG$16),INDEX(AEA2012_ZAR2022!$AC$6:$AG$104,MATCH($T20&amp;$U20,AEA2012_ZAR2022!$A$6:$A$104&amp;AEA2012_ZAR2022!$B$6:$B$104,0),MATCH(AH$16,AEA2012_ZAR2022!$AC$4:$AG$4,0)))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84" si="5">Q21&amp;N21</f>
        <v>CARBGS</v>
      </c>
      <c r="AD21" s="67">
        <f t="array" ref="AD21">INDEX(AEA2012_ZAR2022!$AC$6:$AG$104,MATCH($T21&amp;$U21,AEA2012_ZAR2022!$A$6:$A$104&amp;AEA2012_ZAR2022!$B$6:$B$104,0),MATCH(AD$16,AEA2012_ZAR2022!$S$4:$Z$4,0))</f>
        <v>2.7731584934931535</v>
      </c>
      <c r="AE21" s="67">
        <f t="array" ref="AE21">IF($W$1,AD21*(1+INDEX(AE$1:AE$2,MATCH($O21,$AA$1:$AA$2,0)))^(AE$16-AD$16),INDEX(AEA2012_ZAR2022!$AC$6:$AG$104,MATCH($T21&amp;$U21,AEA2012_ZAR2022!$A$6:$A$104&amp;AEA2012_ZAR2022!$B$6:$B$104,0),MATCH(AE$16,AEA2012_ZAR2022!$AC$4:$AG$4,0)))</f>
        <v>2.637579136548537</v>
      </c>
      <c r="AF21" s="67">
        <f t="array" ref="AF21">IF($W$1,AE21*(1+INDEX(AF$1:AF$2,MATCH($O21,$AA$1:$AA$2,0)))^(AF$16-AE$16),INDEX(AEA2012_ZAR2022!$AC$6:$AG$104,MATCH($T21&amp;$U21,AEA2012_ZAR2022!$A$6:$A$104&amp;AEA2012_ZAR2022!$B$6:$B$104,0),MATCH(AF$16,AEA2012_ZAR2022!$AC$4:$AG$4,0)))</f>
        <v>2.5086282366764774</v>
      </c>
      <c r="AG21" s="67">
        <f t="array" ref="AG21">IF($W$1,AF21*(1+INDEX(AG$1:AG$2,MATCH($O21,$AA$1:$AA$2,0)))^(AG$16-AF$16),INDEX(AEA2012_ZAR2022!$AC$6:$AG$104,MATCH($T21&amp;$U21,AEA2012_ZAR2022!$A$6:$A$104&amp;AEA2012_ZAR2022!$B$6:$B$104,0),MATCH(AG$16,AEA2012_ZAR2022!$AC$4:$AG$4,0)))</f>
        <v>2.3859817294754837</v>
      </c>
      <c r="AH21" s="67">
        <f t="array" ref="AH21">IF($W$1,AG21*(1+INDEX(AH$1:AH$2,MATCH($O21,$AA$1:$AA$2,0)))^(AH$16-AG$16),INDEX(AEA2012_ZAR2022!$AC$6:$AG$104,MATCH($T21&amp;$U21,AEA2012_ZAR2022!$A$6:$A$104&amp;AEA2012_ZAR2022!$B$6:$B$104,0),MATCH(AH$16,AEA2012_ZAR2022!$AC$4:$AG$4,0)))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5"/>
        <v>CARODS</v>
      </c>
      <c r="AD22" s="67">
        <f t="array" ref="AD22">INDEX(AEA2012_ZAR2022!$AC$6:$AG$104,MATCH($T22&amp;$U22,AEA2012_ZAR2022!$A$6:$A$104&amp;AEA2012_ZAR2022!$B$6:$B$104,0),MATCH(AD$16,AEA2012_ZAR2022!$S$4:$Z$4,0))</f>
        <v>2.2264912113239048</v>
      </c>
      <c r="AE22" s="67">
        <f t="array" ref="AE22">IF($W$1,AD22*(1+INDEX(AE$1:AE$2,MATCH($O22,$AA$1:$AA$2,0)))^(AE$16-AD$16),INDEX(AEA2012_ZAR2022!$AC$6:$AG$104,MATCH($T22&amp;$U22,AEA2012_ZAR2022!$A$6:$A$104&amp;AEA2012_ZAR2022!$B$6:$B$104,0),MATCH(AE$16,AEA2012_ZAR2022!$AC$4:$AG$4,0)))</f>
        <v>2.1176383464831736</v>
      </c>
      <c r="AF22" s="67">
        <f t="array" ref="AF22">IF($W$1,AE22*(1+INDEX(AF$1:AF$2,MATCH($O22,$AA$1:$AA$2,0)))^(AF$16-AE$16),INDEX(AEA2012_ZAR2022!$AC$6:$AG$104,MATCH($T22&amp;$U22,AEA2012_ZAR2022!$A$6:$A$104&amp;AEA2012_ZAR2022!$B$6:$B$104,0),MATCH(AF$16,AEA2012_ZAR2022!$AC$4:$AG$4,0)))</f>
        <v>2.0141072840029328</v>
      </c>
      <c r="AG22" s="67">
        <f t="array" ref="AG22">IF($W$1,AF22*(1+INDEX(AG$1:AG$2,MATCH($O22,$AA$1:$AA$2,0)))^(AG$16-AF$16),INDEX(AEA2012_ZAR2022!$AC$6:$AG$104,MATCH($T22&amp;$U22,AEA2012_ZAR2022!$A$6:$A$104&amp;AEA2012_ZAR2022!$B$6:$B$104,0),MATCH(AG$16,AEA2012_ZAR2022!$AC$4:$AG$4,0)))</f>
        <v>1.915637841660091</v>
      </c>
      <c r="AH22" s="67">
        <f t="array" ref="AH22">IF($W$1,AG22*(1+INDEX(AH$1:AH$2,MATCH($O22,$AA$1:$AA$2,0)))^(AH$16-AG$16),INDEX(AEA2012_ZAR2022!$AC$6:$AG$104,MATCH($T22&amp;$U22,AEA2012_ZAR2022!$A$6:$A$104&amp;AEA2012_ZAR2022!$B$6:$B$104,0),MATCH(AH$16,AEA2012_ZAR2022!$AC$4:$AG$4,0)))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5"/>
        <v>CAROGSH</v>
      </c>
      <c r="AD23" s="67">
        <f t="array" ref="AD23">INDEX(AEA2012_ZAR2022!$AC$6:$AG$104,MATCH($T23&amp;$U23,AEA2012_ZAR2022!$A$6:$A$104&amp;AEA2012_ZAR2022!$B$6:$B$104,0),MATCH(AD$16,AEA2012_ZAR2022!$S$4:$Z$4,0))</f>
        <v>2.118957461890536</v>
      </c>
      <c r="AE23" s="67">
        <f t="array" ref="AE23">IF($W$1,AD23*(1+INDEX(AE$1:AE$2,MATCH($O23,$AA$1:$AA$2,0)))^(AE$16-AD$16),INDEX(AEA2012_ZAR2022!$AC$6:$AG$104,MATCH($T23&amp;$U23,AEA2012_ZAR2022!$A$6:$A$104&amp;AEA2012_ZAR2022!$B$6:$B$104,0),MATCH(AE$16,AEA2012_ZAR2022!$AC$4:$AG$4,0)))</f>
        <v>2.0153619080301288</v>
      </c>
      <c r="AF23" s="67">
        <f t="array" ref="AF23">IF($W$1,AE23*(1+INDEX(AF$1:AF$2,MATCH($O23,$AA$1:$AA$2,0)))^(AF$16-AE$16),INDEX(AEA2012_ZAR2022!$AC$6:$AG$104,MATCH($T23&amp;$U23,AEA2012_ZAR2022!$A$6:$A$104&amp;AEA2012_ZAR2022!$B$6:$B$104,0),MATCH(AF$16,AEA2012_ZAR2022!$AC$4:$AG$4,0)))</f>
        <v>1.9168311272822829</v>
      </c>
      <c r="AG23" s="67">
        <f t="array" ref="AG23">IF($W$1,AF23*(1+INDEX(AG$1:AG$2,MATCH($O23,$AA$1:$AA$2,0)))^(AG$16-AF$16),INDEX(AEA2012_ZAR2022!$AC$6:$AG$104,MATCH($T23&amp;$U23,AEA2012_ZAR2022!$A$6:$A$104&amp;AEA2012_ZAR2022!$B$6:$B$104,0),MATCH(AG$16,AEA2012_ZAR2022!$AC$4:$AG$4,0)))</f>
        <v>1.8231175035503049</v>
      </c>
      <c r="AH23" s="67">
        <f t="array" ref="AH23">IF($W$1,AG23*(1+INDEX(AH$1:AH$2,MATCH($O23,$AA$1:$AA$2,0)))^(AH$16-AG$16),INDEX(AEA2012_ZAR2022!$AC$6:$AG$104,MATCH($T23&amp;$U23,AEA2012_ZAR2022!$A$6:$A$104&amp;AEA2012_ZAR2022!$B$6:$B$104,0),MATCH(AH$16,AEA2012_ZAR2022!$AC$4:$AG$4,0)))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5"/>
        <v>CARODSH</v>
      </c>
      <c r="AD24" s="67">
        <f t="array" ref="AD24">INDEX(AEA2012_ZAR2022!$AC$6:$AG$104,MATCH($T24&amp;$U24,AEA2012_ZAR2022!$A$6:$A$104&amp;AEA2012_ZAR2022!$B$6:$B$104,0),MATCH(AD$16,AEA2012_ZAR2022!$S$4:$Z$4,0))</f>
        <v>1.7693016047311396</v>
      </c>
      <c r="AE24" s="67">
        <f t="array" ref="AE24">IF($W$1,AD24*(1+INDEX(AE$1:AE$2,MATCH($O24,$AA$1:$AA$2,0)))^(AE$16-AD$16),INDEX(AEA2012_ZAR2022!$AC$6:$AG$104,MATCH($T24&amp;$U24,AEA2012_ZAR2022!$A$6:$A$104&amp;AEA2012_ZAR2022!$B$6:$B$104,0),MATCH(AE$16,AEA2012_ZAR2022!$AC$4:$AG$4,0)))</f>
        <v>1.682800680109134</v>
      </c>
      <c r="AF24" s="67">
        <f t="array" ref="AF24">IF($W$1,AE24*(1+INDEX(AF$1:AF$2,MATCH($O24,$AA$1:$AA$2,0)))^(AF$16-AE$16),INDEX(AEA2012_ZAR2022!$AC$6:$AG$104,MATCH($T24&amp;$U24,AEA2012_ZAR2022!$A$6:$A$104&amp;AEA2012_ZAR2022!$B$6:$B$104,0),MATCH(AF$16,AEA2012_ZAR2022!$AC$4:$AG$4,0)))</f>
        <v>1.6005287744064882</v>
      </c>
      <c r="AG24" s="67">
        <f t="array" ref="AG24">IF($W$1,AF24*(1+INDEX(AG$1:AG$2,MATCH($O24,$AA$1:$AA$2,0)))^(AG$16-AF$16),INDEX(AEA2012_ZAR2022!$AC$6:$AG$104,MATCH($T24&amp;$U24,AEA2012_ZAR2022!$A$6:$A$104&amp;AEA2012_ZAR2022!$B$6:$B$104,0),MATCH(AG$16,AEA2012_ZAR2022!$AC$4:$AG$4,0)))</f>
        <v>1.5222791314399771</v>
      </c>
      <c r="AH24" s="67">
        <f t="array" ref="AH24">IF($W$1,AG24*(1+INDEX(AH$1:AH$2,MATCH($O24,$AA$1:$AA$2,0)))^(AH$16-AG$16),INDEX(AEA2012_ZAR2022!$AC$6:$AG$104,MATCH($T24&amp;$U24,AEA2012_ZAR2022!$A$6:$A$104&amp;AEA2012_ZAR2022!$B$6:$B$104,0),MATCH(AH$16,AEA2012_ZAR2022!$AC$4:$AG$4,0)))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5"/>
        <v>CAROGSP</v>
      </c>
      <c r="AD25" s="67">
        <f t="array" ref="AD25">INDEX(AEA2012_ZAR2022!$AC$6:$AG$104,MATCH($T25&amp;$U25,AEA2012_ZAR2022!$A$6:$A$104&amp;AEA2012_ZAR2022!$B$6:$B$104,0),MATCH(AD$16,AEA2012_ZAR2022!$S$4:$Z$4,0))</f>
        <v>1.6844344849453972</v>
      </c>
      <c r="AE25" s="67">
        <f t="array" ref="AE25">IF($W$1,AD25*(1+INDEX(AE$1:AE$2,MATCH($O25,$AA$1:$AA$2,0)))^(AE$16-AD$16),INDEX(AEA2012_ZAR2022!$AC$6:$AG$104,MATCH($T25&amp;$U25,AEA2012_ZAR2022!$A$6:$A$104&amp;AEA2012_ZAR2022!$B$6:$B$104,0),MATCH(AE$16,AEA2012_ZAR2022!$AC$4:$AG$4,0)))</f>
        <v>1.602082702737462</v>
      </c>
      <c r="AF25" s="67">
        <f t="array" ref="AF25">IF($W$1,AE25*(1+INDEX(AF$1:AF$2,MATCH($O25,$AA$1:$AA$2,0)))^(AF$16-AE$16),INDEX(AEA2012_ZAR2022!$AC$6:$AG$104,MATCH($T25&amp;$U25,AEA2012_ZAR2022!$A$6:$A$104&amp;AEA2012_ZAR2022!$B$6:$B$104,0),MATCH(AF$16,AEA2012_ZAR2022!$AC$4:$AG$4,0)))</f>
        <v>1.5237570884175842</v>
      </c>
      <c r="AG25" s="67">
        <f t="array" ref="AG25">IF($W$1,AF25*(1+INDEX(AG$1:AG$2,MATCH($O25,$AA$1:$AA$2,0)))^(AG$16-AF$16),INDEX(AEA2012_ZAR2022!$AC$6:$AG$104,MATCH($T25&amp;$U25,AEA2012_ZAR2022!$A$6:$A$104&amp;AEA2012_ZAR2022!$B$6:$B$104,0),MATCH(AG$16,AEA2012_ZAR2022!$AC$4:$AG$4,0)))</f>
        <v>1.4492608031629932</v>
      </c>
      <c r="AH25" s="67">
        <f t="array" ref="AH25">IF($W$1,AG25*(1+INDEX(AH$1:AH$2,MATCH($O25,$AA$1:$AA$2,0)))^(AH$16-AG$16),INDEX(AEA2012_ZAR2022!$AC$6:$AG$104,MATCH($T25&amp;$U25,AEA2012_ZAR2022!$A$6:$A$104&amp;AEA2012_ZAR2022!$B$6:$B$104,0),MATCH(AH$16,AEA2012_ZAR2022!$AC$4:$AG$4,0)))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5"/>
        <v>CARODSP</v>
      </c>
      <c r="AD26" s="67">
        <f t="array" ref="AD26">INDEX(AEA2012_ZAR2022!$AC$6:$AG$104,MATCH($T26&amp;$U26,AEA2012_ZAR2022!$A$6:$A$104&amp;AEA2012_ZAR2022!$B$6:$B$104,0),MATCH(AD$16,AEA2012_ZAR2022!$S$4:$Z$4,0))</f>
        <v>1.4414185748830934</v>
      </c>
      <c r="AE26" s="67">
        <f t="array" ref="AE26">IF($W$1,AD26*(1+INDEX(AE$1:AE$2,MATCH($O26,$AA$1:$AA$2,0)))^(AE$16-AD$16),INDEX(AEA2012_ZAR2022!$AC$6:$AG$104,MATCH($T26&amp;$U26,AEA2012_ZAR2022!$A$6:$A$104&amp;AEA2012_ZAR2022!$B$6:$B$104,0),MATCH(AE$16,AEA2012_ZAR2022!$AC$4:$AG$4,0)))</f>
        <v>1.3709478088128462</v>
      </c>
      <c r="AF26" s="67">
        <f t="array" ref="AF26">IF($W$1,AE26*(1+INDEX(AF$1:AF$2,MATCH($O26,$AA$1:$AA$2,0)))^(AF$16-AE$16),INDEX(AEA2012_ZAR2022!$AC$6:$AG$104,MATCH($T26&amp;$U26,AEA2012_ZAR2022!$A$6:$A$104&amp;AEA2012_ZAR2022!$B$6:$B$104,0),MATCH(AF$16,AEA2012_ZAR2022!$AC$4:$AG$4,0)))</f>
        <v>1.3039223493017504</v>
      </c>
      <c r="AG26" s="67">
        <f t="array" ref="AG26">IF($W$1,AF26*(1+INDEX(AG$1:AG$2,MATCH($O26,$AA$1:$AA$2,0)))^(AG$16-AF$16),INDEX(AEA2012_ZAR2022!$AC$6:$AG$104,MATCH($T26&amp;$U26,AEA2012_ZAR2022!$A$6:$A$104&amp;AEA2012_ZAR2022!$B$6:$B$104,0),MATCH(AG$16,AEA2012_ZAR2022!$AC$4:$AG$4,0)))</f>
        <v>1.2401737557616237</v>
      </c>
      <c r="AH26" s="67">
        <f t="array" ref="AH26">IF($W$1,AG26*(1+INDEX(AH$1:AH$2,MATCH($O26,$AA$1:$AA$2,0)))^(AH$16-AG$16),INDEX(AEA2012_ZAR2022!$AC$6:$AG$104,MATCH($T26&amp;$U26,AEA2012_ZAR2022!$A$6:$A$104&amp;AEA2012_ZAR2022!$B$6:$B$104,0),MATCH(AH$16,AEA2012_ZAR2022!$AC$4:$AG$4,0)))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4" t="s">
        <v>573</v>
      </c>
      <c r="G27" s="61" t="s">
        <v>696</v>
      </c>
      <c r="H27" s="257">
        <v>236800</v>
      </c>
      <c r="I27" s="61">
        <v>290000</v>
      </c>
      <c r="N27" s="61" t="s">
        <v>501</v>
      </c>
      <c r="O27" s="61" t="s">
        <v>613</v>
      </c>
      <c r="P27" s="61" t="s">
        <v>555</v>
      </c>
      <c r="Q27" s="61" t="str">
        <f t="shared" si="4"/>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03" t="str">
        <f t="shared" si="5"/>
        <v>CARELC</v>
      </c>
      <c r="AD27" s="67">
        <f t="array" ref="AD27">INDEX(AEA2012_ZAR2022!$AC$6:$AG$104,MATCH($T27&amp;$U27,AEA2012_ZAR2022!$A$6:$A$104&amp;AEA2012_ZAR2022!$B$6:$B$104,0),MATCH(AD$16,AEA2012_ZAR2022!$S$4:$Z$4,0))</f>
        <v>0.693962607442839</v>
      </c>
      <c r="AE27" s="67">
        <f t="array" ref="AE27">IF($W$1,AD27*(1+INDEX(AE$1:AE$2,MATCH($O27,$AA$1:$AA$2,0)))^(AE$16-AD$16),INDEX(AEA2012_ZAR2022!$AC$6:$AG$104,MATCH($T27&amp;$U27,AEA2012_ZAR2022!$A$6:$A$104&amp;AEA2012_ZAR2022!$B$6:$B$104,0),MATCH(AE$16,AEA2012_ZAR2022!$AC$4:$AG$4,0)))</f>
        <v>0.66003486610332585</v>
      </c>
      <c r="AF27" s="67">
        <f t="array" ref="AF27">IF($W$1,AE27*(1+INDEX(AF$1:AF$2,MATCH($O27,$AA$1:$AA$2,0)))^(AF$16-AE$16),INDEX(AEA2012_ZAR2022!$AC$6:$AG$104,MATCH($T27&amp;$U27,AEA2012_ZAR2022!$A$6:$A$104&amp;AEA2012_ZAR2022!$B$6:$B$104,0),MATCH(AF$16,AEA2012_ZAR2022!$AC$4:$AG$4,0)))</f>
        <v>0.62776584761149257</v>
      </c>
      <c r="AG27" s="67">
        <f t="array" ref="AG27">IF($W$1,AF27*(1+INDEX(AG$1:AG$2,MATCH($O27,$AA$1:$AA$2,0)))^(AG$16-AF$16),INDEX(AEA2012_ZAR2022!$AC$6:$AG$104,MATCH($T27&amp;$U27,AEA2012_ZAR2022!$A$6:$A$104&amp;AEA2012_ZAR2022!$B$6:$B$104,0),MATCH(AG$16,AEA2012_ZAR2022!$AC$4:$AG$4,0)))</f>
        <v>0.59707445722372265</v>
      </c>
      <c r="AH27" s="67">
        <f t="array" ref="AH27">IF($W$1,AG27*(1+INDEX(AH$1:AH$2,MATCH($O27,$AA$1:$AA$2,0)))^(AH$16-AG$16),INDEX(AEA2012_ZAR2022!$AC$6:$AG$104,MATCH($T27&amp;$U27,AEA2012_ZAR2022!$A$6:$A$104&amp;AEA2012_ZAR2022!$B$6:$B$104,0),MATCH(AH$16,AEA2012_ZAR2022!$AC$4:$AG$4,0)))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si="5"/>
        <v>CARHGN</v>
      </c>
      <c r="AD28" s="67">
        <f t="array" ref="AD28">INDEX(AEA2012_ZAR2022!$AC$6:$AG$104,MATCH($T28&amp;$U28,AEA2012_ZAR2022!$A$6:$A$104&amp;AEA2012_ZAR2022!$B$6:$B$104,0),MATCH(AD$16,AEA2012_ZAR2022!$S$4:$Z$4,0))</f>
        <v>1.0752270792303171</v>
      </c>
      <c r="AE28" s="67">
        <f t="array" ref="AE28">IF($W$1,AD28*(1+INDEX(AE$1:AE$2,MATCH($O28,$AA$1:$AA$2,0)))^(AE$16-AD$16),INDEX(AEA2012_ZAR2022!$AC$6:$AG$104,MATCH($T28&amp;$U28,AEA2012_ZAR2022!$A$6:$A$104&amp;AEA2012_ZAR2022!$B$6:$B$104,0),MATCH(AE$16,AEA2012_ZAR2022!$AC$4:$AG$4,0)))</f>
        <v>1.0226593676070779</v>
      </c>
      <c r="AF28" s="67">
        <f t="array" ref="AF28">IF($W$1,AE28*(1+INDEX(AF$1:AF$2,MATCH($O28,$AA$1:$AA$2,0)))^(AF$16-AE$16),INDEX(AEA2012_ZAR2022!$AC$6:$AG$104,MATCH($T28&amp;$U28,AEA2012_ZAR2022!$A$6:$A$104&amp;AEA2012_ZAR2022!$B$6:$B$104,0),MATCH(AF$16,AEA2012_ZAR2022!$AC$4:$AG$4,0)))</f>
        <v>0.97266168454681168</v>
      </c>
      <c r="AG28" s="67">
        <f t="array" ref="AG28">IF($W$1,AF28*(1+INDEX(AG$1:AG$2,MATCH($O28,$AA$1:$AA$2,0)))^(AG$16-AF$16),INDEX(AEA2012_ZAR2022!$AC$6:$AG$104,MATCH($T28&amp;$U28,AEA2012_ZAR2022!$A$6:$A$104&amp;AEA2012_ZAR2022!$B$6:$B$104,0),MATCH(AG$16,AEA2012_ZAR2022!$AC$4:$AG$4,0)))</f>
        <v>0.92510838168837561</v>
      </c>
      <c r="AH28" s="67">
        <f t="array" ref="AH28">IF($W$1,AG28*(1+INDEX(AH$1:AH$2,MATCH($O28,$AA$1:$AA$2,0)))^(AH$16-AG$16),INDEX(AEA2012_ZAR2022!$AC$6:$AG$104,MATCH($T28&amp;$U28,AEA2012_ZAR2022!$A$6:$A$104&amp;AEA2012_ZAR2022!$B$6:$B$104,0),MATCH(AH$16,AEA2012_ZAR2022!$AC$4:$AG$4,0)))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5"/>
        <v>CARGAS</v>
      </c>
      <c r="AD29" s="67">
        <f t="array" ref="AD29">INDEX(AEA2012_ZAR2022!$AC$6:$AG$104,MATCH($T29&amp;$U29,AEA2012_ZAR2022!$A$6:$A$104&amp;AEA2012_ZAR2022!$B$6:$B$104,0),MATCH(AD$16,AEA2012_ZAR2022!$S$4:$Z$4,0))</f>
        <v>2.7731584934931535</v>
      </c>
      <c r="AE29" s="67">
        <f t="array" ref="AE29">IF($W$1,AD29*(1+INDEX(AE$1:AE$2,MATCH($O29,$AA$1:$AA$2,0)))^(AE$16-AD$16),INDEX(AEA2012_ZAR2022!$AC$6:$AG$104,MATCH($T29&amp;$U29,AEA2012_ZAR2022!$A$6:$A$104&amp;AEA2012_ZAR2022!$B$6:$B$104,0),MATCH(AE$16,AEA2012_ZAR2022!$AC$4:$AG$4,0)))</f>
        <v>2.637579136548537</v>
      </c>
      <c r="AF29" s="67">
        <f t="array" ref="AF29">IF($W$1,AE29*(1+INDEX(AF$1:AF$2,MATCH($O29,$AA$1:$AA$2,0)))^(AF$16-AE$16),INDEX(AEA2012_ZAR2022!$AC$6:$AG$104,MATCH($T29&amp;$U29,AEA2012_ZAR2022!$A$6:$A$104&amp;AEA2012_ZAR2022!$B$6:$B$104,0),MATCH(AF$16,AEA2012_ZAR2022!$AC$4:$AG$4,0)))</f>
        <v>2.5086282366764774</v>
      </c>
      <c r="AG29" s="67">
        <f t="array" ref="AG29">IF($W$1,AF29*(1+INDEX(AG$1:AG$2,MATCH($O29,$AA$1:$AA$2,0)))^(AG$16-AF$16),INDEX(AEA2012_ZAR2022!$AC$6:$AG$104,MATCH($T29&amp;$U29,AEA2012_ZAR2022!$A$6:$A$104&amp;AEA2012_ZAR2022!$B$6:$B$104,0),MATCH(AG$16,AEA2012_ZAR2022!$AC$4:$AG$4,0)))</f>
        <v>2.3859817294754837</v>
      </c>
      <c r="AH29" s="67">
        <f t="array" ref="AH29">IF($W$1,AG29*(1+INDEX(AH$1:AH$2,MATCH($O29,$AA$1:$AA$2,0)))^(AH$16-AG$16),INDEX(AEA2012_ZAR2022!$AC$6:$AG$104,MATCH($T29&amp;$U29,AEA2012_ZAR2022!$A$6:$A$104&amp;AEA2012_ZAR2022!$B$6:$B$104,0),MATCH(AH$16,AEA2012_ZAR2022!$AC$4:$AG$4,0)))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25">
      <c r="O30" s="61" t="s">
        <v>613</v>
      </c>
      <c r="Q30" s="61" t="str">
        <f t="shared" si="4"/>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5"/>
        <v/>
      </c>
      <c r="AD30" s="67" t="e">
        <f t="array" ref="AD30">INDEX(AEA2012_ZAR2022!$AC$6:$AG$104,MATCH($T30&amp;$U30,AEA2012_ZAR2022!$A$6:$A$104&amp;AEA2012_ZAR2022!$B$6:$B$104,0),MATCH(AD$16,AEA2012_ZAR2022!$S$4:$Z$4,0))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5"/>
        <v>SUVOGS</v>
      </c>
      <c r="AD31" s="67">
        <f t="array" ref="AD31">INDEX(AEA2012_ZAR2022!$AC$6:$AG$104,MATCH($T31&amp;$U31,AEA2012_ZAR2022!$A$6:$A$104&amp;AEA2012_ZAR2022!$B$6:$B$104,0),MATCH(AD$16,AEA2012_ZAR2022!$S$4:$Z$4,0))</f>
        <v>2.8454207298952694</v>
      </c>
      <c r="AE31" s="67">
        <f t="array" ref="AE31">IF($W$1,AD31*(1+INDEX(AE$1:AE$2,MATCH($O31,$AA$1:$AA$2,0)))^(AE$16-AD$16),INDEX(AEA2012_ZAR2022!$AC$6:$AG$104,MATCH($T31&amp;$U31,AEA2012_ZAR2022!$A$6:$A$104&amp;AEA2012_ZAR2022!$B$6:$B$104,0),MATCH(AE$16,AEA2012_ZAR2022!$AC$4:$AG$4,0)))</f>
        <v>2.7063084816407019</v>
      </c>
      <c r="AF31" s="67">
        <f t="array" ref="AF31">IF($W$1,AE31*(1+INDEX(AF$1:AF$2,MATCH($O31,$AA$1:$AA$2,0)))^(AF$16-AE$16),INDEX(AEA2012_ZAR2022!$AC$6:$AG$104,MATCH($T31&amp;$U31,AEA2012_ZAR2022!$A$6:$A$104&amp;AEA2012_ZAR2022!$B$6:$B$104,0),MATCH(AF$16,AEA2012_ZAR2022!$AC$4:$AG$4,0)))</f>
        <v>2.5739974130539132</v>
      </c>
      <c r="AG31" s="67">
        <f t="array" ref="AG31">IF($W$1,AF31*(1+INDEX(AG$1:AG$2,MATCH($O31,$AA$1:$AA$2,0)))^(AG$16-AF$16),INDEX(AEA2012_ZAR2022!$AC$6:$AG$104,MATCH($T31&amp;$U31,AEA2012_ZAR2022!$A$6:$A$104&amp;AEA2012_ZAR2022!$B$6:$B$104,0),MATCH(AG$16,AEA2012_ZAR2022!$AC$4:$AG$4,0)))</f>
        <v>2.448155015348267</v>
      </c>
      <c r="AH31" s="67">
        <f t="array" ref="AH31">IF($W$1,AG31*(1+INDEX(AH$1:AH$2,MATCH($O31,$AA$1:$AA$2,0)))^(AH$16-AG$16),INDEX(AEA2012_ZAR2022!$AC$6:$AG$104,MATCH($T31&amp;$U31,AEA2012_ZAR2022!$A$6:$A$104&amp;AEA2012_ZAR2022!$B$6:$B$104,0),MATCH(AH$16,AEA2012_ZAR2022!$AC$4:$AG$4,0)))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5"/>
        <v>SUVOGSH</v>
      </c>
      <c r="AD32" s="67">
        <f t="array" ref="AD32">INDEX(AEA2012_ZAR2022!$AC$6:$AG$104,MATCH($T32&amp;$U32,AEA2012_ZAR2022!$A$6:$A$104&amp;AEA2012_ZAR2022!$B$6:$B$104,0),MATCH(AD$16,AEA2012_ZAR2022!$S$4:$Z$4,0))</f>
        <v>2.1741726994604185</v>
      </c>
      <c r="AE32" s="67">
        <f t="array" ref="AE32">IF($W$1,AD32*(1+INDEX(AE$1:AE$2,MATCH($O32,$AA$1:$AA$2,0)))^(AE$16-AD$16),INDEX(AEA2012_ZAR2022!$AC$6:$AG$104,MATCH($T32&amp;$U32,AEA2012_ZAR2022!$A$6:$A$104&amp;AEA2012_ZAR2022!$B$6:$B$104,0),MATCH(AE$16,AEA2012_ZAR2022!$AC$4:$AG$4,0)))</f>
        <v>2.0678776798389182</v>
      </c>
      <c r="AF32" s="67">
        <f t="array" ref="AF32">IF($W$1,AE32*(1+INDEX(AF$1:AF$2,MATCH($O32,$AA$1:$AA$2,0)))^(AF$16-AE$16),INDEX(AEA2012_ZAR2022!$AC$6:$AG$104,MATCH($T32&amp;$U32,AEA2012_ZAR2022!$A$6:$A$104&amp;AEA2012_ZAR2022!$B$6:$B$104,0),MATCH(AF$16,AEA2012_ZAR2022!$AC$4:$AG$4,0)))</f>
        <v>1.9667794098588514</v>
      </c>
      <c r="AG32" s="67">
        <f t="array" ref="AG32">IF($W$1,AF32*(1+INDEX(AG$1:AG$2,MATCH($O32,$AA$1:$AA$2,0)))^(AG$16-AF$16),INDEX(AEA2012_ZAR2022!$AC$6:$AG$104,MATCH($T32&amp;$U32,AEA2012_ZAR2022!$A$6:$A$104&amp;AEA2012_ZAR2022!$B$6:$B$104,0),MATCH(AG$16,AEA2012_ZAR2022!$AC$4:$AG$4,0)))</f>
        <v>1.8706238211082462</v>
      </c>
      <c r="AH32" s="67">
        <f t="array" ref="AH32">IF($W$1,AG32*(1+INDEX(AH$1:AH$2,MATCH($O32,$AA$1:$AA$2,0)))^(AH$16-AG$16),INDEX(AEA2012_ZAR2022!$AC$6:$AG$104,MATCH($T32&amp;$U32,AEA2012_ZAR2022!$A$6:$A$104&amp;AEA2012_ZAR2022!$B$6:$B$104,0),MATCH(AH$16,AEA2012_ZAR2022!$AC$4:$AG$4,0)))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5"/>
        <v>SUVBGS</v>
      </c>
      <c r="AD33" s="67">
        <f t="array" ref="AD33">INDEX(AEA2012_ZAR2022!$AC$6:$AG$104,MATCH($T33&amp;$U33,AEA2012_ZAR2022!$A$6:$A$104&amp;AEA2012_ZAR2022!$B$6:$B$104,0),MATCH(AD$16,AEA2012_ZAR2022!$S$4:$Z$4,0))</f>
        <v>2.8454207298952694</v>
      </c>
      <c r="AE33" s="67">
        <f t="array" ref="AE33">IF($W$1,AD33*(1+INDEX(AE$1:AE$2,MATCH($O33,$AA$1:$AA$2,0)))^(AE$16-AD$16),INDEX(AEA2012_ZAR2022!$AC$6:$AG$104,MATCH($T33&amp;$U33,AEA2012_ZAR2022!$A$6:$A$104&amp;AEA2012_ZAR2022!$B$6:$B$104,0),MATCH(AE$16,AEA2012_ZAR2022!$AC$4:$AG$4,0)))</f>
        <v>2.7063084816407019</v>
      </c>
      <c r="AF33" s="67">
        <f t="array" ref="AF33">IF($W$1,AE33*(1+INDEX(AF$1:AF$2,MATCH($O33,$AA$1:$AA$2,0)))^(AF$16-AE$16),INDEX(AEA2012_ZAR2022!$AC$6:$AG$104,MATCH($T33&amp;$U33,AEA2012_ZAR2022!$A$6:$A$104&amp;AEA2012_ZAR2022!$B$6:$B$104,0),MATCH(AF$16,AEA2012_ZAR2022!$AC$4:$AG$4,0)))</f>
        <v>2.5739974130539132</v>
      </c>
      <c r="AG33" s="67">
        <f t="array" ref="AG33">IF($W$1,AF33*(1+INDEX(AG$1:AG$2,MATCH($O33,$AA$1:$AA$2,0)))^(AG$16-AF$16),INDEX(AEA2012_ZAR2022!$AC$6:$AG$104,MATCH($T33&amp;$U33,AEA2012_ZAR2022!$A$6:$A$104&amp;AEA2012_ZAR2022!$B$6:$B$104,0),MATCH(AG$16,AEA2012_ZAR2022!$AC$4:$AG$4,0)))</f>
        <v>2.448155015348267</v>
      </c>
      <c r="AH33" s="67">
        <f t="array" ref="AH33">IF($W$1,AG33*(1+INDEX(AH$1:AH$2,MATCH($O33,$AA$1:$AA$2,0)))^(AH$16-AG$16),INDEX(AEA2012_ZAR2022!$AC$6:$AG$104,MATCH($T33&amp;$U33,AEA2012_ZAR2022!$A$6:$A$104&amp;AEA2012_ZAR2022!$B$6:$B$104,0),MATCH(AH$16,AEA2012_ZAR2022!$AC$4:$AG$4,0)))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5"/>
        <v>SUVODS</v>
      </c>
      <c r="AD34" s="67">
        <f t="array" ref="AD34">INDEX(AEA2012_ZAR2022!$AC$6:$AG$104,MATCH($T34&amp;$U34,AEA2012_ZAR2022!$A$6:$A$104&amp;AEA2012_ZAR2022!$B$6:$B$104,0),MATCH(AD$16,AEA2012_ZAR2022!$S$4:$Z$4,0))</f>
        <v>2.9031215330752671</v>
      </c>
      <c r="AE34" s="67">
        <f t="array" ref="AE34">IF($W$1,AD34*(1+INDEX(AE$1:AE$2,MATCH($O34,$AA$1:$AA$2,0)))^(AE$16-AD$16),INDEX(AEA2012_ZAR2022!$AC$6:$AG$104,MATCH($T34&amp;$U34,AEA2012_ZAR2022!$A$6:$A$104&amp;AEA2012_ZAR2022!$B$6:$B$104,0),MATCH(AE$16,AEA2012_ZAR2022!$AC$4:$AG$4,0)))</f>
        <v>2.7611883000812094</v>
      </c>
      <c r="AF34" s="67">
        <f t="array" ref="AF34">IF($W$1,AE34*(1+INDEX(AF$1:AF$2,MATCH($O34,$AA$1:$AA$2,0)))^(AF$16-AE$16),INDEX(AEA2012_ZAR2022!$AC$6:$AG$104,MATCH($T34&amp;$U34,AEA2012_ZAR2022!$A$6:$A$104&amp;AEA2012_ZAR2022!$B$6:$B$104,0),MATCH(AF$16,AEA2012_ZAR2022!$AC$4:$AG$4,0)))</f>
        <v>2.6261941643308022</v>
      </c>
      <c r="AG34" s="67">
        <f t="array" ref="AG34">IF($W$1,AF34*(1+INDEX(AG$1:AG$2,MATCH($O34,$AA$1:$AA$2,0)))^(AG$16-AF$16),INDEX(AEA2012_ZAR2022!$AC$6:$AG$104,MATCH($T34&amp;$U34,AEA2012_ZAR2022!$A$6:$A$104&amp;AEA2012_ZAR2022!$B$6:$B$104,0),MATCH(AG$16,AEA2012_ZAR2022!$AC$4:$AG$4,0)))</f>
        <v>2.4977998742651182</v>
      </c>
      <c r="AH34" s="67">
        <f t="array" ref="AH34">IF($W$1,AG34*(1+INDEX(AH$1:AH$2,MATCH($O34,$AA$1:$AA$2,0)))^(AH$16-AG$16),INDEX(AEA2012_ZAR2022!$AC$6:$AG$104,MATCH($T34&amp;$U34,AEA2012_ZAR2022!$A$6:$A$104&amp;AEA2012_ZAR2022!$B$6:$B$104,0),MATCH(AH$16,AEA2012_ZAR2022!$AC$4:$AG$4,0)))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4"/>
      <c r="N35" s="61" t="s">
        <v>521</v>
      </c>
      <c r="O35" s="61" t="s">
        <v>613</v>
      </c>
      <c r="P35" s="61" t="s">
        <v>460</v>
      </c>
      <c r="Q35" s="61" t="str">
        <f t="shared" si="4"/>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5"/>
        <v>SUVODSH</v>
      </c>
      <c r="AD35" s="67">
        <f t="array" ref="AD35">INDEX(AEA2012_ZAR2022!$AC$6:$AG$104,MATCH($T35&amp;$U35,AEA2012_ZAR2022!$A$6:$A$104&amp;AEA2012_ZAR2022!$B$6:$B$104,0),MATCH(AD$16,AEA2012_ZAR2022!$S$4:$Z$4,0))</f>
        <v>2.4252993644945193</v>
      </c>
      <c r="AE35" s="67">
        <f t="array" ref="AE35">IF($W$1,AD35*(1+INDEX(AE$1:AE$2,MATCH($O35,$AA$1:$AA$2,0)))^(AE$16-AD$16),INDEX(AEA2012_ZAR2022!$AC$6:$AG$104,MATCH($T35&amp;$U35,AEA2012_ZAR2022!$A$6:$A$104&amp;AEA2012_ZAR2022!$B$6:$B$104,0),MATCH(AE$16,AEA2012_ZAR2022!$AC$4:$AG$4,0)))</f>
        <v>2.3067267949829362</v>
      </c>
      <c r="AF35" s="67">
        <f t="array" ref="AF35">IF($W$1,AE35*(1+INDEX(AF$1:AF$2,MATCH($O35,$AA$1:$AA$2,0)))^(AF$16-AE$16),INDEX(AEA2012_ZAR2022!$AC$6:$AG$104,MATCH($T35&amp;$U35,AEA2012_ZAR2022!$A$6:$A$104&amp;AEA2012_ZAR2022!$B$6:$B$104,0),MATCH(AF$16,AEA2012_ZAR2022!$AC$4:$AG$4,0)))</f>
        <v>2.1939512229251124</v>
      </c>
      <c r="AG35" s="67">
        <f t="array" ref="AG35">IF($W$1,AF35*(1+INDEX(AG$1:AG$2,MATCH($O35,$AA$1:$AA$2,0)))^(AG$16-AF$16),INDEX(AEA2012_ZAR2022!$AC$6:$AG$104,MATCH($T35&amp;$U35,AEA2012_ZAR2022!$A$6:$A$104&amp;AEA2012_ZAR2022!$B$6:$B$104,0),MATCH(AG$16,AEA2012_ZAR2022!$AC$4:$AG$4,0)))</f>
        <v>2.0866892338718435</v>
      </c>
      <c r="AH35" s="67">
        <f t="array" ref="AH35">IF($W$1,AG35*(1+INDEX(AH$1:AH$2,MATCH($O35,$AA$1:$AA$2,0)))^(AH$16-AG$16),INDEX(AEA2012_ZAR2022!$AC$6:$AG$104,MATCH($T35&amp;$U35,AEA2012_ZAR2022!$A$6:$A$104&amp;AEA2012_ZAR2022!$B$6:$B$104,0),MATCH(AH$16,AEA2012_ZAR2022!$AC$4:$AG$4,0)))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5"/>
        <v>SUVELC</v>
      </c>
      <c r="AD36" s="67">
        <f t="array" ref="AD36">INDEX(AEA2012_ZAR2022!$AC$6:$AG$104,MATCH($T36&amp;$U36,AEA2012_ZAR2022!$A$6:$A$104&amp;AEA2012_ZAR2022!$B$6:$B$104,0),MATCH(AD$16,AEA2012_ZAR2022!$S$4:$Z$4,0))</f>
        <v>0.71204570298567482</v>
      </c>
      <c r="AE36" s="67">
        <f t="array" ref="AE36">IF($W$1,AD36*(1+INDEX(AE$1:AE$2,MATCH($O36,$AA$1:$AA$2,0)))^(AE$16-AD$16),INDEX(AEA2012_ZAR2022!$AC$6:$AG$104,MATCH($T36&amp;$U36,AEA2012_ZAR2022!$A$6:$A$104&amp;AEA2012_ZAR2022!$B$6:$B$104,0),MATCH(AE$16,AEA2012_ZAR2022!$AC$4:$AG$4,0)))</f>
        <v>0.67723388146429753</v>
      </c>
      <c r="AF36" s="67">
        <f t="array" ref="AF36">IF($W$1,AE36*(1+INDEX(AF$1:AF$2,MATCH($O36,$AA$1:$AA$2,0)))^(AF$16-AE$16),INDEX(AEA2012_ZAR2022!$AC$6:$AG$104,MATCH($T36&amp;$U36,AEA2012_ZAR2022!$A$6:$A$104&amp;AEA2012_ZAR2022!$B$6:$B$104,0),MATCH(AF$16,AEA2012_ZAR2022!$AC$4:$AG$4,0)))</f>
        <v>0.64412400535534919</v>
      </c>
      <c r="AG36" s="67">
        <f t="array" ref="AG36">IF($W$1,AF36*(1+INDEX(AG$1:AG$2,MATCH($O36,$AA$1:$AA$2,0)))^(AG$16-AF$16),INDEX(AEA2012_ZAR2022!$AC$6:$AG$104,MATCH($T36&amp;$U36,AEA2012_ZAR2022!$A$6:$A$104&amp;AEA2012_ZAR2022!$B$6:$B$104,0),MATCH(AG$16,AEA2012_ZAR2022!$AC$4:$AG$4,0)))</f>
        <v>0.61263286676966178</v>
      </c>
      <c r="AH36" s="67">
        <f t="array" ref="AH36">IF($W$1,AG36*(1+INDEX(AH$1:AH$2,MATCH($O36,$AA$1:$AA$2,0)))^(AH$16-AG$16),INDEX(AEA2012_ZAR2022!$AC$6:$AG$104,MATCH($T36&amp;$U36,AEA2012_ZAR2022!$A$6:$A$104&amp;AEA2012_ZAR2022!$B$6:$B$104,0),MATCH(AH$16,AEA2012_ZAR2022!$AC$4:$AG$4,0)))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5"/>
        <v>SUVHGN</v>
      </c>
      <c r="AD37" s="67">
        <f t="array" ref="AD37">INDEX(AEA2012_ZAR2022!$AC$6:$AG$104,MATCH($T37&amp;$U37,AEA2012_ZAR2022!$A$6:$A$104&amp;AEA2012_ZAR2022!$B$6:$B$104,0),MATCH(AD$16,AEA2012_ZAR2022!$S$4:$Z$4,0))</f>
        <v>1.4019884160257075</v>
      </c>
      <c r="AE37" s="67">
        <f t="array" ref="AE37">IF($W$1,AD37*(1+INDEX(AE$1:AE$2,MATCH($O37,$AA$1:$AA$2,0)))^(AE$16-AD$16),INDEX(AEA2012_ZAR2022!$AC$6:$AG$104,MATCH($T37&amp;$U37,AEA2012_ZAR2022!$A$6:$A$104&amp;AEA2012_ZAR2022!$B$6:$B$104,0),MATCH(AE$16,AEA2012_ZAR2022!$AC$4:$AG$4,0)))</f>
        <v>1.3334453852777115</v>
      </c>
      <c r="AF37" s="67">
        <f t="array" ref="AF37">IF($W$1,AE37*(1+INDEX(AF$1:AF$2,MATCH($O37,$AA$1:$AA$2,0)))^(AF$16-AE$16),INDEX(AEA2012_ZAR2022!$AC$6:$AG$104,MATCH($T37&amp;$U37,AEA2012_ZAR2022!$A$6:$A$104&amp;AEA2012_ZAR2022!$B$6:$B$104,0),MATCH(AF$16,AEA2012_ZAR2022!$AC$4:$AG$4,0)))</f>
        <v>1.2682534143604658</v>
      </c>
      <c r="AG37" s="67">
        <f t="array" ref="AG37">IF($W$1,AF37*(1+INDEX(AG$1:AG$2,MATCH($O37,$AA$1:$AA$2,0)))^(AG$16-AF$16),INDEX(AEA2012_ZAR2022!$AC$6:$AG$104,MATCH($T37&amp;$U37,AEA2012_ZAR2022!$A$6:$A$104&amp;AEA2012_ZAR2022!$B$6:$B$104,0),MATCH(AG$16,AEA2012_ZAR2022!$AC$4:$AG$4,0)))</f>
        <v>1.2062486703960433</v>
      </c>
      <c r="AH37" s="67">
        <f t="array" ref="AH37">IF($W$1,AG37*(1+INDEX(AH$1:AH$2,MATCH($O37,$AA$1:$AA$2,0)))^(AH$16-AG$16),INDEX(AEA2012_ZAR2022!$AC$6:$AG$104,MATCH($T37&amp;$U37,AEA2012_ZAR2022!$A$6:$A$104&amp;AEA2012_ZAR2022!$B$6:$B$104,0),MATCH(AH$16,AEA2012_ZAR2022!$AC$4:$AG$4,0)))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5"/>
        <v>SUVGAS</v>
      </c>
      <c r="AD38" s="67">
        <f t="array" ref="AD38">INDEX(AEA2012_ZAR2022!$AC$6:$AG$104,MATCH($T38&amp;$U38,AEA2012_ZAR2022!$A$6:$A$104&amp;AEA2012_ZAR2022!$B$6:$B$104,0),MATCH(AD$16,AEA2012_ZAR2022!$S$4:$Z$4,0))</f>
        <v>3.3385897630365569</v>
      </c>
      <c r="AE38" s="67">
        <f t="array" ref="AE38">IF($W$1,AD38*(1+INDEX(AE$1:AE$2,MATCH($O38,$AA$1:$AA$2,0)))^(AE$16-AD$16),INDEX(AEA2012_ZAR2022!$AC$6:$AG$104,MATCH($T38&amp;$U38,AEA2012_ZAR2022!$A$6:$A$104&amp;AEA2012_ZAR2022!$B$6:$B$104,0),MATCH(AE$16,AEA2012_ZAR2022!$AC$4:$AG$4,0)))</f>
        <v>3.1753665450933903</v>
      </c>
      <c r="AF38" s="67">
        <f t="array" ref="AF38">IF($W$1,AE38*(1+INDEX(AF$1:AF$2,MATCH($O38,$AA$1:$AA$2,0)))^(AF$16-AE$16),INDEX(AEA2012_ZAR2022!$AC$6:$AG$104,MATCH($T38&amp;$U38,AEA2012_ZAR2022!$A$6:$A$104&amp;AEA2012_ZAR2022!$B$6:$B$104,0),MATCH(AF$16,AEA2012_ZAR2022!$AC$4:$AG$4,0)))</f>
        <v>3.0201232889804221</v>
      </c>
      <c r="AG38" s="67">
        <f t="array" ref="AG38">IF($W$1,AF38*(1+INDEX(AG$1:AG$2,MATCH($O38,$AA$1:$AA$2,0)))^(AG$16-AF$16),INDEX(AEA2012_ZAR2022!$AC$6:$AG$104,MATCH($T38&amp;$U38,AEA2012_ZAR2022!$A$6:$A$104&amp;AEA2012_ZAR2022!$B$6:$B$104,0),MATCH(AG$16,AEA2012_ZAR2022!$AC$4:$AG$4,0)))</f>
        <v>2.8724698554048858</v>
      </c>
      <c r="AH38" s="67">
        <f t="array" ref="AH38">IF($W$1,AG38*(1+INDEX(AH$1:AH$2,MATCH($O38,$AA$1:$AA$2,0)))^(AH$16-AG$16),INDEX(AEA2012_ZAR2022!$AC$6:$AG$104,MATCH($T38&amp;$U38,AEA2012_ZAR2022!$A$6:$A$104&amp;AEA2012_ZAR2022!$B$6:$B$104,0),MATCH(AH$16,AEA2012_ZAR2022!$AC$4:$AG$4,0)))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5"/>
        <v/>
      </c>
      <c r="AD39" s="67"/>
      <c r="AE39" s="67">
        <f t="array" ref="AE39">IF($W$1,AD39*(1+INDEX(AE$1:AE$2,MATCH($O39,$AA$1:$AA$2,0)))^(AE$16-AD$16),INDEX(AEA2012_ZAR2022!$AC$6:$AG$104,MATCH($T39&amp;$U39,AEA2012_ZAR2022!$A$6:$A$104&amp;AEA2012_ZAR2022!$B$6:$B$104,0),MATCH(AE$16,AEA2012_ZAR2022!$AC$4:$AG$4,0)))</f>
        <v>0</v>
      </c>
      <c r="AF39" s="67">
        <f t="array" ref="AF39">IF($W$1,AE39*(1+INDEX(AF$1:AF$2,MATCH($O39,$AA$1:$AA$2,0)))^(AF$16-AE$16),INDEX(AEA2012_ZAR2022!$AC$6:$AG$104,MATCH($T39&amp;$U39,AEA2012_ZAR2022!$A$6:$A$104&amp;AEA2012_ZAR2022!$B$6:$B$104,0),MATCH(AF$16,AEA2012_ZAR2022!$AC$4:$AG$4,0)))</f>
        <v>0</v>
      </c>
      <c r="AG39" s="67">
        <f t="array" ref="AG39">IF($W$1,AF39*(1+INDEX(AG$1:AG$2,MATCH($O39,$AA$1:$AA$2,0)))^(AG$16-AF$16),INDEX(AEA2012_ZAR2022!$AC$6:$AG$104,MATCH($T39&amp;$U39,AEA2012_ZAR2022!$A$6:$A$104&amp;AEA2012_ZAR2022!$B$6:$B$104,0),MATCH(AG$16,AEA2012_ZAR2022!$AC$4:$AG$4,0)))</f>
        <v>0</v>
      </c>
      <c r="AH39" s="67">
        <f t="array" ref="AH39">IF($W$1,AG39*(1+INDEX(AH$1:AH$2,MATCH($O39,$AA$1:$AA$2,0)))^(AH$16-AG$16),INDEX(AEA2012_ZAR2022!$AC$6:$AG$104,MATCH($T39&amp;$U39,AEA2012_ZAR2022!$A$6:$A$104&amp;AEA2012_ZAR2022!$B$6:$B$104,0),MATCH(AH$16,AEA2012_ZAR2022!$AC$4:$AG$4,0)))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5"/>
        <v>MBTOGS</v>
      </c>
      <c r="AD40" s="67">
        <f t="array" ref="AD40">INDEX(AEA2012_ZAR2022!$AC$6:$AG$104,MATCH($T40&amp;$U40,AEA2012_ZAR2022!$A$6:$A$104&amp;AEA2012_ZAR2022!$B$6:$B$104,0),MATCH(AD$16,AEA2012_ZAR2022!$S$4:$Z$4,0))</f>
        <v>2.8454207298952694</v>
      </c>
      <c r="AE40" s="67">
        <f t="array" ref="AE40">IF($W$1,AD40*(1+INDEX(AE$1:AE$2,MATCH($O40,$AA$1:$AA$2,0)))^(AE$16-AD$16),INDEX(AEA2012_ZAR2022!$AC$6:$AG$104,MATCH($T40&amp;$U40,AEA2012_ZAR2022!$A$6:$A$104&amp;AEA2012_ZAR2022!$B$6:$B$104,0),MATCH(AE$16,AEA2012_ZAR2022!$AC$4:$AG$4,0)))</f>
        <v>2.7063084816407019</v>
      </c>
      <c r="AF40" s="67">
        <f t="array" ref="AF40">IF($W$1,AE40*(1+INDEX(AF$1:AF$2,MATCH($O40,$AA$1:$AA$2,0)))^(AF$16-AE$16),INDEX(AEA2012_ZAR2022!$AC$6:$AG$104,MATCH($T40&amp;$U40,AEA2012_ZAR2022!$A$6:$A$104&amp;AEA2012_ZAR2022!$B$6:$B$104,0),MATCH(AF$16,AEA2012_ZAR2022!$AC$4:$AG$4,0)))</f>
        <v>2.5739974130539132</v>
      </c>
      <c r="AG40" s="67">
        <f t="array" ref="AG40">IF($W$1,AF40*(1+INDEX(AG$1:AG$2,MATCH($O40,$AA$1:$AA$2,0)))^(AG$16-AF$16),INDEX(AEA2012_ZAR2022!$AC$6:$AG$104,MATCH($T40&amp;$U40,AEA2012_ZAR2022!$A$6:$A$104&amp;AEA2012_ZAR2022!$B$6:$B$104,0),MATCH(AG$16,AEA2012_ZAR2022!$AC$4:$AG$4,0)))</f>
        <v>2.448155015348267</v>
      </c>
      <c r="AH40" s="67">
        <f t="array" ref="AH40">IF($W$1,AG40*(1+INDEX(AH$1:AH$2,MATCH($O40,$AA$1:$AA$2,0)))^(AH$16-AG$16),INDEX(AEA2012_ZAR2022!$AC$6:$AG$104,MATCH($T40&amp;$U40,AEA2012_ZAR2022!$A$6:$A$104&amp;AEA2012_ZAR2022!$B$6:$B$104,0),MATCH(AH$16,AEA2012_ZAR2022!$AC$4:$AG$4,0)))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5"/>
        <v>MBTBGS</v>
      </c>
      <c r="AD41" s="67">
        <f t="array" ref="AD41">INDEX(AEA2012_ZAR2022!$AC$6:$AG$104,MATCH($T41&amp;$U41,AEA2012_ZAR2022!$A$6:$A$104&amp;AEA2012_ZAR2022!$B$6:$B$104,0),MATCH(AD$16,AEA2012_ZAR2022!$S$4:$Z$4,0))</f>
        <v>2.8454207298952694</v>
      </c>
      <c r="AE41" s="67">
        <f t="array" ref="AE41">IF($W$1,AD41*(1+INDEX(AE$1:AE$2,MATCH($O41,$AA$1:$AA$2,0)))^(AE$16-AD$16),INDEX(AEA2012_ZAR2022!$AC$6:$AG$104,MATCH($T41&amp;$U41,AEA2012_ZAR2022!$A$6:$A$104&amp;AEA2012_ZAR2022!$B$6:$B$104,0),MATCH(AE$16,AEA2012_ZAR2022!$AC$4:$AG$4,0)))</f>
        <v>2.7063084816407019</v>
      </c>
      <c r="AF41" s="67">
        <f t="array" ref="AF41">IF($W$1,AE41*(1+INDEX(AF$1:AF$2,MATCH($O41,$AA$1:$AA$2,0)))^(AF$16-AE$16),INDEX(AEA2012_ZAR2022!$AC$6:$AG$104,MATCH($T41&amp;$U41,AEA2012_ZAR2022!$A$6:$A$104&amp;AEA2012_ZAR2022!$B$6:$B$104,0),MATCH(AF$16,AEA2012_ZAR2022!$AC$4:$AG$4,0)))</f>
        <v>2.5739974130539132</v>
      </c>
      <c r="AG41" s="67">
        <f t="array" ref="AG41">IF($W$1,AF41*(1+INDEX(AG$1:AG$2,MATCH($O41,$AA$1:$AA$2,0)))^(AG$16-AF$16),INDEX(AEA2012_ZAR2022!$AC$6:$AG$104,MATCH($T41&amp;$U41,AEA2012_ZAR2022!$A$6:$A$104&amp;AEA2012_ZAR2022!$B$6:$B$104,0),MATCH(AG$16,AEA2012_ZAR2022!$AC$4:$AG$4,0)))</f>
        <v>2.448155015348267</v>
      </c>
      <c r="AH41" s="67">
        <f t="array" ref="AH41">IF($W$1,AG41*(1+INDEX(AH$1:AH$2,MATCH($O41,$AA$1:$AA$2,0)))^(AH$16-AG$16),INDEX(AEA2012_ZAR2022!$AC$6:$AG$104,MATCH($T41&amp;$U41,AEA2012_ZAR2022!$A$6:$A$104&amp;AEA2012_ZAR2022!$B$6:$B$104,0),MATCH(AH$16,AEA2012_ZAR2022!$AC$4:$AG$4,0)))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5"/>
        <v>MBTODS</v>
      </c>
      <c r="AD42" s="67">
        <f t="array" ref="AD42">INDEX(AEA2012_ZAR2022!$AC$6:$AG$104,MATCH($T42&amp;$U42,AEA2012_ZAR2022!$A$6:$A$104&amp;AEA2012_ZAR2022!$B$6:$B$104,0),MATCH(AD$16,AEA2012_ZAR2022!$S$4:$Z$4,0))</f>
        <v>2.9031215330752671</v>
      </c>
      <c r="AE42" s="67">
        <f t="array" ref="AE42">IF($W$1,AD42*(1+INDEX(AE$1:AE$2,MATCH($O42,$AA$1:$AA$2,0)))^(AE$16-AD$16),INDEX(AEA2012_ZAR2022!$AC$6:$AG$104,MATCH($T42&amp;$U42,AEA2012_ZAR2022!$A$6:$A$104&amp;AEA2012_ZAR2022!$B$6:$B$104,0),MATCH(AE$16,AEA2012_ZAR2022!$AC$4:$AG$4,0)))</f>
        <v>2.7611883000812094</v>
      </c>
      <c r="AF42" s="67">
        <f t="array" ref="AF42">IF($W$1,AE42*(1+INDEX(AF$1:AF$2,MATCH($O42,$AA$1:$AA$2,0)))^(AF$16-AE$16),INDEX(AEA2012_ZAR2022!$AC$6:$AG$104,MATCH($T42&amp;$U42,AEA2012_ZAR2022!$A$6:$A$104&amp;AEA2012_ZAR2022!$B$6:$B$104,0),MATCH(AF$16,AEA2012_ZAR2022!$AC$4:$AG$4,0)))</f>
        <v>2.6261941643308022</v>
      </c>
      <c r="AG42" s="67">
        <f t="array" ref="AG42">IF($W$1,AF42*(1+INDEX(AG$1:AG$2,MATCH($O42,$AA$1:$AA$2,0)))^(AG$16-AF$16),INDEX(AEA2012_ZAR2022!$AC$6:$AG$104,MATCH($T42&amp;$U42,AEA2012_ZAR2022!$A$6:$A$104&amp;AEA2012_ZAR2022!$B$6:$B$104,0),MATCH(AG$16,AEA2012_ZAR2022!$AC$4:$AG$4,0)))</f>
        <v>2.4977998742651182</v>
      </c>
      <c r="AH42" s="67">
        <f t="array" ref="AH42">IF($W$1,AG42*(1+INDEX(AH$1:AH$2,MATCH($O42,$AA$1:$AA$2,0)))^(AH$16-AG$16),INDEX(AEA2012_ZAR2022!$AC$6:$AG$104,MATCH($T42&amp;$U42,AEA2012_ZAR2022!$A$6:$A$104&amp;AEA2012_ZAR2022!$B$6:$B$104,0),MATCH(AH$16,AEA2012_ZAR2022!$AC$4:$AG$4,0)))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5"/>
        <v>MBTELC</v>
      </c>
      <c r="AD43" s="67">
        <f t="array" ref="AD43">INDEX(AEA2012_ZAR2022!$AC$6:$AG$104,MATCH($T43&amp;$U43,AEA2012_ZAR2022!$A$6:$A$104&amp;AEA2012_ZAR2022!$B$6:$B$104,0),MATCH(AD$16,AEA2012_ZAR2022!$S$4:$Z$4,0))</f>
        <v>0.71204570298567482</v>
      </c>
      <c r="AE43" s="67">
        <f t="array" ref="AE43">IF($W$1,AD43*(1+INDEX(AE$1:AE$2,MATCH($O43,$AA$1:$AA$2,0)))^(AE$16-AD$16),INDEX(AEA2012_ZAR2022!$AC$6:$AG$104,MATCH($T43&amp;$U43,AEA2012_ZAR2022!$A$6:$A$104&amp;AEA2012_ZAR2022!$B$6:$B$104,0),MATCH(AE$16,AEA2012_ZAR2022!$AC$4:$AG$4,0)))</f>
        <v>0.67723388146429753</v>
      </c>
      <c r="AF43" s="67">
        <f t="array" ref="AF43">IF($W$1,AE43*(1+INDEX(AF$1:AF$2,MATCH($O43,$AA$1:$AA$2,0)))^(AF$16-AE$16),INDEX(AEA2012_ZAR2022!$AC$6:$AG$104,MATCH($T43&amp;$U43,AEA2012_ZAR2022!$A$6:$A$104&amp;AEA2012_ZAR2022!$B$6:$B$104,0),MATCH(AF$16,AEA2012_ZAR2022!$AC$4:$AG$4,0)))</f>
        <v>0.64412400535534919</v>
      </c>
      <c r="AG43" s="67">
        <f t="array" ref="AG43">IF($W$1,AF43*(1+INDEX(AG$1:AG$2,MATCH($O43,$AA$1:$AA$2,0)))^(AG$16-AF$16),INDEX(AEA2012_ZAR2022!$AC$6:$AG$104,MATCH($T43&amp;$U43,AEA2012_ZAR2022!$A$6:$A$104&amp;AEA2012_ZAR2022!$B$6:$B$104,0),MATCH(AG$16,AEA2012_ZAR2022!$AC$4:$AG$4,0)))</f>
        <v>0.61263286676966178</v>
      </c>
      <c r="AH43" s="67">
        <f t="array" ref="AH43">IF($W$1,AG43*(1+INDEX(AH$1:AH$2,MATCH($O43,$AA$1:$AA$2,0)))^(AH$16-AG$16),INDEX(AEA2012_ZAR2022!$AC$6:$AG$104,MATCH($T43&amp;$U43,AEA2012_ZAR2022!$A$6:$A$104&amp;AEA2012_ZAR2022!$B$6:$B$104,0),MATCH(AH$16,AEA2012_ZAR2022!$AC$4:$AG$4,0)))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5"/>
        <v>MBTHGN</v>
      </c>
      <c r="AD44" s="67">
        <f t="array" ref="AD44">INDEX(AEA2012_ZAR2022!$AC$6:$AG$104,MATCH($T44&amp;$U44,AEA2012_ZAR2022!$A$6:$A$104&amp;AEA2012_ZAR2022!$B$6:$B$104,0),MATCH(AD$16,AEA2012_ZAR2022!$S$4:$Z$4,0))</f>
        <v>1.4019884160257075</v>
      </c>
      <c r="AE44" s="67">
        <f t="array" ref="AE44">IF($W$1,AD44*(1+INDEX(AE$1:AE$2,MATCH($O44,$AA$1:$AA$2,0)))^(AE$16-AD$16),INDEX(AEA2012_ZAR2022!$AC$6:$AG$104,MATCH($T44&amp;$U44,AEA2012_ZAR2022!$A$6:$A$104&amp;AEA2012_ZAR2022!$B$6:$B$104,0),MATCH(AE$16,AEA2012_ZAR2022!$AC$4:$AG$4,0)))</f>
        <v>1.3334453852777115</v>
      </c>
      <c r="AF44" s="67">
        <f t="array" ref="AF44">IF($W$1,AE44*(1+INDEX(AF$1:AF$2,MATCH($O44,$AA$1:$AA$2,0)))^(AF$16-AE$16),INDEX(AEA2012_ZAR2022!$AC$6:$AG$104,MATCH($T44&amp;$U44,AEA2012_ZAR2022!$A$6:$A$104&amp;AEA2012_ZAR2022!$B$6:$B$104,0),MATCH(AF$16,AEA2012_ZAR2022!$AC$4:$AG$4,0)))</f>
        <v>1.2682534143604658</v>
      </c>
      <c r="AG44" s="67">
        <f t="array" ref="AG44">IF($W$1,AF44*(1+INDEX(AG$1:AG$2,MATCH($O44,$AA$1:$AA$2,0)))^(AG$16-AF$16),INDEX(AEA2012_ZAR2022!$AC$6:$AG$104,MATCH($T44&amp;$U44,AEA2012_ZAR2022!$A$6:$A$104&amp;AEA2012_ZAR2022!$B$6:$B$104,0),MATCH(AG$16,AEA2012_ZAR2022!$AC$4:$AG$4,0)))</f>
        <v>1.2062486703960433</v>
      </c>
      <c r="AH44" s="67">
        <f t="array" ref="AH44">IF($W$1,AG44*(1+INDEX(AH$1:AH$2,MATCH($O44,$AA$1:$AA$2,0)))^(AH$16-AG$16),INDEX(AEA2012_ZAR2022!$AC$6:$AG$104,MATCH($T44&amp;$U44,AEA2012_ZAR2022!$A$6:$A$104&amp;AEA2012_ZAR2022!$B$6:$B$104,0),MATCH(AH$16,AEA2012_ZAR2022!$AC$4:$AG$4,0)))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5"/>
        <v>MBTGAS</v>
      </c>
      <c r="AD45" s="67">
        <f t="array" ref="AD45">INDEX(AEA2012_ZAR2022!$AC$6:$AG$104,MATCH($T45&amp;$U45,AEA2012_ZAR2022!$A$6:$A$104&amp;AEA2012_ZAR2022!$B$6:$B$104,0),MATCH(AD$16,AEA2012_ZAR2022!$S$4:$Z$4,0))</f>
        <v>3.3385897630365569</v>
      </c>
      <c r="AE45" s="67">
        <f t="array" ref="AE45">IF($W$1,AD45*(1+INDEX(AE$1:AE$2,MATCH($O45,$AA$1:$AA$2,0)))^(AE$16-AD$16),INDEX(AEA2012_ZAR2022!$AC$6:$AG$104,MATCH($T45&amp;$U45,AEA2012_ZAR2022!$A$6:$A$104&amp;AEA2012_ZAR2022!$B$6:$B$104,0),MATCH(AE$16,AEA2012_ZAR2022!$AC$4:$AG$4,0)))</f>
        <v>3.1753665450933903</v>
      </c>
      <c r="AF45" s="67">
        <f t="array" ref="AF45">IF($W$1,AE45*(1+INDEX(AF$1:AF$2,MATCH($O45,$AA$1:$AA$2,0)))^(AF$16-AE$16),INDEX(AEA2012_ZAR2022!$AC$6:$AG$104,MATCH($T45&amp;$U45,AEA2012_ZAR2022!$A$6:$A$104&amp;AEA2012_ZAR2022!$B$6:$B$104,0),MATCH(AF$16,AEA2012_ZAR2022!$AC$4:$AG$4,0)))</f>
        <v>3.0201232889804221</v>
      </c>
      <c r="AG45" s="67">
        <f t="array" ref="AG45">IF($W$1,AF45*(1+INDEX(AG$1:AG$2,MATCH($O45,$AA$1:$AA$2,0)))^(AG$16-AF$16),INDEX(AEA2012_ZAR2022!$AC$6:$AG$104,MATCH($T45&amp;$U45,AEA2012_ZAR2022!$A$6:$A$104&amp;AEA2012_ZAR2022!$B$6:$B$104,0),MATCH(AG$16,AEA2012_ZAR2022!$AC$4:$AG$4,0)))</f>
        <v>2.8724698554048858</v>
      </c>
      <c r="AH45" s="67">
        <f t="array" ref="AH45">IF($W$1,AG45*(1+INDEX(AH$1:AH$2,MATCH($O45,$AA$1:$AA$2,0)))^(AH$16-AG$16),INDEX(AEA2012_ZAR2022!$AC$6:$AG$104,MATCH($T45&amp;$U45,AEA2012_ZAR2022!$A$6:$A$104&amp;AEA2012_ZAR2022!$B$6:$B$104,0),MATCH(AH$16,AEA2012_ZAR2022!$AC$4:$AG$4,0)))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5"/>
        <v/>
      </c>
      <c r="AD46" s="67" t="e">
        <f t="array" ref="AD46">INDEX(AEA2012_ZAR2022!$AC$6:$AG$104,MATCH($T46&amp;$U46,AEA2012_ZAR2022!$A$6:$A$104&amp;AEA2012_ZAR2022!$B$6:$B$104,0),MATCH(AD$16,AEA2012_ZAR2022!$S$4:$Z$4,0))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5"/>
        <v>MOTOGS</v>
      </c>
      <c r="AD47" s="67">
        <f t="array" ref="AD47">INDEX(AEA2012_ZAR2022!$AC$6:$AG$104,MATCH($T47&amp;$U47,AEA2012_ZAR2022!$A$6:$A$104&amp;AEA2012_ZAR2022!$B$6:$B$104,0),MATCH(AD$16,AEA2012_ZAR2022!$S$4:$Z$4,0))</f>
        <v>1.6564224548036226</v>
      </c>
      <c r="AE47" s="67">
        <f t="array" ref="AE47">IF($W$1,AD47*(1+INDEX(AE$1:AE$2,MATCH($O47,$AA$1:$AA$2,0)))^(AE$16-AD$16),INDEX(AEA2012_ZAR2022!$AC$6:$AG$104,MATCH($T47&amp;$U47,AEA2012_ZAR2022!$A$6:$A$104&amp;AEA2012_ZAR2022!$B$6:$B$104,0),MATCH(AE$16,AEA2012_ZAR2022!$AC$4:$AG$4,0)))</f>
        <v>1.5754401770947077</v>
      </c>
      <c r="AF47" s="67">
        <f t="array" ref="AF47">IF($W$1,AE47*(1+INDEX(AF$1:AF$2,MATCH($O47,$AA$1:$AA$2,0)))^(AF$16-AE$16),INDEX(AEA2012_ZAR2022!$AC$6:$AG$104,MATCH($T47&amp;$U47,AEA2012_ZAR2022!$A$6:$A$104&amp;AEA2012_ZAR2022!$B$6:$B$104,0),MATCH(AF$16,AEA2012_ZAR2022!$AC$4:$AG$4,0)))</f>
        <v>1.4984171123775665</v>
      </c>
      <c r="AG47" s="67">
        <f t="array" ref="AG47">IF($W$1,AF47*(1+INDEX(AG$1:AG$2,MATCH($O47,$AA$1:$AA$2,0)))^(AG$16-AF$16),INDEX(AEA2012_ZAR2022!$AC$6:$AG$104,MATCH($T47&amp;$U47,AEA2012_ZAR2022!$A$6:$A$104&amp;AEA2012_ZAR2022!$B$6:$B$104,0),MATCH(AG$16,AEA2012_ZAR2022!$AC$4:$AG$4,0)))</f>
        <v>1.4251596952455725</v>
      </c>
      <c r="AH47" s="67">
        <f t="array" ref="AH47">IF($W$1,AG47*(1+INDEX(AH$1:AH$2,MATCH($O47,$AA$1:$AA$2,0)))^(AH$16-AG$16),INDEX(AEA2012_ZAR2022!$AC$6:$AG$104,MATCH($T47&amp;$U47,AEA2012_ZAR2022!$A$6:$A$104&amp;AEA2012_ZAR2022!$B$6:$B$104,0),MATCH(AH$16,AEA2012_ZAR2022!$AC$4:$AG$4,0)))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5"/>
        <v>MOTODS</v>
      </c>
      <c r="AD48" s="67">
        <f t="array" ref="AD48">INDEX(AEA2012_ZAR2022!$AC$6:$AG$104,MATCH($T48&amp;$U48,AEA2012_ZAR2022!$A$6:$A$104&amp;AEA2012_ZAR2022!$B$6:$B$104,0),MATCH(AD$16,AEA2012_ZAR2022!$S$4:$Z$4,0))</f>
        <v>1.242316841102717</v>
      </c>
      <c r="AE48" s="67">
        <f t="array" ref="AE48">IF($W$1,AD48*(1+INDEX(AE$1:AE$2,MATCH($O48,$AA$1:$AA$2,0)))^(AE$16-AD$16),INDEX(AEA2012_ZAR2022!$AC$6:$AG$104,MATCH($T48&amp;$U48,AEA2012_ZAR2022!$A$6:$A$104&amp;AEA2012_ZAR2022!$B$6:$B$104,0),MATCH(AE$16,AEA2012_ZAR2022!$AC$4:$AG$4,0)))</f>
        <v>1.1815801328210309</v>
      </c>
      <c r="AF48" s="67">
        <f t="array" ref="AF48">IF($W$1,AE48*(1+INDEX(AF$1:AF$2,MATCH($O48,$AA$1:$AA$2,0)))^(AF$16-AE$16),INDEX(AEA2012_ZAR2022!$AC$6:$AG$104,MATCH($T48&amp;$U48,AEA2012_ZAR2022!$A$6:$A$104&amp;AEA2012_ZAR2022!$B$6:$B$104,0),MATCH(AF$16,AEA2012_ZAR2022!$AC$4:$AG$4,0)))</f>
        <v>1.1238128342831748</v>
      </c>
      <c r="AG48" s="67">
        <f t="array" ref="AG48">IF($W$1,AF48*(1+INDEX(AG$1:AG$2,MATCH($O48,$AA$1:$AA$2,0)))^(AG$16-AF$16),INDEX(AEA2012_ZAR2022!$AC$6:$AG$104,MATCH($T48&amp;$U48,AEA2012_ZAR2022!$A$6:$A$104&amp;AEA2012_ZAR2022!$B$6:$B$104,0),MATCH(AG$16,AEA2012_ZAR2022!$AC$4:$AG$4,0)))</f>
        <v>1.0688697714341793</v>
      </c>
      <c r="AH48" s="67">
        <f t="array" ref="AH48">IF($W$1,AG48*(1+INDEX(AH$1:AH$2,MATCH($O48,$AA$1:$AA$2,0)))^(AH$16-AG$16),INDEX(AEA2012_ZAR2022!$AC$6:$AG$104,MATCH($T48&amp;$U48,AEA2012_ZAR2022!$A$6:$A$104&amp;AEA2012_ZAR2022!$B$6:$B$104,0),MATCH(AH$16,AEA2012_ZAR2022!$AC$4:$AG$4,0)))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5"/>
        <v>MOTELC</v>
      </c>
      <c r="AD49" s="67">
        <f t="array" ref="AD49">INDEX(AEA2012_ZAR2022!$AC$6:$AG$104,MATCH($T49&amp;$U49,AEA2012_ZAR2022!$A$6:$A$104&amp;AEA2012_ZAR2022!$B$6:$B$104,0),MATCH(AD$16,AEA2012_ZAR2022!$S$4:$Z$4,0))</f>
        <v>0.33397671303006748</v>
      </c>
      <c r="AE49" s="67">
        <f t="array" ref="AE49">IF($W$1,AD49*(1+INDEX(AE$1:AE$2,MATCH($O49,$AA$1:$AA$2,0)))^(AE$16-AD$16),INDEX(AEA2012_ZAR2022!$AC$6:$AG$104,MATCH($T49&amp;$U49,AEA2012_ZAR2022!$A$6:$A$104&amp;AEA2012_ZAR2022!$B$6:$B$104,0),MATCH(AE$16,AEA2012_ZAR2022!$AC$4:$AG$4,0)))</f>
        <v>0.3176486351025572</v>
      </c>
      <c r="AF49" s="67">
        <f t="array" ref="AF49">IF($W$1,AE49*(1+INDEX(AF$1:AF$2,MATCH($O49,$AA$1:$AA$2,0)))^(AF$16-AE$16),INDEX(AEA2012_ZAR2022!$AC$6:$AG$104,MATCH($T49&amp;$U49,AEA2012_ZAR2022!$A$6:$A$104&amp;AEA2012_ZAR2022!$B$6:$B$104,0),MATCH(AF$16,AEA2012_ZAR2022!$AC$4:$AG$4,0)))</f>
        <v>0.30211883477466756</v>
      </c>
      <c r="AG49" s="67">
        <f t="array" ref="AG49">IF($W$1,AF49*(1+INDEX(AG$1:AG$2,MATCH($O49,$AA$1:$AA$2,0)))^(AG$16-AF$16),INDEX(AEA2012_ZAR2022!$AC$6:$AG$104,MATCH($T49&amp;$U49,AEA2012_ZAR2022!$A$6:$A$104&amp;AEA2012_ZAR2022!$B$6:$B$104,0),MATCH(AG$16,AEA2012_ZAR2022!$AC$4:$AG$4,0)))</f>
        <v>0.28734828435870108</v>
      </c>
      <c r="AH49" s="67">
        <f t="array" ref="AH49">IF($W$1,AG49*(1+INDEX(AH$1:AH$2,MATCH($O49,$AA$1:$AA$2,0)))^(AH$16-AG$16),INDEX(AEA2012_ZAR2022!$AC$6:$AG$104,MATCH($T49&amp;$U49,AEA2012_ZAR2022!$A$6:$A$104&amp;AEA2012_ZAR2022!$B$6:$B$104,0),MATCH(AH$16,AEA2012_ZAR2022!$AC$4:$AG$4,0)))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5"/>
        <v>MOTHGN</v>
      </c>
      <c r="AD50" s="67">
        <f t="array" ref="AD50">INDEX(AEA2012_ZAR2022!$AC$6:$AG$104,MATCH($T50&amp;$U50,AEA2012_ZAR2022!$A$6:$A$104&amp;AEA2012_ZAR2022!$B$6:$B$104,0),MATCH(AD$16,AEA2012_ZAR2022!$S$4:$Z$4,0))</f>
        <v>0.73404373741708251</v>
      </c>
      <c r="AE50" s="67">
        <f t="array" ref="AE50">IF($W$1,AD50*(1+INDEX(AE$1:AE$2,MATCH($O50,$AA$1:$AA$2,0)))^(AE$16-AD$16),INDEX(AEA2012_ZAR2022!$AC$6:$AG$104,MATCH($T50&amp;$U50,AEA2012_ZAR2022!$A$6:$A$104&amp;AEA2012_ZAR2022!$B$6:$B$104,0),MATCH(AE$16,AEA2012_ZAR2022!$AC$4:$AG$4,0)))</f>
        <v>0.69815643486234424</v>
      </c>
      <c r="AF50" s="67">
        <f t="array" ref="AF50">IF($W$1,AE50*(1+INDEX(AF$1:AF$2,MATCH($O50,$AA$1:$AA$2,0)))^(AF$16-AE$16),INDEX(AEA2012_ZAR2022!$AC$6:$AG$104,MATCH($T50&amp;$U50,AEA2012_ZAR2022!$A$6:$A$104&amp;AEA2012_ZAR2022!$B$6:$B$104,0),MATCH(AF$16,AEA2012_ZAR2022!$AC$4:$AG$4,0)))</f>
        <v>0.66402365784744244</v>
      </c>
      <c r="AG50" s="67">
        <f t="array" ref="AG50">IF($W$1,AF50*(1+INDEX(AG$1:AG$2,MATCH($O50,$AA$1:$AA$2,0)))^(AG$16-AF$16),INDEX(AEA2012_ZAR2022!$AC$6:$AG$104,MATCH($T50&amp;$U50,AEA2012_ZAR2022!$A$6:$A$104&amp;AEA2012_ZAR2022!$B$6:$B$104,0),MATCH(AG$16,AEA2012_ZAR2022!$AC$4:$AG$4,0)))</f>
        <v>0.63155962784764008</v>
      </c>
      <c r="AH50" s="67">
        <f t="array" ref="AH50">IF($W$1,AG50*(1+INDEX(AH$1:AH$2,MATCH($O50,$AA$1:$AA$2,0)))^(AH$16-AG$16),INDEX(AEA2012_ZAR2022!$AC$6:$AG$104,MATCH($T50&amp;$U50,AEA2012_ZAR2022!$A$6:$A$104&amp;AEA2012_ZAR2022!$B$6:$B$104,0),MATCH(AH$16,AEA2012_ZAR2022!$AC$4:$AG$4,0)))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5"/>
        <v/>
      </c>
      <c r="AD51" s="67" t="e">
        <f t="array" ref="AD51">INDEX(AEA2012_ZAR2022!$AC$6:$AG$104,MATCH($T51&amp;$U51,AEA2012_ZAR2022!$A$6:$A$104&amp;AEA2012_ZAR2022!$B$6:$B$104,0),MATCH(AD$16,AEA2012_ZAR2022!$S$4:$Z$4,0))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5"/>
        <v>BUSODS</v>
      </c>
      <c r="AD52" s="67">
        <f t="array" ref="AD52">INDEX(AEA2012_ZAR2022!$AC$6:$AG$104,MATCH($T52&amp;$U52,AEA2012_ZAR2022!$A$6:$A$104&amp;AEA2012_ZAR2022!$B$6:$B$104,0),MATCH(AD$16,AEA2012_ZAR2022!$S$4:$Z$4,0))</f>
        <v>13.994490402622045</v>
      </c>
      <c r="AE52" s="67">
        <f t="array" ref="AE52">IF($W$1,AD52*(1+INDEX(AE$1:AE$2,MATCH($O52,$AA$1:$AA$2,0)))^(AE$16-AD$16),INDEX(AEA2012_ZAR2022!$AC$6:$AG$104,MATCH($T52&amp;$U52,AEA2012_ZAR2022!$A$6:$A$104&amp;AEA2012_ZAR2022!$B$6:$B$104,0),MATCH(AE$16,AEA2012_ZAR2022!$AC$4:$AG$4,0)))</f>
        <v>13.310301592639847</v>
      </c>
      <c r="AF52" s="67">
        <f t="array" ref="AF52">IF($W$1,AE52*(1+INDEX(AF$1:AF$2,MATCH($O52,$AA$1:$AA$2,0)))^(AF$16-AE$16),INDEX(AEA2012_ZAR2022!$AC$6:$AG$104,MATCH($T52&amp;$U52,AEA2012_ZAR2022!$A$6:$A$104&amp;AEA2012_ZAR2022!$B$6:$B$104,0),MATCH(AF$16,AEA2012_ZAR2022!$AC$4:$AG$4,0)))</f>
        <v>12.659562684314457</v>
      </c>
      <c r="AG52" s="67">
        <f t="array" ref="AG52">IF($W$1,AF52*(1+INDEX(AG$1:AG$2,MATCH($O52,$AA$1:$AA$2,0)))^(AG$16-AF$16),INDEX(AEA2012_ZAR2022!$AC$6:$AG$104,MATCH($T52&amp;$U52,AEA2012_ZAR2022!$A$6:$A$104&amp;AEA2012_ZAR2022!$B$6:$B$104,0),MATCH(AG$16,AEA2012_ZAR2022!$AC$4:$AG$4,0)))</f>
        <v>12.040638316317942</v>
      </c>
      <c r="AH52" s="67">
        <f t="array" ref="AH52">IF($W$1,AG52*(1+INDEX(AH$1:AH$2,MATCH($O52,$AA$1:$AA$2,0)))^(AH$16-AG$16),INDEX(AEA2012_ZAR2022!$AC$6:$AG$104,MATCH($T52&amp;$U52,AEA2012_ZAR2022!$A$6:$A$104&amp;AEA2012_ZAR2022!$B$6:$B$104,0),MATCH(AH$16,AEA2012_ZAR2022!$AC$4:$AG$4,0)))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5"/>
        <v>BUSBGS</v>
      </c>
      <c r="AD53" s="67">
        <f t="array" ref="AD53">INDEX(AEA2012_ZAR2022!$AC$6:$AG$104,MATCH($T53&amp;$U53,AEA2012_ZAR2022!$A$6:$A$104&amp;AEA2012_ZAR2022!$B$6:$B$104,0),MATCH(AD$16,AEA2012_ZAR2022!$S$4:$Z$4,0))</f>
        <v>13.994490402622045</v>
      </c>
      <c r="AE53" s="67">
        <f t="array" ref="AE53">IF($W$1,AD53*(1+INDEX(AE$1:AE$2,MATCH($O53,$AA$1:$AA$2,0)))^(AE$16-AD$16),INDEX(AEA2012_ZAR2022!$AC$6:$AG$104,MATCH($T53&amp;$U53,AEA2012_ZAR2022!$A$6:$A$104&amp;AEA2012_ZAR2022!$B$6:$B$104,0),MATCH(AE$16,AEA2012_ZAR2022!$AC$4:$AG$4,0)))</f>
        <v>13.310301592639847</v>
      </c>
      <c r="AF53" s="67">
        <f t="array" ref="AF53">IF($W$1,AE53*(1+INDEX(AF$1:AF$2,MATCH($O53,$AA$1:$AA$2,0)))^(AF$16-AE$16),INDEX(AEA2012_ZAR2022!$AC$6:$AG$104,MATCH($T53&amp;$U53,AEA2012_ZAR2022!$A$6:$A$104&amp;AEA2012_ZAR2022!$B$6:$B$104,0),MATCH(AF$16,AEA2012_ZAR2022!$AC$4:$AG$4,0)))</f>
        <v>12.659562684314457</v>
      </c>
      <c r="AG53" s="67">
        <f t="array" ref="AG53">IF($W$1,AF53*(1+INDEX(AG$1:AG$2,MATCH($O53,$AA$1:$AA$2,0)))^(AG$16-AF$16),INDEX(AEA2012_ZAR2022!$AC$6:$AG$104,MATCH($T53&amp;$U53,AEA2012_ZAR2022!$A$6:$A$104&amp;AEA2012_ZAR2022!$B$6:$B$104,0),MATCH(AG$16,AEA2012_ZAR2022!$AC$4:$AG$4,0)))</f>
        <v>12.040638316317942</v>
      </c>
      <c r="AH53" s="67">
        <f t="array" ref="AH53">IF($W$1,AG53*(1+INDEX(AH$1:AH$2,MATCH($O53,$AA$1:$AA$2,0)))^(AH$16-AG$16),INDEX(AEA2012_ZAR2022!$AC$6:$AG$104,MATCH($T53&amp;$U53,AEA2012_ZAR2022!$A$6:$A$104&amp;AEA2012_ZAR2022!$B$6:$B$104,0),MATCH(AH$16,AEA2012_ZAR2022!$AC$4:$AG$4,0)))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5"/>
        <v>BUSELC</v>
      </c>
      <c r="AD54" s="67">
        <f t="array" ref="AD54">INDEX(AEA2012_ZAR2022!$AC$6:$AG$104,MATCH($T54&amp;$U54,AEA2012_ZAR2022!$A$6:$A$104&amp;AEA2012_ZAR2022!$B$6:$B$104,0),MATCH(AD$16,AEA2012_ZAR2022!$S$4:$Z$4,0))</f>
        <v>4.2967374340531439</v>
      </c>
      <c r="AE54" s="67">
        <f t="array" ref="AE54">IF($W$1,AD54*(1+INDEX(AE$1:AE$2,MATCH($O54,$AA$1:$AA$2,0)))^(AE$16-AD$16),INDEX(AEA2012_ZAR2022!$AC$6:$AG$104,MATCH($T54&amp;$U54,AEA2012_ZAR2022!$A$6:$A$104&amp;AEA2012_ZAR2022!$B$6:$B$104,0),MATCH(AE$16,AEA2012_ZAR2022!$AC$4:$AG$4,0)))</f>
        <v>4.0866705014794524</v>
      </c>
      <c r="AF54" s="67">
        <f t="array" ref="AF54">IF($W$1,AE54*(1+INDEX(AF$1:AF$2,MATCH($O54,$AA$1:$AA$2,0)))^(AF$16-AE$16),INDEX(AEA2012_ZAR2022!$AC$6:$AG$104,MATCH($T54&amp;$U54,AEA2012_ZAR2022!$A$6:$A$104&amp;AEA2012_ZAR2022!$B$6:$B$104,0),MATCH(AF$16,AEA2012_ZAR2022!$AC$4:$AG$4,0)))</f>
        <v>3.8868737138327436</v>
      </c>
      <c r="AG54" s="67">
        <f t="array" ref="AG54">IF($W$1,AF54*(1+INDEX(AG$1:AG$2,MATCH($O54,$AA$1:$AA$2,0)))^(AG$16-AF$16),INDEX(AEA2012_ZAR2022!$AC$6:$AG$104,MATCH($T54&amp;$U54,AEA2012_ZAR2022!$A$6:$A$104&amp;AEA2012_ZAR2022!$B$6:$B$104,0),MATCH(AG$16,AEA2012_ZAR2022!$AC$4:$AG$4,0)))</f>
        <v>3.6968449650674402</v>
      </c>
      <c r="AH54" s="67">
        <f t="array" ref="AH54">IF($W$1,AG54*(1+INDEX(AH$1:AH$2,MATCH($O54,$AA$1:$AA$2,0)))^(AH$16-AG$16),INDEX(AEA2012_ZAR2022!$AC$6:$AG$104,MATCH($T54&amp;$U54,AEA2012_ZAR2022!$A$6:$A$104&amp;AEA2012_ZAR2022!$B$6:$B$104,0),MATCH(AH$16,AEA2012_ZAR2022!$AC$4:$AG$4,0)))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4657878.9828369115</v>
      </c>
      <c r="X55" s="103">
        <f t="array" ref="X55">IF(X$18,INDEX(AEA2012_ZAR2022!$K$6:$R$104,MATCH($T55&amp;$R55,AEA2012_ZAR2022!$A$6:$A$104&amp;AEA2012_ZAR2022!$B$6:$B$104,0),MATCH(X$16,AEA2012_ZAR2022!$S$4:$Z$4,0)),INDEX(AEA2012_ZAR2022!$K$6:$R$104,MATCH($T55&amp;$U55,AEA2012_ZAR2022!$A$6:$A$104&amp;AEA2012_ZAR2022!$B$6:$B$104,0),MATCH(X$16,AEA2012_ZAR2022!$S$4:$Z$4,0)))</f>
        <v>4284563.3154619941</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5"/>
        <v>BUSHGN</v>
      </c>
      <c r="AD55" s="67">
        <f t="array" ref="AD55">INDEX(AEA2012_ZAR2022!$AC$6:$AG$104,MATCH($T55&amp;$U55,AEA2012_ZAR2022!$A$6:$A$104&amp;AEA2012_ZAR2022!$B$6:$B$104,0),MATCH(AD$16,AEA2012_ZAR2022!$S$4:$Z$4,0))</f>
        <v>6.6335595473101172</v>
      </c>
      <c r="AE55" s="67">
        <f t="array" ref="AE55">IF($W$1,AD55*(1+INDEX(AE$1:AE$2,MATCH($O55,$AA$1:$AA$2,0)))^(AE$16-AD$16),INDEX(AEA2012_ZAR2022!$AC$6:$AG$104,MATCH($T55&amp;$U55,AEA2012_ZAR2022!$A$6:$A$104&amp;AEA2012_ZAR2022!$B$6:$B$104,0),MATCH(AE$16,AEA2012_ZAR2022!$AC$4:$AG$4,0)))</f>
        <v>6.3092456864945925</v>
      </c>
      <c r="AF55" s="67">
        <f t="array" ref="AF55">IF($W$1,AE55*(1+INDEX(AF$1:AF$2,MATCH($O55,$AA$1:$AA$2,0)))^(AF$16-AE$16),INDEX(AEA2012_ZAR2022!$AC$6:$AG$104,MATCH($T55&amp;$U55,AEA2012_ZAR2022!$A$6:$A$104&amp;AEA2012_ZAR2022!$B$6:$B$104,0),MATCH(AF$16,AEA2012_ZAR2022!$AC$4:$AG$4,0)))</f>
        <v>6.000787488022481</v>
      </c>
      <c r="AG55" s="67">
        <f t="array" ref="AG55">IF($W$1,AF55*(1+INDEX(AG$1:AG$2,MATCH($O55,$AA$1:$AA$2,0)))^(AG$16-AF$16),INDEX(AEA2012_ZAR2022!$AC$6:$AG$104,MATCH($T55&amp;$U55,AEA2012_ZAR2022!$A$6:$A$104&amp;AEA2012_ZAR2022!$B$6:$B$104,0),MATCH(AG$16,AEA2012_ZAR2022!$AC$4:$AG$4,0)))</f>
        <v>5.7074097706304343</v>
      </c>
      <c r="AH55" s="67">
        <f t="array" ref="AH55">IF($W$1,AG55*(1+INDEX(AH$1:AH$2,MATCH($O55,$AA$1:$AA$2,0)))^(AH$16-AG$16),INDEX(AEA2012_ZAR2022!$AC$6:$AG$104,MATCH($T55&amp;$U55,AEA2012_ZAR2022!$A$6:$A$104&amp;AEA2012_ZAR2022!$B$6:$B$104,0),MATCH(AH$16,AEA2012_ZAR2022!$AC$4:$AG$4,0)))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5"/>
        <v>BUSGAS</v>
      </c>
      <c r="AD56" s="67">
        <f t="array" ref="AD56">INDEX(AEA2012_ZAR2022!$AC$6:$AG$104,MATCH($T56&amp;$U56,AEA2012_ZAR2022!$A$6:$A$104&amp;AEA2012_ZAR2022!$B$6:$B$104,0),MATCH(AD$16,AEA2012_ZAR2022!$S$4:$Z$4,0))</f>
        <v>16.093663963015352</v>
      </c>
      <c r="AE56" s="67">
        <f t="array" ref="AE56">IF($W$1,AD56*(1+INDEX(AE$1:AE$2,MATCH($O56,$AA$1:$AA$2,0)))^(AE$16-AD$16),INDEX(AEA2012_ZAR2022!$AC$6:$AG$104,MATCH($T56&amp;$U56,AEA2012_ZAR2022!$A$6:$A$104&amp;AEA2012_ZAR2022!$B$6:$B$104,0),MATCH(AE$16,AEA2012_ZAR2022!$AC$4:$AG$4,0)))</f>
        <v>15.306846831535825</v>
      </c>
      <c r="AF56" s="67">
        <f t="array" ref="AF56">IF($W$1,AE56*(1+INDEX(AF$1:AF$2,MATCH($O56,$AA$1:$AA$2,0)))^(AF$16-AE$16),INDEX(AEA2012_ZAR2022!$AC$6:$AG$104,MATCH($T56&amp;$U56,AEA2012_ZAR2022!$A$6:$A$104&amp;AEA2012_ZAR2022!$B$6:$B$104,0),MATCH(AF$16,AEA2012_ZAR2022!$AC$4:$AG$4,0)))</f>
        <v>14.558497086961626</v>
      </c>
      <c r="AG56" s="67">
        <f t="array" ref="AG56">IF($W$1,AF56*(1+INDEX(AG$1:AG$2,MATCH($O56,$AA$1:$AA$2,0)))^(AG$16-AF$16),INDEX(AEA2012_ZAR2022!$AC$6:$AG$104,MATCH($T56&amp;$U56,AEA2012_ZAR2022!$A$6:$A$104&amp;AEA2012_ZAR2022!$B$6:$B$104,0),MATCH(AG$16,AEA2012_ZAR2022!$AC$4:$AG$4,0)))</f>
        <v>13.846734063765634</v>
      </c>
      <c r="AH56" s="67">
        <f t="array" ref="AH56">IF($W$1,AG56*(1+INDEX(AH$1:AH$2,MATCH($O56,$AA$1:$AA$2,0)))^(AH$16-AG$16),INDEX(AEA2012_ZAR2022!$AC$6:$AG$104,MATCH($T56&amp;$U56,AEA2012_ZAR2022!$A$6:$A$104&amp;AEA2012_ZAR2022!$B$6:$B$104,0),MATCH(AH$16,AEA2012_ZAR2022!$AC$4:$AG$4,0)))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5"/>
        <v/>
      </c>
      <c r="AD57" s="67"/>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5"/>
        <v>BRTODS</v>
      </c>
      <c r="AD58" s="67">
        <f t="array" ref="AD58">INDEX(AEA2012_ZAR2022!$AC$6:$AG$104,MATCH($T58&amp;$U58,AEA2012_ZAR2022!$A$6:$A$104&amp;AEA2012_ZAR2022!$B$6:$B$104,0),MATCH(AD$16,AEA2012_ZAR2022!$S$4:$Z$4,0))</f>
        <v>13.994490402622045</v>
      </c>
      <c r="AE58" s="67">
        <f t="array" ref="AE58">IF($W$1,AD58*(1+INDEX(AE$1:AE$2,MATCH($O58,$AA$1:$AA$2,0)))^(AE$16-AD$16),INDEX(AEA2012_ZAR2022!$AC$6:$AG$104,MATCH($T58&amp;$U58,AEA2012_ZAR2022!$A$6:$A$104&amp;AEA2012_ZAR2022!$B$6:$B$104,0),MATCH(AE$16,AEA2012_ZAR2022!$AC$4:$AG$4,0)))</f>
        <v>13.310301592639847</v>
      </c>
      <c r="AF58" s="67">
        <f t="array" ref="AF58">IF($W$1,AE58*(1+INDEX(AF$1:AF$2,MATCH($O58,$AA$1:$AA$2,0)))^(AF$16-AE$16),INDEX(AEA2012_ZAR2022!$AC$6:$AG$104,MATCH($T58&amp;$U58,AEA2012_ZAR2022!$A$6:$A$104&amp;AEA2012_ZAR2022!$B$6:$B$104,0),MATCH(AF$16,AEA2012_ZAR2022!$AC$4:$AG$4,0)))</f>
        <v>12.659562684314457</v>
      </c>
      <c r="AG58" s="67">
        <f t="array" ref="AG58">IF($W$1,AF58*(1+INDEX(AG$1:AG$2,MATCH($O58,$AA$1:$AA$2,0)))^(AG$16-AF$16),INDEX(AEA2012_ZAR2022!$AC$6:$AG$104,MATCH($T58&amp;$U58,AEA2012_ZAR2022!$A$6:$A$104&amp;AEA2012_ZAR2022!$B$6:$B$104,0),MATCH(AG$16,AEA2012_ZAR2022!$AC$4:$AG$4,0)))</f>
        <v>12.040638316317942</v>
      </c>
      <c r="AH58" s="67">
        <f t="array" ref="AH58">IF($W$1,AG58*(1+INDEX(AH$1:AH$2,MATCH($O58,$AA$1:$AA$2,0)))^(AH$16-AG$16),INDEX(AEA2012_ZAR2022!$AC$6:$AG$104,MATCH($T58&amp;$U58,AEA2012_ZAR2022!$A$6:$A$104&amp;AEA2012_ZAR2022!$B$6:$B$104,0),MATCH(AH$16,AEA2012_ZAR2022!$AC$4:$AG$4,0)))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5"/>
        <v>BRTBGS</v>
      </c>
      <c r="AD59" s="67">
        <f t="array" ref="AD59">INDEX(AEA2012_ZAR2022!$AC$6:$AG$104,MATCH($T59&amp;$U59,AEA2012_ZAR2022!$A$6:$A$104&amp;AEA2012_ZAR2022!$B$6:$B$104,0),MATCH(AD$16,AEA2012_ZAR2022!$S$4:$Z$4,0))</f>
        <v>13.994490402622045</v>
      </c>
      <c r="AE59" s="67">
        <f t="array" ref="AE59">IF($W$1,AD59*(1+INDEX(AE$1:AE$2,MATCH($O59,$AA$1:$AA$2,0)))^(AE$16-AD$16),INDEX(AEA2012_ZAR2022!$AC$6:$AG$104,MATCH($T59&amp;$U59,AEA2012_ZAR2022!$A$6:$A$104&amp;AEA2012_ZAR2022!$B$6:$B$104,0),MATCH(AE$16,AEA2012_ZAR2022!$AC$4:$AG$4,0)))</f>
        <v>13.310301592639847</v>
      </c>
      <c r="AF59" s="67">
        <f t="array" ref="AF59">IF($W$1,AE59*(1+INDEX(AF$1:AF$2,MATCH($O59,$AA$1:$AA$2,0)))^(AF$16-AE$16),INDEX(AEA2012_ZAR2022!$AC$6:$AG$104,MATCH($T59&amp;$U59,AEA2012_ZAR2022!$A$6:$A$104&amp;AEA2012_ZAR2022!$B$6:$B$104,0),MATCH(AF$16,AEA2012_ZAR2022!$AC$4:$AG$4,0)))</f>
        <v>12.659562684314457</v>
      </c>
      <c r="AG59" s="67">
        <f t="array" ref="AG59">IF($W$1,AF59*(1+INDEX(AG$1:AG$2,MATCH($O59,$AA$1:$AA$2,0)))^(AG$16-AF$16),INDEX(AEA2012_ZAR2022!$AC$6:$AG$104,MATCH($T59&amp;$U59,AEA2012_ZAR2022!$A$6:$A$104&amp;AEA2012_ZAR2022!$B$6:$B$104,0),MATCH(AG$16,AEA2012_ZAR2022!$AC$4:$AG$4,0)))</f>
        <v>12.040638316317942</v>
      </c>
      <c r="AH59" s="67">
        <f t="array" ref="AH59">IF($W$1,AG59*(1+INDEX(AH$1:AH$2,MATCH($O59,$AA$1:$AA$2,0)))^(AH$16-AG$16),INDEX(AEA2012_ZAR2022!$AC$6:$AG$104,MATCH($T59&amp;$U59,AEA2012_ZAR2022!$A$6:$A$104&amp;AEA2012_ZAR2022!$B$6:$B$104,0),MATCH(AH$16,AEA2012_ZAR2022!$AC$4:$AG$4,0)))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6" t="s">
        <v>721</v>
      </c>
      <c r="N60" s="61" t="s">
        <v>501</v>
      </c>
      <c r="O60" s="61" t="s">
        <v>613</v>
      </c>
      <c r="P60" s="61" t="s">
        <v>59</v>
      </c>
      <c r="Q60" s="61" t="str">
        <f t="shared" si="4"/>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5"/>
        <v>BRTELC</v>
      </c>
      <c r="AD60" s="67">
        <f t="array" ref="AD60">INDEX(AEA2012_ZAR2022!$AC$6:$AG$104,MATCH($T60&amp;$U60,AEA2012_ZAR2022!$A$6:$A$104&amp;AEA2012_ZAR2022!$B$6:$B$104,0),MATCH(AD$16,AEA2012_ZAR2022!$S$4:$Z$4,0))</f>
        <v>4.2967374340531439</v>
      </c>
      <c r="AE60" s="67">
        <f t="array" ref="AE60">IF($W$1,AD60*(1+INDEX(AE$1:AE$2,MATCH($O60,$AA$1:$AA$2,0)))^(AE$16-AD$16),INDEX(AEA2012_ZAR2022!$AC$6:$AG$104,MATCH($T60&amp;$U60,AEA2012_ZAR2022!$A$6:$A$104&amp;AEA2012_ZAR2022!$B$6:$B$104,0),MATCH(AE$16,AEA2012_ZAR2022!$AC$4:$AG$4,0)))</f>
        <v>4.0866705014794524</v>
      </c>
      <c r="AF60" s="67">
        <f t="array" ref="AF60">IF($W$1,AE60*(1+INDEX(AF$1:AF$2,MATCH($O60,$AA$1:$AA$2,0)))^(AF$16-AE$16),INDEX(AEA2012_ZAR2022!$AC$6:$AG$104,MATCH($T60&amp;$U60,AEA2012_ZAR2022!$A$6:$A$104&amp;AEA2012_ZAR2022!$B$6:$B$104,0),MATCH(AF$16,AEA2012_ZAR2022!$AC$4:$AG$4,0)))</f>
        <v>3.8868737138327436</v>
      </c>
      <c r="AG60" s="67">
        <f t="array" ref="AG60">IF($W$1,AF60*(1+INDEX(AG$1:AG$2,MATCH($O60,$AA$1:$AA$2,0)))^(AG$16-AF$16),INDEX(AEA2012_ZAR2022!$AC$6:$AG$104,MATCH($T60&amp;$U60,AEA2012_ZAR2022!$A$6:$A$104&amp;AEA2012_ZAR2022!$B$6:$B$104,0),MATCH(AG$16,AEA2012_ZAR2022!$AC$4:$AG$4,0)))</f>
        <v>3.6968449650674402</v>
      </c>
      <c r="AH60" s="67">
        <f t="array" ref="AH60">IF($W$1,AG60*(1+INDEX(AH$1:AH$2,MATCH($O60,$AA$1:$AA$2,0)))^(AH$16-AG$16),INDEX(AEA2012_ZAR2022!$AC$6:$AG$104,MATCH($T60&amp;$U60,AEA2012_ZAR2022!$A$6:$A$104&amp;AEA2012_ZAR2022!$B$6:$B$104,0),MATCH(AH$16,AEA2012_ZAR2022!$AC$4:$AG$4,0)))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4657878.9828369115</v>
      </c>
      <c r="X61" s="103">
        <f t="array" ref="X61">IF(X$18,INDEX(AEA2012_ZAR2022!$K$6:$R$104,MATCH($T61&amp;$R61,AEA2012_ZAR2022!$A$6:$A$104&amp;AEA2012_ZAR2022!$B$6:$B$104,0),MATCH(X$16,AEA2012_ZAR2022!$S$4:$Z$4,0)),INDEX(AEA2012_ZAR2022!$K$6:$R$104,MATCH($T61&amp;$U61,AEA2012_ZAR2022!$A$6:$A$104&amp;AEA2012_ZAR2022!$B$6:$B$104,0),MATCH(X$16,AEA2012_ZAR2022!$S$4:$Z$4,0)))</f>
        <v>4284563.3154619941</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5"/>
        <v>BRTHGN</v>
      </c>
      <c r="AD61" s="67">
        <f t="array" ref="AD61">INDEX(AEA2012_ZAR2022!$AC$6:$AG$104,MATCH($T61&amp;$U61,AEA2012_ZAR2022!$A$6:$A$104&amp;AEA2012_ZAR2022!$B$6:$B$104,0),MATCH(AD$16,AEA2012_ZAR2022!$S$4:$Z$4,0))</f>
        <v>6.6335595473101172</v>
      </c>
      <c r="AE61" s="67">
        <f t="array" ref="AE61">IF($W$1,AD61*(1+INDEX(AE$1:AE$2,MATCH($O61,$AA$1:$AA$2,0)))^(AE$16-AD$16),INDEX(AEA2012_ZAR2022!$AC$6:$AG$104,MATCH($T61&amp;$U61,AEA2012_ZAR2022!$A$6:$A$104&amp;AEA2012_ZAR2022!$B$6:$B$104,0),MATCH(AE$16,AEA2012_ZAR2022!$AC$4:$AG$4,0)))</f>
        <v>6.3092456864945925</v>
      </c>
      <c r="AF61" s="67">
        <f t="array" ref="AF61">IF($W$1,AE61*(1+INDEX(AF$1:AF$2,MATCH($O61,$AA$1:$AA$2,0)))^(AF$16-AE$16),INDEX(AEA2012_ZAR2022!$AC$6:$AG$104,MATCH($T61&amp;$U61,AEA2012_ZAR2022!$A$6:$A$104&amp;AEA2012_ZAR2022!$B$6:$B$104,0),MATCH(AF$16,AEA2012_ZAR2022!$AC$4:$AG$4,0)))</f>
        <v>6.000787488022481</v>
      </c>
      <c r="AG61" s="67">
        <f t="array" ref="AG61">IF($W$1,AF61*(1+INDEX(AG$1:AG$2,MATCH($O61,$AA$1:$AA$2,0)))^(AG$16-AF$16),INDEX(AEA2012_ZAR2022!$AC$6:$AG$104,MATCH($T61&amp;$U61,AEA2012_ZAR2022!$A$6:$A$104&amp;AEA2012_ZAR2022!$B$6:$B$104,0),MATCH(AG$16,AEA2012_ZAR2022!$AC$4:$AG$4,0)))</f>
        <v>5.7074097706304343</v>
      </c>
      <c r="AH61" s="67">
        <f t="array" ref="AH61">IF($W$1,AG61*(1+INDEX(AH$1:AH$2,MATCH($O61,$AA$1:$AA$2,0)))^(AH$16-AG$16),INDEX(AEA2012_ZAR2022!$AC$6:$AG$104,MATCH($T61&amp;$U61,AEA2012_ZAR2022!$A$6:$A$104&amp;AEA2012_ZAR2022!$B$6:$B$104,0),MATCH(AH$16,AEA2012_ZAR2022!$AC$4:$AG$4,0)))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5"/>
        <v>BRTGAS</v>
      </c>
      <c r="AD62" s="67">
        <f t="array" ref="AD62">INDEX(AEA2012_ZAR2022!$AC$6:$AG$104,MATCH($T62&amp;$U62,AEA2012_ZAR2022!$A$6:$A$104&amp;AEA2012_ZAR2022!$B$6:$B$104,0),MATCH(AD$16,AEA2012_ZAR2022!$S$4:$Z$4,0))</f>
        <v>16.093663963015352</v>
      </c>
      <c r="AE62" s="67">
        <f t="array" ref="AE62">IF($W$1,AD62*(1+INDEX(AE$1:AE$2,MATCH($O62,$AA$1:$AA$2,0)))^(AE$16-AD$16),INDEX(AEA2012_ZAR2022!$AC$6:$AG$104,MATCH($T62&amp;$U62,AEA2012_ZAR2022!$A$6:$A$104&amp;AEA2012_ZAR2022!$B$6:$B$104,0),MATCH(AE$16,AEA2012_ZAR2022!$AC$4:$AG$4,0)))</f>
        <v>15.306846831535825</v>
      </c>
      <c r="AF62" s="67">
        <f t="array" ref="AF62">IF($W$1,AE62*(1+INDEX(AF$1:AF$2,MATCH($O62,$AA$1:$AA$2,0)))^(AF$16-AE$16),INDEX(AEA2012_ZAR2022!$AC$6:$AG$104,MATCH($T62&amp;$U62,AEA2012_ZAR2022!$A$6:$A$104&amp;AEA2012_ZAR2022!$B$6:$B$104,0),MATCH(AF$16,AEA2012_ZAR2022!$AC$4:$AG$4,0)))</f>
        <v>14.558497086961626</v>
      </c>
      <c r="AG62" s="67">
        <f t="array" ref="AG62">IF($W$1,AF62*(1+INDEX(AG$1:AG$2,MATCH($O62,$AA$1:$AA$2,0)))^(AG$16-AF$16),INDEX(AEA2012_ZAR2022!$AC$6:$AG$104,MATCH($T62&amp;$U62,AEA2012_ZAR2022!$A$6:$A$104&amp;AEA2012_ZAR2022!$B$6:$B$104,0),MATCH(AG$16,AEA2012_ZAR2022!$AC$4:$AG$4,0)))</f>
        <v>13.846734063765634</v>
      </c>
      <c r="AH62" s="67">
        <f t="array" ref="AH62">IF($W$1,AG62*(1+INDEX(AH$1:AH$2,MATCH($O62,$AA$1:$AA$2,0)))^(AH$16-AG$16),INDEX(AEA2012_ZAR2022!$AC$6:$AG$104,MATCH($T62&amp;$U62,AEA2012_ZAR2022!$A$6:$A$104&amp;AEA2012_ZAR2022!$B$6:$B$104,0),MATCH(AH$16,AEA2012_ZAR2022!$AC$4:$AG$4,0)))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5"/>
        <v/>
      </c>
      <c r="AD63" s="67" t="e">
        <f t="array" ref="AD63">INDEX(AEA2012_ZAR2022!$AC$6:$AG$104,MATCH($T63&amp;$U63,AEA2012_ZAR2022!$A$6:$A$104&amp;AEA2012_ZAR2022!$B$6:$B$104,0),MATCH(AD$16,AEA2012_ZAR2022!$S$4:$Z$4,0))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5"/>
        <v>LCVOGS</v>
      </c>
      <c r="AD64" s="67">
        <f t="array" ref="AD64">INDEX(AEA2012_ZAR2022!$AC$6:$AG$104,MATCH($T64&amp;$U64,AEA2012_ZAR2022!$A$6:$A$104&amp;AEA2012_ZAR2022!$B$6:$B$104,0),MATCH(AD$16,AEA2012_ZAR2022!$S$4:$Z$4,0))</f>
        <v>2.8454207298952694</v>
      </c>
      <c r="AE64" s="67">
        <f t="array" ref="AE64">IF($W$1,AD64*(1+INDEX(AE$1:AE$2,MATCH($O64,$AA$1:$AA$2,0)))^(AE$16-AD$16),INDEX(AEA2012_ZAR2022!$AC$6:$AG$104,MATCH($T64&amp;$U64,AEA2012_ZAR2022!$A$6:$A$104&amp;AEA2012_ZAR2022!$B$6:$B$104,0),MATCH(AE$16,AEA2012_ZAR2022!$AC$4:$AG$4,0)))</f>
        <v>2.8170942256754965</v>
      </c>
      <c r="AF64" s="67">
        <f t="array" ref="AF64">IF($W$1,AE64*(1+INDEX(AF$1:AF$2,MATCH($O64,$AA$1:$AA$2,0)))^(AF$16-AE$16),INDEX(AEA2012_ZAR2022!$AC$6:$AG$104,MATCH($T64&amp;$U64,AEA2012_ZAR2022!$A$6:$A$104&amp;AEA2012_ZAR2022!$B$6:$B$104,0),MATCH(AF$16,AEA2012_ZAR2022!$AC$4:$AG$4,0)))</f>
        <v>2.7890497151984706</v>
      </c>
      <c r="AG64" s="67">
        <f t="array" ref="AG64">IF($W$1,AF64*(1+INDEX(AG$1:AG$2,MATCH($O64,$AA$1:$AA$2,0)))^(AG$16-AF$16),INDEX(AEA2012_ZAR2022!$AC$6:$AG$104,MATCH($T64&amp;$U64,AEA2012_ZAR2022!$A$6:$A$104&amp;AEA2012_ZAR2022!$B$6:$B$104,0),MATCH(AG$16,AEA2012_ZAR2022!$AC$4:$AG$4,0)))</f>
        <v>2.7612843911827025</v>
      </c>
      <c r="AH64" s="67">
        <f t="array" ref="AH64">IF($W$1,AG64*(1+INDEX(AH$1:AH$2,MATCH($O64,$AA$1:$AA$2,0)))^(AH$16-AG$16),INDEX(AEA2012_ZAR2022!$AC$6:$AG$104,MATCH($T64&amp;$U64,AEA2012_ZAR2022!$A$6:$A$104&amp;AEA2012_ZAR2022!$B$6:$B$104,0),MATCH(AH$16,AEA2012_ZAR2022!$AC$4:$AG$4,0)))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25">
      <c r="N65" s="61" t="s">
        <v>519</v>
      </c>
      <c r="O65" s="61" t="s">
        <v>653</v>
      </c>
      <c r="P65" s="61" t="s">
        <v>63</v>
      </c>
      <c r="Q65" s="61" t="str">
        <f t="shared" si="4"/>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5"/>
        <v>LCVOGSH</v>
      </c>
      <c r="AD65" s="67">
        <f t="array" ref="AD65">INDEX(AEA2012_ZAR2022!$AC$6:$AG$104,MATCH($T65&amp;$U65,AEA2012_ZAR2022!$A$6:$A$104&amp;AEA2012_ZAR2022!$B$6:$B$104,0),MATCH(AD$16,AEA2012_ZAR2022!$S$4:$Z$4,0))</f>
        <v>2.1741726994604185</v>
      </c>
      <c r="AE65" s="67">
        <f t="array" ref="AE65">IF($W$1,AD65*(1+INDEX(AE$1:AE$2,MATCH($O65,$AA$1:$AA$2,0)))^(AE$16-AD$16),INDEX(AEA2012_ZAR2022!$AC$6:$AG$104,MATCH($T65&amp;$U65,AEA2012_ZAR2022!$A$6:$A$104&amp;AEA2012_ZAR2022!$B$6:$B$104,0),MATCH(AE$16,AEA2012_ZAR2022!$AC$4:$AG$4,0)))</f>
        <v>2.1525285497925952</v>
      </c>
      <c r="AF65" s="67">
        <f t="array" ref="AF65">IF($W$1,AE65*(1+INDEX(AF$1:AF$2,MATCH($O65,$AA$1:$AA$2,0)))^(AF$16-AE$16),INDEX(AEA2012_ZAR2022!$AC$6:$AG$104,MATCH($T65&amp;$U65,AEA2012_ZAR2022!$A$6:$A$104&amp;AEA2012_ZAR2022!$B$6:$B$104,0),MATCH(AF$16,AEA2012_ZAR2022!$AC$4:$AG$4,0)))</f>
        <v>2.131099870227473</v>
      </c>
      <c r="AG65" s="67">
        <f t="array" ref="AG65">IF($W$1,AF65*(1+INDEX(AG$1:AG$2,MATCH($O65,$AA$1:$AA$2,0)))^(AG$16-AF$16),INDEX(AEA2012_ZAR2022!$AC$6:$AG$104,MATCH($T65&amp;$U65,AEA2012_ZAR2022!$A$6:$A$104&amp;AEA2012_ZAR2022!$B$6:$B$104,0),MATCH(AG$16,AEA2012_ZAR2022!$AC$4:$AG$4,0)))</f>
        <v>2.1098845157343686</v>
      </c>
      <c r="AH65" s="67">
        <f t="array" ref="AH65">IF($W$1,AG65*(1+INDEX(AH$1:AH$2,MATCH($O65,$AA$1:$AA$2,0)))^(AH$16-AG$16),INDEX(AEA2012_ZAR2022!$AC$6:$AG$104,MATCH($T65&amp;$U65,AEA2012_ZAR2022!$A$6:$A$104&amp;AEA2012_ZAR2022!$B$6:$B$104,0),MATCH(AH$16,AEA2012_ZAR2022!$AC$4:$AG$4,0)))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25">
      <c r="N66" s="61" t="s">
        <v>511</v>
      </c>
      <c r="O66" s="61" t="s">
        <v>653</v>
      </c>
      <c r="P66" s="61" t="s">
        <v>63</v>
      </c>
      <c r="Q66" s="61" t="str">
        <f t="shared" si="4"/>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5"/>
        <v>LCVODS</v>
      </c>
      <c r="AD66" s="67">
        <f t="array" ref="AD66">INDEX(AEA2012_ZAR2022!$AC$6:$AG$104,MATCH($T66&amp;$U66,AEA2012_ZAR2022!$A$6:$A$104&amp;AEA2012_ZAR2022!$B$6:$B$104,0),MATCH(AD$16,AEA2012_ZAR2022!$S$4:$Z$4,0))</f>
        <v>2.9031215330752671</v>
      </c>
      <c r="AE66" s="67">
        <f t="array" ref="AE66">IF($W$1,AD66*(1+INDEX(AE$1:AE$2,MATCH($O66,$AA$1:$AA$2,0)))^(AE$16-AD$16),INDEX(AEA2012_ZAR2022!$AC$6:$AG$104,MATCH($T66&amp;$U66,AEA2012_ZAR2022!$A$6:$A$104&amp;AEA2012_ZAR2022!$B$6:$B$104,0),MATCH(AE$16,AEA2012_ZAR2022!$AC$4:$AG$4,0)))</f>
        <v>2.8742206104478436</v>
      </c>
      <c r="AF66" s="67">
        <f t="array" ref="AF66">IF($W$1,AE66*(1+INDEX(AF$1:AF$2,MATCH($O66,$AA$1:$AA$2,0)))^(AF$16-AE$16),INDEX(AEA2012_ZAR2022!$AC$6:$AG$104,MATCH($T66&amp;$U66,AEA2012_ZAR2022!$A$6:$A$104&amp;AEA2012_ZAR2022!$B$6:$B$104,0),MATCH(AF$16,AEA2012_ZAR2022!$AC$4:$AG$4,0)))</f>
        <v>2.8456073999672249</v>
      </c>
      <c r="AG66" s="67">
        <f t="array" ref="AG66">IF($W$1,AF66*(1+INDEX(AG$1:AG$2,MATCH($O66,$AA$1:$AA$2,0)))^(AG$16-AF$16),INDEX(AEA2012_ZAR2022!$AC$6:$AG$104,MATCH($T66&amp;$U66,AEA2012_ZAR2022!$A$6:$A$104&amp;AEA2012_ZAR2022!$B$6:$B$104,0),MATCH(AG$16,AEA2012_ZAR2022!$AC$4:$AG$4,0)))</f>
        <v>2.8172790374245245</v>
      </c>
      <c r="AH66" s="67">
        <f t="array" ref="AH66">IF($W$1,AG66*(1+INDEX(AH$1:AH$2,MATCH($O66,$AA$1:$AA$2,0)))^(AH$16-AG$16),INDEX(AEA2012_ZAR2022!$AC$6:$AG$104,MATCH($T66&amp;$U66,AEA2012_ZAR2022!$A$6:$A$104&amp;AEA2012_ZAR2022!$B$6:$B$104,0),MATCH(AH$16,AEA2012_ZAR2022!$AC$4:$AG$4,0)))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25">
      <c r="N67" s="61" t="s">
        <v>521</v>
      </c>
      <c r="O67" s="61" t="s">
        <v>653</v>
      </c>
      <c r="P67" s="61" t="s">
        <v>63</v>
      </c>
      <c r="Q67" s="61" t="str">
        <f t="shared" si="4"/>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5"/>
        <v>LCVODSH</v>
      </c>
      <c r="AD67" s="67">
        <f t="array" ref="AD67">INDEX(AEA2012_ZAR2022!$AC$6:$AG$104,MATCH($T67&amp;$U67,AEA2012_ZAR2022!$A$6:$A$104&amp;AEA2012_ZAR2022!$B$6:$B$104,0),MATCH(AD$16,AEA2012_ZAR2022!$S$4:$Z$4,0))</f>
        <v>2.4252993644945193</v>
      </c>
      <c r="AE67" s="67">
        <f t="array" ref="AE67">IF($W$1,AD67*(1+INDEX(AE$1:AE$2,MATCH($O67,$AA$1:$AA$2,0)))^(AE$16-AD$16),INDEX(AEA2012_ZAR2022!$AC$6:$AG$104,MATCH($T67&amp;$U67,AEA2012_ZAR2022!$A$6:$A$104&amp;AEA2012_ZAR2022!$B$6:$B$104,0),MATCH(AE$16,AEA2012_ZAR2022!$AC$4:$AG$4,0)))</f>
        <v>2.4011552187937553</v>
      </c>
      <c r="AF67" s="67">
        <f t="array" ref="AF67">IF($W$1,AE67*(1+INDEX(AF$1:AF$2,MATCH($O67,$AA$1:$AA$2,0)))^(AF$16-AE$16),INDEX(AEA2012_ZAR2022!$AC$6:$AG$104,MATCH($T67&amp;$U67,AEA2012_ZAR2022!$A$6:$A$104&amp;AEA2012_ZAR2022!$B$6:$B$104,0),MATCH(AF$16,AEA2012_ZAR2022!$AC$4:$AG$4,0)))</f>
        <v>2.3772514309556754</v>
      </c>
      <c r="AG67" s="67">
        <f t="array" ref="AG67">IF($W$1,AF67*(1+INDEX(AG$1:AG$2,MATCH($O67,$AA$1:$AA$2,0)))^(AG$16-AF$16),INDEX(AEA2012_ZAR2022!$AC$6:$AG$104,MATCH($T67&amp;$U67,AEA2012_ZAR2022!$A$6:$A$104&amp;AEA2012_ZAR2022!$B$6:$B$104,0),MATCH(AG$16,AEA2012_ZAR2022!$AC$4:$AG$4,0)))</f>
        <v>2.3535856081889643</v>
      </c>
      <c r="AH67" s="67">
        <f t="array" ref="AH67">IF($W$1,AG67*(1+INDEX(AH$1:AH$2,MATCH($O67,$AA$1:$AA$2,0)))^(AH$16-AG$16),INDEX(AEA2012_ZAR2022!$AC$6:$AG$104,MATCH($T67&amp;$U67,AEA2012_ZAR2022!$A$6:$A$104&amp;AEA2012_ZAR2022!$B$6:$B$104,0),MATCH(AH$16,AEA2012_ZAR2022!$AC$4:$AG$4,0)))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25">
      <c r="N68" s="61" t="s">
        <v>501</v>
      </c>
      <c r="O68" s="61" t="s">
        <v>653</v>
      </c>
      <c r="P68" s="61" t="s">
        <v>63</v>
      </c>
      <c r="Q68" s="61" t="str">
        <f t="shared" si="4"/>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5"/>
        <v>LCVELC</v>
      </c>
      <c r="AD68" s="67">
        <f t="array" ref="AD68">INDEX(AEA2012_ZAR2022!$AC$6:$AG$104,MATCH($T68&amp;$U68,AEA2012_ZAR2022!$A$6:$A$104&amp;AEA2012_ZAR2022!$B$6:$B$104,0),MATCH(AD$16,AEA2012_ZAR2022!$S$4:$Z$4,0))</f>
        <v>0.71204570298567482</v>
      </c>
      <c r="AE68" s="67">
        <f t="array" ref="AE68">IF($W$1,AD68*(1+INDEX(AE$1:AE$2,MATCH($O68,$AA$1:$AA$2,0)))^(AE$16-AD$16),INDEX(AEA2012_ZAR2022!$AC$6:$AG$104,MATCH($T68&amp;$U68,AEA2012_ZAR2022!$A$6:$A$104&amp;AEA2012_ZAR2022!$B$6:$B$104,0),MATCH(AE$16,AEA2012_ZAR2022!$AC$4:$AG$4,0)))</f>
        <v>0.70495720271631845</v>
      </c>
      <c r="AF68" s="67">
        <f t="array" ref="AF68">IF($W$1,AE68*(1+INDEX(AF$1:AF$2,MATCH($O68,$AA$1:$AA$2,0)))^(AF$16-AE$16),INDEX(AEA2012_ZAR2022!$AC$6:$AG$104,MATCH($T68&amp;$U68,AEA2012_ZAR2022!$A$6:$A$104&amp;AEA2012_ZAR2022!$B$6:$B$104,0),MATCH(AF$16,AEA2012_ZAR2022!$AC$4:$AG$4,0)))</f>
        <v>0.69793926931627681</v>
      </c>
      <c r="AG68" s="67">
        <f t="array" ref="AG68">IF($W$1,AF68*(1+INDEX(AG$1:AG$2,MATCH($O68,$AA$1:$AA$2,0)))^(AG$16-AF$16),INDEX(AEA2012_ZAR2022!$AC$6:$AG$104,MATCH($T68&amp;$U68,AEA2012_ZAR2022!$A$6:$A$104&amp;AEA2012_ZAR2022!$B$6:$B$104,0),MATCH(AG$16,AEA2012_ZAR2022!$AC$4:$AG$4,0)))</f>
        <v>0.69099120028391259</v>
      </c>
      <c r="AH68" s="67">
        <f t="array" ref="AH68">IF($W$1,AG68*(1+INDEX(AH$1:AH$2,MATCH($O68,$AA$1:$AA$2,0)))^(AH$16-AG$16),INDEX(AEA2012_ZAR2022!$AC$6:$AG$104,MATCH($T68&amp;$U68,AEA2012_ZAR2022!$A$6:$A$104&amp;AEA2012_ZAR2022!$B$6:$B$104,0),MATCH(AH$16,AEA2012_ZAR2022!$AC$4:$AG$4,0)))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25">
      <c r="N69" s="61" t="s">
        <v>504</v>
      </c>
      <c r="O69" s="61" t="s">
        <v>653</v>
      </c>
      <c r="P69" s="61" t="s">
        <v>63</v>
      </c>
      <c r="Q69" s="61" t="str">
        <f t="shared" si="4"/>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5"/>
        <v>LCVHGN</v>
      </c>
      <c r="AD69" s="67">
        <f t="array" ref="AD69">INDEX(AEA2012_ZAR2022!$AC$6:$AG$104,MATCH($T69&amp;$U69,AEA2012_ZAR2022!$A$6:$A$104&amp;AEA2012_ZAR2022!$B$6:$B$104,0),MATCH(AD$16,AEA2012_ZAR2022!$S$4:$Z$4,0))</f>
        <v>1.4019884160257075</v>
      </c>
      <c r="AE69" s="67">
        <f t="array" ref="AE69">IF($W$1,AD69*(1+INDEX(AE$1:AE$2,MATCH($O69,$AA$1:$AA$2,0)))^(AE$16-AD$16),INDEX(AEA2012_ZAR2022!$AC$6:$AG$104,MATCH($T69&amp;$U69,AEA2012_ZAR2022!$A$6:$A$104&amp;AEA2012_ZAR2022!$B$6:$B$104,0),MATCH(AE$16,AEA2012_ZAR2022!$AC$4:$AG$4,0)))</f>
        <v>1.3880314533996263</v>
      </c>
      <c r="AF69" s="67">
        <f t="array" ref="AF69">IF($W$1,AE69*(1+INDEX(AF$1:AF$2,MATCH($O69,$AA$1:$AA$2,0)))^(AF$16-AE$16),INDEX(AEA2012_ZAR2022!$AC$6:$AG$104,MATCH($T69&amp;$U69,AEA2012_ZAR2022!$A$6:$A$104&amp;AEA2012_ZAR2022!$B$6:$B$104,0),MATCH(AF$16,AEA2012_ZAR2022!$AC$4:$AG$4,0)))</f>
        <v>1.374213434008396</v>
      </c>
      <c r="AG69" s="67">
        <f t="array" ref="AG69">IF($W$1,AF69*(1+INDEX(AG$1:AG$2,MATCH($O69,$AA$1:$AA$2,0)))^(AG$16-AF$16),INDEX(AEA2012_ZAR2022!$AC$6:$AG$104,MATCH($T69&amp;$U69,AEA2012_ZAR2022!$A$6:$A$104&amp;AEA2012_ZAR2022!$B$6:$B$104,0),MATCH(AG$16,AEA2012_ZAR2022!$AC$4:$AG$4,0)))</f>
        <v>1.3605329746554693</v>
      </c>
      <c r="AH69" s="67">
        <f t="array" ref="AH69">IF($W$1,AG69*(1+INDEX(AH$1:AH$2,MATCH($O69,$AA$1:$AA$2,0)))^(AH$16-AG$16),INDEX(AEA2012_ZAR2022!$AC$6:$AG$104,MATCH($T69&amp;$U69,AEA2012_ZAR2022!$A$6:$A$104&amp;AEA2012_ZAR2022!$B$6:$B$104,0),MATCH(AH$16,AEA2012_ZAR2022!$AC$4:$AG$4,0)))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25">
      <c r="N70" s="61" t="s">
        <v>509</v>
      </c>
      <c r="O70" s="61" t="s">
        <v>653</v>
      </c>
      <c r="P70" s="61" t="s">
        <v>63</v>
      </c>
      <c r="Q70" s="61" t="str">
        <f t="shared" si="4"/>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5"/>
        <v>LCVGAS</v>
      </c>
      <c r="AD70" s="67">
        <f t="array" ref="AD70">INDEX(AEA2012_ZAR2022!$AC$6:$AG$104,MATCH($T70&amp;$U70,AEA2012_ZAR2022!$A$6:$A$104&amp;AEA2012_ZAR2022!$B$6:$B$104,0),MATCH(AD$16,AEA2012_ZAR2022!$S$4:$Z$4,0))</f>
        <v>3.3385897630365569</v>
      </c>
      <c r="AE70" s="67">
        <f t="array" ref="AE70">IF($W$1,AD70*(1+INDEX(AE$1:AE$2,MATCH($O70,$AA$1:$AA$2,0)))^(AE$16-AD$16),INDEX(AEA2012_ZAR2022!$AC$6:$AG$104,MATCH($T70&amp;$U70,AEA2012_ZAR2022!$A$6:$A$104&amp;AEA2012_ZAR2022!$B$6:$B$104,0),MATCH(AE$16,AEA2012_ZAR2022!$AC$4:$AG$4,0)))</f>
        <v>3.3053537020150201</v>
      </c>
      <c r="AF70" s="67">
        <f t="array" ref="AF70">IF($W$1,AE70*(1+INDEX(AF$1:AF$2,MATCH($O70,$AA$1:$AA$2,0)))^(AF$16-AE$16),INDEX(AEA2012_ZAR2022!$AC$6:$AG$104,MATCH($T70&amp;$U70,AEA2012_ZAR2022!$A$6:$A$104&amp;AEA2012_ZAR2022!$B$6:$B$104,0),MATCH(AF$16,AEA2012_ZAR2022!$AC$4:$AG$4,0)))</f>
        <v>3.2724485099623086</v>
      </c>
      <c r="AG70" s="67">
        <f t="array" ref="AG70">IF($W$1,AF70*(1+INDEX(AG$1:AG$2,MATCH($O70,$AA$1:$AA$2,0)))^(AG$16-AF$16),INDEX(AEA2012_ZAR2022!$AC$6:$AG$104,MATCH($T70&amp;$U70,AEA2012_ZAR2022!$A$6:$A$104&amp;AEA2012_ZAR2022!$B$6:$B$104,0),MATCH(AG$16,AEA2012_ZAR2022!$AC$4:$AG$4,0)))</f>
        <v>3.2398708930382032</v>
      </c>
      <c r="AH70" s="67">
        <f t="array" ref="AH70">IF($W$1,AG70*(1+INDEX(AH$1:AH$2,MATCH($O70,$AA$1:$AA$2,0)))^(AH$16-AG$16),INDEX(AEA2012_ZAR2022!$AC$6:$AG$104,MATCH($T70&amp;$U70,AEA2012_ZAR2022!$A$6:$A$104&amp;AEA2012_ZAR2022!$B$6:$B$104,0),MATCH(AH$16,AEA2012_ZAR2022!$AC$4:$AG$4,0)))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25">
      <c r="O71" s="61" t="s">
        <v>653</v>
      </c>
      <c r="Q71" s="61" t="str">
        <f t="shared" si="4"/>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5"/>
        <v/>
      </c>
      <c r="AD71" s="67"/>
      <c r="AE71" s="67">
        <f t="array" ref="AE71">IF($W$1,AD71*(1+INDEX(AE$1:AE$2,MATCH($O71,$AA$1:$AA$2,0)))^(AE$16-AD$16),INDEX(AEA2012_ZAR2022!$AC$6:$AG$104,MATCH($T71&amp;$U71,AEA2012_ZAR2022!$A$6:$A$104&amp;AEA2012_ZAR2022!$B$6:$B$104,0),MATCH(AE$16,AEA2012_ZAR2022!$AC$4:$AG$4,0)))</f>
        <v>0</v>
      </c>
      <c r="AF71" s="67">
        <f t="array" ref="AF71">IF($W$1,AE71*(1+INDEX(AF$1:AF$2,MATCH($O71,$AA$1:$AA$2,0)))^(AF$16-AE$16),INDEX(AEA2012_ZAR2022!$AC$6:$AG$104,MATCH($T71&amp;$U71,AEA2012_ZAR2022!$A$6:$A$104&amp;AEA2012_ZAR2022!$B$6:$B$104,0),MATCH(AF$16,AEA2012_ZAR2022!$AC$4:$AG$4,0)))</f>
        <v>0</v>
      </c>
      <c r="AG71" s="67">
        <f t="array" ref="AG71">IF($W$1,AF71*(1+INDEX(AG$1:AG$2,MATCH($O71,$AA$1:$AA$2,0)))^(AG$16-AF$16),INDEX(AEA2012_ZAR2022!$AC$6:$AG$104,MATCH($T71&amp;$U71,AEA2012_ZAR2022!$A$6:$A$104&amp;AEA2012_ZAR2022!$B$6:$B$104,0),MATCH(AG$16,AEA2012_ZAR2022!$AC$4:$AG$4,0)))</f>
        <v>0</v>
      </c>
      <c r="AH71" s="67">
        <f t="array" ref="AH71">IF($W$1,AG71*(1+INDEX(AH$1:AH$2,MATCH($O71,$AA$1:$AA$2,0)))^(AH$16-AG$16),INDEX(AEA2012_ZAR2022!$AC$6:$AG$104,MATCH($T71&amp;$U71,AEA2012_ZAR2022!$A$6:$A$104&amp;AEA2012_ZAR2022!$B$6:$B$104,0),MATCH(AH$16,AEA2012_ZAR2022!$AC$4:$AG$4,0)))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25">
      <c r="N72" s="61" t="s">
        <v>511</v>
      </c>
      <c r="O72" s="61" t="s">
        <v>653</v>
      </c>
      <c r="P72" s="61" t="s">
        <v>724</v>
      </c>
      <c r="Q72" s="61" t="str">
        <f t="shared" si="4"/>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5"/>
        <v>CV1ODS</v>
      </c>
      <c r="AD72" s="67">
        <f t="array" ref="AD72">INDEX(AEA2012_ZAR2022!$AC$6:$AG$104,MATCH($T72&amp;$U72,AEA2012_ZAR2022!$A$6:$A$104&amp;AEA2012_ZAR2022!$B$6:$B$104,0),MATCH(AD$16,AEA2012_ZAR2022!$S$4:$Z$4,0))</f>
        <v>9.3808428425650323</v>
      </c>
      <c r="AE72" s="67">
        <f t="array" ref="AE72">IF($W$1,AD72*(1+INDEX(AE$1:AE$2,MATCH($O72,$AA$1:$AA$2,0)))^(AE$16-AD$16),INDEX(AEA2012_ZAR2022!$AC$6:$AG$104,MATCH($T72&amp;$U72,AEA2012_ZAR2022!$A$6:$A$104&amp;AEA2012_ZAR2022!$B$6:$B$104,0),MATCH(AE$16,AEA2012_ZAR2022!$AC$4:$AG$4,0)))</f>
        <v>9.2874554283337734</v>
      </c>
      <c r="AF72" s="67">
        <f t="array" ref="AF72">IF($W$1,AE72*(1+INDEX(AF$1:AF$2,MATCH($O72,$AA$1:$AA$2,0)))^(AF$16-AE$16),INDEX(AEA2012_ZAR2022!$AC$6:$AG$104,MATCH($T72&amp;$U72,AEA2012_ZAR2022!$A$6:$A$104&amp;AEA2012_ZAR2022!$B$6:$B$104,0),MATCH(AF$16,AEA2012_ZAR2022!$AC$4:$AG$4,0)))</f>
        <v>9.1949976969980884</v>
      </c>
      <c r="AG72" s="67">
        <f t="array" ref="AG72">IF($W$1,AF72*(1+INDEX(AG$1:AG$2,MATCH($O72,$AA$1:$AA$2,0)))^(AG$16-AF$16),INDEX(AEA2012_ZAR2022!$AC$6:$AG$104,MATCH($T72&amp;$U72,AEA2012_ZAR2022!$A$6:$A$104&amp;AEA2012_ZAR2022!$B$6:$B$104,0),MATCH(AG$16,AEA2012_ZAR2022!$AC$4:$AG$4,0)))</f>
        <v>9.1034603934533838</v>
      </c>
      <c r="AH72" s="67">
        <f t="array" ref="AH72">IF($W$1,AG72*(1+INDEX(AH$1:AH$2,MATCH($O72,$AA$1:$AA$2,0)))^(AH$16-AG$16),INDEX(AEA2012_ZAR2022!$AC$6:$AG$104,MATCH($T72&amp;$U72,AEA2012_ZAR2022!$A$6:$A$104&amp;AEA2012_ZAR2022!$B$6:$B$104,0),MATCH(AH$16,AEA2012_ZAR2022!$AC$4:$AG$4,0)))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25">
      <c r="N73" s="61" t="s">
        <v>573</v>
      </c>
      <c r="O73" s="61" t="s">
        <v>653</v>
      </c>
      <c r="P73" s="61" t="s">
        <v>724</v>
      </c>
      <c r="Q73" s="61" t="str">
        <f t="shared" si="4"/>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5"/>
        <v>CV1OGS</v>
      </c>
      <c r="AD73" s="67" t="e">
        <f t="array" ref="AD73">INDEX(AEA2012_ZAR2022!$AC$6:$AG$104,MATCH($T73&amp;$U73,AEA2012_ZAR2022!$A$6:$A$104&amp;AEA2012_ZAR2022!$B$6:$B$104,0),MATCH(AD$16,AEA2012_ZAR2022!$S$4:$Z$4,0))</f>
        <v>#REF!</v>
      </c>
      <c r="AE73" s="67" t="e">
        <f t="array" ref="AE73">IF($W$1,AD73*(1+INDEX(AE$1:AE$2,MATCH($O73,$AA$1:$AA$2,0)))^(AE$16-AD$16),INDEX(AEA2012_ZAR2022!$AC$6:$AG$104,MATCH($T73&amp;$U73,AEA2012_ZAR2022!$A$6:$A$104&amp;AEA2012_ZAR2022!$B$6:$B$104,0),MATCH(AE$16,AEA2012_ZAR2022!$AC$4:$AG$4,0)))</f>
        <v>#REF!</v>
      </c>
      <c r="AF73" s="67" t="e">
        <f t="array" ref="AF73">IF($W$1,AE73*(1+INDEX(AF$1:AF$2,MATCH($O73,$AA$1:$AA$2,0)))^(AF$16-AE$16),INDEX(AEA2012_ZAR2022!$AC$6:$AG$104,MATCH($T73&amp;$U73,AEA2012_ZAR2022!$A$6:$A$104&amp;AEA2012_ZAR2022!$B$6:$B$104,0),MATCH(AF$16,AEA2012_ZAR2022!$AC$4:$AG$4,0)))</f>
        <v>#REF!</v>
      </c>
      <c r="AG73" s="67" t="e">
        <f t="array" ref="AG73">IF($W$1,AF73*(1+INDEX(AG$1:AG$2,MATCH($O73,$AA$1:$AA$2,0)))^(AG$16-AF$16),INDEX(AEA2012_ZAR2022!$AC$6:$AG$104,MATCH($T73&amp;$U73,AEA2012_ZAR2022!$A$6:$A$104&amp;AEA2012_ZAR2022!$B$6:$B$104,0),MATCH(AG$16,AEA2012_ZAR2022!$AC$4:$AG$4,0)))</f>
        <v>#REF!</v>
      </c>
      <c r="AH73" s="67" t="e">
        <f t="array" ref="AH73">IF($W$1,AG73*(1+INDEX(AH$1:AH$2,MATCH($O73,$AA$1:$AA$2,0)))^(AH$16-AG$16),INDEX(AEA2012_ZAR2022!$AC$6:$AG$104,MATCH($T73&amp;$U73,AEA2012_ZAR2022!$A$6:$A$104&amp;AEA2012_ZAR2022!$B$6:$B$104,0),MATCH(AH$16,AEA2012_ZAR2022!$AC$4:$AG$4,0)))</f>
        <v>#REF!</v>
      </c>
      <c r="AI73" s="67"/>
      <c r="AJ73" s="256" t="e">
        <f t="shared" si="6"/>
        <v>#REF!</v>
      </c>
      <c r="AK73" s="256" t="e">
        <f t="shared" si="7"/>
        <v>#REF!</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25">
      <c r="N74" s="61" t="s">
        <v>501</v>
      </c>
      <c r="O74" s="61" t="s">
        <v>653</v>
      </c>
      <c r="P74" s="61" t="s">
        <v>724</v>
      </c>
      <c r="Q74" s="61" t="str">
        <f t="shared" si="4"/>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5"/>
        <v>CV1ELC</v>
      </c>
      <c r="AD74" s="67">
        <f t="array" ref="AD74">INDEX(AEA2012_ZAR2022!$AC$6:$AG$104,MATCH($T74&amp;$U74,AEA2012_ZAR2022!$A$6:$A$104&amp;AEA2012_ZAR2022!$B$6:$B$104,0),MATCH(AD$16,AEA2012_ZAR2022!$S$4:$Z$4,0))</f>
        <v>2.8650268656617239</v>
      </c>
      <c r="AE74" s="67">
        <f t="array" ref="AE74">IF($W$1,AD74*(1+INDEX(AE$1:AE$2,MATCH($O74,$AA$1:$AA$2,0)))^(AE$16-AD$16),INDEX(AEA2012_ZAR2022!$AC$6:$AG$104,MATCH($T74&amp;$U74,AEA2012_ZAR2022!$A$6:$A$104&amp;AEA2012_ZAR2022!$B$6:$B$104,0),MATCH(AE$16,AEA2012_ZAR2022!$AC$4:$AG$4,0)))</f>
        <v>2.8365051800117724</v>
      </c>
      <c r="AF74" s="67">
        <f t="array" ref="AF74">IF($W$1,AE74*(1+INDEX(AF$1:AF$2,MATCH($O74,$AA$1:$AA$2,0)))^(AF$16-AE$16),INDEX(AEA2012_ZAR2022!$AC$6:$AG$104,MATCH($T74&amp;$U74,AEA2012_ZAR2022!$A$6:$A$104&amp;AEA2012_ZAR2022!$B$6:$B$104,0),MATCH(AF$16,AEA2012_ZAR2022!$AC$4:$AG$4,0)))</f>
        <v>2.8082674311590861</v>
      </c>
      <c r="AG74" s="67">
        <f t="array" ref="AG74">IF($W$1,AF74*(1+INDEX(AG$1:AG$2,MATCH($O74,$AA$1:$AA$2,0)))^(AG$16-AF$16),INDEX(AEA2012_ZAR2022!$AC$6:$AG$104,MATCH($T74&amp;$U74,AEA2012_ZAR2022!$A$6:$A$104&amp;AEA2012_ZAR2022!$B$6:$B$104,0),MATCH(AG$16,AEA2012_ZAR2022!$AC$4:$AG$4,0)))</f>
        <v>2.7803107924788351</v>
      </c>
      <c r="AH74" s="67">
        <f t="array" ref="AH74">IF($W$1,AG74*(1+INDEX(AH$1:AH$2,MATCH($O74,$AA$1:$AA$2,0)))^(AH$16-AG$16),INDEX(AEA2012_ZAR2022!$AC$6:$AG$104,MATCH($T74&amp;$U74,AEA2012_ZAR2022!$A$6:$A$104&amp;AEA2012_ZAR2022!$B$6:$B$104,0),MATCH(AH$16,AEA2012_ZAR2022!$AC$4:$AG$4,0)))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25">
      <c r="N75" s="61" t="s">
        <v>504</v>
      </c>
      <c r="O75" s="61" t="s">
        <v>653</v>
      </c>
      <c r="P75" s="61" t="s">
        <v>724</v>
      </c>
      <c r="Q75" s="61" t="str">
        <f t="shared" si="4"/>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5"/>
        <v>CV1HGN</v>
      </c>
      <c r="AD75" s="67">
        <f t="array" ref="AD75">INDEX(AEA2012_ZAR2022!$AC$6:$AG$104,MATCH($T75&amp;$U75,AEA2012_ZAR2022!$A$6:$A$104&amp;AEA2012_ZAR2022!$B$6:$B$104,0),MATCH(AD$16,AEA2012_ZAR2022!$S$4:$Z$4,0))</f>
        <v>4.4231993715479234</v>
      </c>
      <c r="AE75" s="67">
        <f t="array" ref="AE75">IF($W$1,AD75*(1+INDEX(AE$1:AE$2,MATCH($O75,$AA$1:$AA$2,0)))^(AE$16-AD$16),INDEX(AEA2012_ZAR2022!$AC$6:$AG$104,MATCH($T75&amp;$U75,AEA2012_ZAR2022!$A$6:$A$104&amp;AEA2012_ZAR2022!$B$6:$B$104,0),MATCH(AE$16,AEA2012_ZAR2022!$AC$4:$AG$4,0)))</f>
        <v>4.3791658919479977</v>
      </c>
      <c r="AF75" s="67">
        <f t="array" ref="AF75">IF($W$1,AE75*(1+INDEX(AF$1:AF$2,MATCH($O75,$AA$1:$AA$2,0)))^(AF$16-AE$16),INDEX(AEA2012_ZAR2022!$AC$6:$AG$104,MATCH($T75&amp;$U75,AEA2012_ZAR2022!$A$6:$A$104&amp;AEA2012_ZAR2022!$B$6:$B$104,0),MATCH(AF$16,AEA2012_ZAR2022!$AC$4:$AG$4,0)))</f>
        <v>4.3355707709122715</v>
      </c>
      <c r="AG75" s="67">
        <f t="array" ref="AG75">IF($W$1,AF75*(1+INDEX(AG$1:AG$2,MATCH($O75,$AA$1:$AA$2,0)))^(AG$16-AF$16),INDEX(AEA2012_ZAR2022!$AC$6:$AG$104,MATCH($T75&amp;$U75,AEA2012_ZAR2022!$A$6:$A$104&amp;AEA2012_ZAR2022!$B$6:$B$104,0),MATCH(AG$16,AEA2012_ZAR2022!$AC$4:$AG$4,0)))</f>
        <v>4.2924096445287265</v>
      </c>
      <c r="AH75" s="67">
        <f t="array" ref="AH75">IF($W$1,AG75*(1+INDEX(AH$1:AH$2,MATCH($O75,$AA$1:$AA$2,0)))^(AH$16-AG$16),INDEX(AEA2012_ZAR2022!$AC$6:$AG$104,MATCH($T75&amp;$U75,AEA2012_ZAR2022!$A$6:$A$104&amp;AEA2012_ZAR2022!$B$6:$B$104,0),MATCH(AH$16,AEA2012_ZAR2022!$AC$4:$AG$4,0)))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25">
      <c r="N76" s="61" t="s">
        <v>509</v>
      </c>
      <c r="O76" s="61" t="s">
        <v>653</v>
      </c>
      <c r="P76" s="61" t="s">
        <v>724</v>
      </c>
      <c r="Q76" s="61" t="str">
        <f t="shared" si="4"/>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5"/>
        <v>CV1GAS</v>
      </c>
      <c r="AD76" s="67">
        <f t="array" ref="AD76">INDEX(AEA2012_ZAR2022!$AC$6:$AG$104,MATCH($T76&amp;$U76,AEA2012_ZAR2022!$A$6:$A$104&amp;AEA2012_ZAR2022!$B$6:$B$104,0),MATCH(AD$16,AEA2012_ZAR2022!$S$4:$Z$4,0))</f>
        <v>10.787969268949785</v>
      </c>
      <c r="AE76" s="67">
        <f t="array" ref="AE76">IF($W$1,AD76*(1+INDEX(AE$1:AE$2,MATCH($O76,$AA$1:$AA$2,0)))^(AE$16-AD$16),INDEX(AEA2012_ZAR2022!$AC$6:$AG$104,MATCH($T76&amp;$U76,AEA2012_ZAR2022!$A$6:$A$104&amp;AEA2012_ZAR2022!$B$6:$B$104,0),MATCH(AE$16,AEA2012_ZAR2022!$AC$4:$AG$4,0)))</f>
        <v>10.680573742583837</v>
      </c>
      <c r="AF76" s="67">
        <f t="array" ref="AF76">IF($W$1,AE76*(1+INDEX(AF$1:AF$2,MATCH($O76,$AA$1:$AA$2,0)))^(AF$16-AE$16),INDEX(AEA2012_ZAR2022!$AC$6:$AG$104,MATCH($T76&amp;$U76,AEA2012_ZAR2022!$A$6:$A$104&amp;AEA2012_ZAR2022!$B$6:$B$104,0),MATCH(AF$16,AEA2012_ZAR2022!$AC$4:$AG$4,0)))</f>
        <v>10.574247351547799</v>
      </c>
      <c r="AG76" s="67">
        <f t="array" ref="AG76">IF($W$1,AF76*(1+INDEX(AG$1:AG$2,MATCH($O76,$AA$1:$AA$2,0)))^(AG$16-AF$16),INDEX(AEA2012_ZAR2022!$AC$6:$AG$104,MATCH($T76&amp;$U76,AEA2012_ZAR2022!$A$6:$A$104&amp;AEA2012_ZAR2022!$B$6:$B$104,0),MATCH(AG$16,AEA2012_ZAR2022!$AC$4:$AG$4,0)))</f>
        <v>10.468979452471389</v>
      </c>
      <c r="AH76" s="67">
        <f t="array" ref="AH76">IF($W$1,AG76*(1+INDEX(AH$1:AH$2,MATCH($O76,$AA$1:$AA$2,0)))^(AH$16-AG$16),INDEX(AEA2012_ZAR2022!$AC$6:$AG$104,MATCH($T76&amp;$U76,AEA2012_ZAR2022!$A$6:$A$104&amp;AEA2012_ZAR2022!$B$6:$B$104,0),MATCH(AH$16,AEA2012_ZAR2022!$AC$4:$AG$4,0)))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25">
      <c r="O77" s="61" t="s">
        <v>653</v>
      </c>
      <c r="Q77" s="61" t="str">
        <f t="shared" si="4"/>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5"/>
        <v/>
      </c>
      <c r="AD77" s="67"/>
      <c r="AE77" s="67">
        <f t="array" ref="AE77">IF($W$1,AD77*(1+INDEX(AE$1:AE$2,MATCH($O77,$AA$1:$AA$2,0)))^(AE$16-AD$16),INDEX(AEA2012_ZAR2022!$AC$6:$AG$104,MATCH($T77&amp;$U77,AEA2012_ZAR2022!$A$6:$A$104&amp;AEA2012_ZAR2022!$B$6:$B$104,0),MATCH(AE$16,AEA2012_ZAR2022!$AC$4:$AG$4,0)))</f>
        <v>0</v>
      </c>
      <c r="AF77" s="67">
        <f t="array" ref="AF77">IF($W$1,AE77*(1+INDEX(AF$1:AF$2,MATCH($O77,$AA$1:$AA$2,0)))^(AF$16-AE$16),INDEX(AEA2012_ZAR2022!$AC$6:$AG$104,MATCH($T77&amp;$U77,AEA2012_ZAR2022!$A$6:$A$104&amp;AEA2012_ZAR2022!$B$6:$B$104,0),MATCH(AF$16,AEA2012_ZAR2022!$AC$4:$AG$4,0)))</f>
        <v>0</v>
      </c>
      <c r="AG77" s="67">
        <f t="array" ref="AG77">IF($W$1,AF77*(1+INDEX(AG$1:AG$2,MATCH($O77,$AA$1:$AA$2,0)))^(AG$16-AF$16),INDEX(AEA2012_ZAR2022!$AC$6:$AG$104,MATCH($T77&amp;$U77,AEA2012_ZAR2022!$A$6:$A$104&amp;AEA2012_ZAR2022!$B$6:$B$104,0),MATCH(AG$16,AEA2012_ZAR2022!$AC$4:$AG$4,0)))</f>
        <v>0</v>
      </c>
      <c r="AH77" s="67">
        <f t="array" ref="AH77">IF($W$1,AG77*(1+INDEX(AH$1:AH$2,MATCH($O77,$AA$1:$AA$2,0)))^(AH$16-AG$16),INDEX(AEA2012_ZAR2022!$AC$6:$AG$104,MATCH($T77&amp;$U77,AEA2012_ZAR2022!$A$6:$A$104&amp;AEA2012_ZAR2022!$B$6:$B$104,0),MATCH(AH$16,AEA2012_ZAR2022!$AC$4:$AG$4,0)))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5"/>
        <v>CV2ODS</v>
      </c>
      <c r="AD78" s="67">
        <f t="array" ref="AD78">INDEX(AEA2012_ZAR2022!$AC$6:$AG$104,MATCH($T78&amp;$U78,AEA2012_ZAR2022!$A$6:$A$104&amp;AEA2012_ZAR2022!$B$6:$B$104,0),MATCH(AD$16,AEA2012_ZAR2022!$S$4:$Z$4,0))</f>
        <v>9.3808428425650323</v>
      </c>
      <c r="AE78" s="67">
        <f t="array" ref="AE78">IF($W$1,AD78*(1+INDEX(AE$1:AE$2,MATCH($O78,$AA$1:$AA$2,0)))^(AE$16-AD$16),INDEX(AEA2012_ZAR2022!$AC$6:$AG$104,MATCH($T78&amp;$U78,AEA2012_ZAR2022!$A$6:$A$104&amp;AEA2012_ZAR2022!$B$6:$B$104,0),MATCH(AE$16,AEA2012_ZAR2022!$AC$4:$AG$4,0)))</f>
        <v>9.2874554283337734</v>
      </c>
      <c r="AF78" s="67">
        <f t="array" ref="AF78">IF($W$1,AE78*(1+INDEX(AF$1:AF$2,MATCH($O78,$AA$1:$AA$2,0)))^(AF$16-AE$16),INDEX(AEA2012_ZAR2022!$AC$6:$AG$104,MATCH($T78&amp;$U78,AEA2012_ZAR2022!$A$6:$A$104&amp;AEA2012_ZAR2022!$B$6:$B$104,0),MATCH(AF$16,AEA2012_ZAR2022!$AC$4:$AG$4,0)))</f>
        <v>9.1949976969980884</v>
      </c>
      <c r="AG78" s="67">
        <f t="array" ref="AG78">IF($W$1,AF78*(1+INDEX(AG$1:AG$2,MATCH($O78,$AA$1:$AA$2,0)))^(AG$16-AF$16),INDEX(AEA2012_ZAR2022!$AC$6:$AG$104,MATCH($T78&amp;$U78,AEA2012_ZAR2022!$A$6:$A$104&amp;AEA2012_ZAR2022!$B$6:$B$104,0),MATCH(AG$16,AEA2012_ZAR2022!$AC$4:$AG$4,0)))</f>
        <v>9.1034603934533838</v>
      </c>
      <c r="AH78" s="67">
        <f t="array" ref="AH78">IF($W$1,AG78*(1+INDEX(AH$1:AH$2,MATCH($O78,$AA$1:$AA$2,0)))^(AH$16-AG$16),INDEX(AEA2012_ZAR2022!$AC$6:$AG$104,MATCH($T78&amp;$U78,AEA2012_ZAR2022!$A$6:$A$104&amp;AEA2012_ZAR2022!$B$6:$B$104,0),MATCH(AH$16,AEA2012_ZAR2022!$AC$4:$AG$4,0)))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5"/>
        <v>CV2ELC</v>
      </c>
      <c r="AD79" s="67">
        <f t="array" ref="AD79">INDEX(AEA2012_ZAR2022!$AC$6:$AG$104,MATCH($T79&amp;$U79,AEA2012_ZAR2022!$A$6:$A$104&amp;AEA2012_ZAR2022!$B$6:$B$104,0),MATCH(AD$16,AEA2012_ZAR2022!$S$4:$Z$4,0))</f>
        <v>2.8650268656617239</v>
      </c>
      <c r="AE79" s="67">
        <f t="array" ref="AE79">IF($W$1,AD79*(1+INDEX(AE$1:AE$2,MATCH($O79,$AA$1:$AA$2,0)))^(AE$16-AD$16),INDEX(AEA2012_ZAR2022!$AC$6:$AG$104,MATCH($T79&amp;$U79,AEA2012_ZAR2022!$A$6:$A$104&amp;AEA2012_ZAR2022!$B$6:$B$104,0),MATCH(AE$16,AEA2012_ZAR2022!$AC$4:$AG$4,0)))</f>
        <v>2.8365051800117724</v>
      </c>
      <c r="AF79" s="67">
        <f t="array" ref="AF79">IF($W$1,AE79*(1+INDEX(AF$1:AF$2,MATCH($O79,$AA$1:$AA$2,0)))^(AF$16-AE$16),INDEX(AEA2012_ZAR2022!$AC$6:$AG$104,MATCH($T79&amp;$U79,AEA2012_ZAR2022!$A$6:$A$104&amp;AEA2012_ZAR2022!$B$6:$B$104,0),MATCH(AF$16,AEA2012_ZAR2022!$AC$4:$AG$4,0)))</f>
        <v>2.8082674311590861</v>
      </c>
      <c r="AG79" s="67">
        <f t="array" ref="AG79">IF($W$1,AF79*(1+INDEX(AG$1:AG$2,MATCH($O79,$AA$1:$AA$2,0)))^(AG$16-AF$16),INDEX(AEA2012_ZAR2022!$AC$6:$AG$104,MATCH($T79&amp;$U79,AEA2012_ZAR2022!$A$6:$A$104&amp;AEA2012_ZAR2022!$B$6:$B$104,0),MATCH(AG$16,AEA2012_ZAR2022!$AC$4:$AG$4,0)))</f>
        <v>2.7803107924788351</v>
      </c>
      <c r="AH79" s="67">
        <f t="array" ref="AH79">IF($W$1,AG79*(1+INDEX(AH$1:AH$2,MATCH($O79,$AA$1:$AA$2,0)))^(AH$16-AG$16),INDEX(AEA2012_ZAR2022!$AC$6:$AG$104,MATCH($T79&amp;$U79,AEA2012_ZAR2022!$A$6:$A$104&amp;AEA2012_ZAR2022!$B$6:$B$104,0),MATCH(AH$16,AEA2012_ZAR2022!$AC$4:$AG$4,0)))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5"/>
        <v>CV2HGN</v>
      </c>
      <c r="AD80" s="67">
        <f t="array" ref="AD80">INDEX(AEA2012_ZAR2022!$AC$6:$AG$104,MATCH($T80&amp;$U80,AEA2012_ZAR2022!$A$6:$A$104&amp;AEA2012_ZAR2022!$B$6:$B$104,0),MATCH(AD$16,AEA2012_ZAR2022!$S$4:$Z$4,0))</f>
        <v>4.4231993715479234</v>
      </c>
      <c r="AE80" s="67">
        <f t="array" ref="AE80">IF($W$1,AD80*(1+INDEX(AE$1:AE$2,MATCH($O80,$AA$1:$AA$2,0)))^(AE$16-AD$16),INDEX(AEA2012_ZAR2022!$AC$6:$AG$104,MATCH($T80&amp;$U80,AEA2012_ZAR2022!$A$6:$A$104&amp;AEA2012_ZAR2022!$B$6:$B$104,0),MATCH(AE$16,AEA2012_ZAR2022!$AC$4:$AG$4,0)))</f>
        <v>4.3791658919479977</v>
      </c>
      <c r="AF80" s="67">
        <f t="array" ref="AF80">IF($W$1,AE80*(1+INDEX(AF$1:AF$2,MATCH($O80,$AA$1:$AA$2,0)))^(AF$16-AE$16),INDEX(AEA2012_ZAR2022!$AC$6:$AG$104,MATCH($T80&amp;$U80,AEA2012_ZAR2022!$A$6:$A$104&amp;AEA2012_ZAR2022!$B$6:$B$104,0),MATCH(AF$16,AEA2012_ZAR2022!$AC$4:$AG$4,0)))</f>
        <v>4.3355707709122715</v>
      </c>
      <c r="AG80" s="67">
        <f t="array" ref="AG80">IF($W$1,AF80*(1+INDEX(AG$1:AG$2,MATCH($O80,$AA$1:$AA$2,0)))^(AG$16-AF$16),INDEX(AEA2012_ZAR2022!$AC$6:$AG$104,MATCH($T80&amp;$U80,AEA2012_ZAR2022!$A$6:$A$104&amp;AEA2012_ZAR2022!$B$6:$B$104,0),MATCH(AG$16,AEA2012_ZAR2022!$AC$4:$AG$4,0)))</f>
        <v>4.2924096445287265</v>
      </c>
      <c r="AH80" s="67">
        <f t="array" ref="AH80">IF($W$1,AG80*(1+INDEX(AH$1:AH$2,MATCH($O80,$AA$1:$AA$2,0)))^(AH$16-AG$16),INDEX(AEA2012_ZAR2022!$AC$6:$AG$104,MATCH($T80&amp;$U80,AEA2012_ZAR2022!$A$6:$A$104&amp;AEA2012_ZAR2022!$B$6:$B$104,0),MATCH(AH$16,AEA2012_ZAR2022!$AC$4:$AG$4,0)))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5"/>
        <v>CV2GAS</v>
      </c>
      <c r="AD81" s="67">
        <f t="array" ref="AD81">INDEX(AEA2012_ZAR2022!$AC$6:$AG$104,MATCH($T81&amp;$U81,AEA2012_ZAR2022!$A$6:$A$104&amp;AEA2012_ZAR2022!$B$6:$B$104,0),MATCH(AD$16,AEA2012_ZAR2022!$S$4:$Z$4,0))</f>
        <v>10.787969268949785</v>
      </c>
      <c r="AE81" s="67">
        <f t="array" ref="AE81">IF($W$1,AD81*(1+INDEX(AE$1:AE$2,MATCH($O81,$AA$1:$AA$2,0)))^(AE$16-AD$16),INDEX(AEA2012_ZAR2022!$AC$6:$AG$104,MATCH($T81&amp;$U81,AEA2012_ZAR2022!$A$6:$A$104&amp;AEA2012_ZAR2022!$B$6:$B$104,0),MATCH(AE$16,AEA2012_ZAR2022!$AC$4:$AG$4,0)))</f>
        <v>10.680573742583837</v>
      </c>
      <c r="AF81" s="67">
        <f t="array" ref="AF81">IF($W$1,AE81*(1+INDEX(AF$1:AF$2,MATCH($O81,$AA$1:$AA$2,0)))^(AF$16-AE$16),INDEX(AEA2012_ZAR2022!$AC$6:$AG$104,MATCH($T81&amp;$U81,AEA2012_ZAR2022!$A$6:$A$104&amp;AEA2012_ZAR2022!$B$6:$B$104,0),MATCH(AF$16,AEA2012_ZAR2022!$AC$4:$AG$4,0)))</f>
        <v>10.574247351547799</v>
      </c>
      <c r="AG81" s="67">
        <f t="array" ref="AG81">IF($W$1,AF81*(1+INDEX(AG$1:AG$2,MATCH($O81,$AA$1:$AA$2,0)))^(AG$16-AF$16),INDEX(AEA2012_ZAR2022!$AC$6:$AG$104,MATCH($T81&amp;$U81,AEA2012_ZAR2022!$A$6:$A$104&amp;AEA2012_ZAR2022!$B$6:$B$104,0),MATCH(AG$16,AEA2012_ZAR2022!$AC$4:$AG$4,0)))</f>
        <v>10.468979452471389</v>
      </c>
      <c r="AH81" s="67">
        <f t="array" ref="AH81">IF($W$1,AG81*(1+INDEX(AH$1:AH$2,MATCH($O81,$AA$1:$AA$2,0)))^(AH$16-AG$16),INDEX(AEA2012_ZAR2022!$AC$6:$AG$104,MATCH($T81&amp;$U81,AEA2012_ZAR2022!$A$6:$A$104&amp;AEA2012_ZAR2022!$B$6:$B$104,0),MATCH(AH$16,AEA2012_ZAR2022!$AC$4:$AG$4,0)))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5"/>
        <v/>
      </c>
      <c r="AD82" s="67" t="e">
        <f t="array" ref="AD82">INDEX(AEA2012_ZAR2022!$AC$6:$AG$104,MATCH($T82&amp;$U82,AEA2012_ZAR2022!$A$6:$A$104&amp;AEA2012_ZAR2022!$B$6:$B$104,0),MATCH(AD$16,AEA2012_ZAR2022!$S$4:$Z$4,0))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5"/>
        <v>CV3ODS</v>
      </c>
      <c r="AD83" s="67">
        <f t="array" ref="AD83">INDEX(AEA2012_ZAR2022!$AC$6:$AG$104,MATCH($T83&amp;$U83,AEA2012_ZAR2022!$A$6:$A$104&amp;AEA2012_ZAR2022!$B$6:$B$104,0),MATCH(AD$16,AEA2012_ZAR2022!$S$4:$Z$4,0))</f>
        <v>9.3808428425650323</v>
      </c>
      <c r="AE83" s="67">
        <f t="array" ref="AE83">IF($W$1,AD83*(1+INDEX(AE$1:AE$2,MATCH($O83,$AA$1:$AA$2,0)))^(AE$16-AD$16),INDEX(AEA2012_ZAR2022!$AC$6:$AG$104,MATCH($T83&amp;$U83,AEA2012_ZAR2022!$A$6:$A$104&amp;AEA2012_ZAR2022!$B$6:$B$104,0),MATCH(AE$16,AEA2012_ZAR2022!$AC$4:$AG$4,0)))</f>
        <v>9.2874554283337734</v>
      </c>
      <c r="AF83" s="67">
        <f t="array" ref="AF83">IF($W$1,AE83*(1+INDEX(AF$1:AF$2,MATCH($O83,$AA$1:$AA$2,0)))^(AF$16-AE$16),INDEX(AEA2012_ZAR2022!$AC$6:$AG$104,MATCH($T83&amp;$U83,AEA2012_ZAR2022!$A$6:$A$104&amp;AEA2012_ZAR2022!$B$6:$B$104,0),MATCH(AF$16,AEA2012_ZAR2022!$AC$4:$AG$4,0)))</f>
        <v>9.1949976969980884</v>
      </c>
      <c r="AG83" s="67">
        <f t="array" ref="AG83">IF($W$1,AF83*(1+INDEX(AG$1:AG$2,MATCH($O83,$AA$1:$AA$2,0)))^(AG$16-AF$16),INDEX(AEA2012_ZAR2022!$AC$6:$AG$104,MATCH($T83&amp;$U83,AEA2012_ZAR2022!$A$6:$A$104&amp;AEA2012_ZAR2022!$B$6:$B$104,0),MATCH(AG$16,AEA2012_ZAR2022!$AC$4:$AG$4,0)))</f>
        <v>9.1034603934533838</v>
      </c>
      <c r="AH83" s="67">
        <f t="array" ref="AH83">IF($W$1,AG83*(1+INDEX(AH$1:AH$2,MATCH($O83,$AA$1:$AA$2,0)))^(AH$16-AG$16),INDEX(AEA2012_ZAR2022!$AC$6:$AG$104,MATCH($T83&amp;$U83,AEA2012_ZAR2022!$A$6:$A$104&amp;AEA2012_ZAR2022!$B$6:$B$104,0),MATCH(AH$16,AEA2012_ZAR2022!$AC$4:$AG$4,0)))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5"/>
        <v>CV3ELC</v>
      </c>
      <c r="AD84" s="67">
        <f t="array" ref="AD84">INDEX(AEA2012_ZAR2022!$AC$6:$AG$104,MATCH($T84&amp;$U84,AEA2012_ZAR2022!$A$6:$A$104&amp;AEA2012_ZAR2022!$B$6:$B$104,0),MATCH(AD$16,AEA2012_ZAR2022!$S$4:$Z$4,0))</f>
        <v>2.8650268656617239</v>
      </c>
      <c r="AE84" s="67">
        <f t="array" ref="AE84">IF($W$1,AD84*(1+INDEX(AE$1:AE$2,MATCH($O84,$AA$1:$AA$2,0)))^(AE$16-AD$16),INDEX(AEA2012_ZAR2022!$AC$6:$AG$104,MATCH($T84&amp;$U84,AEA2012_ZAR2022!$A$6:$A$104&amp;AEA2012_ZAR2022!$B$6:$B$104,0),MATCH(AE$16,AEA2012_ZAR2022!$AC$4:$AG$4,0)))</f>
        <v>2.8365051800117724</v>
      </c>
      <c r="AF84" s="67">
        <f t="array" ref="AF84">IF($W$1,AE84*(1+INDEX(AF$1:AF$2,MATCH($O84,$AA$1:$AA$2,0)))^(AF$16-AE$16),INDEX(AEA2012_ZAR2022!$AC$6:$AG$104,MATCH($T84&amp;$U84,AEA2012_ZAR2022!$A$6:$A$104&amp;AEA2012_ZAR2022!$B$6:$B$104,0),MATCH(AF$16,AEA2012_ZAR2022!$AC$4:$AG$4,0)))</f>
        <v>2.8082674311590861</v>
      </c>
      <c r="AG84" s="67">
        <f t="array" ref="AG84">IF($W$1,AF84*(1+INDEX(AG$1:AG$2,MATCH($O84,$AA$1:$AA$2,0)))^(AG$16-AF$16),INDEX(AEA2012_ZAR2022!$AC$6:$AG$104,MATCH($T84&amp;$U84,AEA2012_ZAR2022!$A$6:$A$104&amp;AEA2012_ZAR2022!$B$6:$B$104,0),MATCH(AG$16,AEA2012_ZAR2022!$AC$4:$AG$4,0)))</f>
        <v>2.7803107924788351</v>
      </c>
      <c r="AH84" s="67">
        <f t="array" ref="AH84">IF($W$1,AG84*(1+INDEX(AH$1:AH$2,MATCH($O84,$AA$1:$AA$2,0)))^(AH$16-AG$16),INDEX(AEA2012_ZAR2022!$AC$6:$AG$104,MATCH($T84&amp;$U84,AEA2012_ZAR2022!$A$6:$A$104&amp;AEA2012_ZAR2022!$B$6:$B$104,0),MATCH(AH$16,AEA2012_ZAR2022!$AC$4:$AG$4,0)))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ref="AC85:AC110" si="28">Q85&amp;N85</f>
        <v>CV3HGN</v>
      </c>
      <c r="AD85" s="67">
        <f t="array" ref="AD85">INDEX(AEA2012_ZAR2022!$AC$6:$AG$104,MATCH($T85&amp;$U85,AEA2012_ZAR2022!$A$6:$A$104&amp;AEA2012_ZAR2022!$B$6:$B$104,0),MATCH(AD$16,AEA2012_ZAR2022!$S$4:$Z$4,0))</f>
        <v>4.4231993715479234</v>
      </c>
      <c r="AE85" s="67">
        <f t="array" ref="AE85">IF($W$1,AD85*(1+INDEX(AE$1:AE$2,MATCH($O85,$AA$1:$AA$2,0)))^(AE$16-AD$16),INDEX(AEA2012_ZAR2022!$AC$6:$AG$104,MATCH($T85&amp;$U85,AEA2012_ZAR2022!$A$6:$A$104&amp;AEA2012_ZAR2022!$B$6:$B$104,0),MATCH(AE$16,AEA2012_ZAR2022!$AC$4:$AG$4,0)))</f>
        <v>4.3791658919479977</v>
      </c>
      <c r="AF85" s="67">
        <f t="array" ref="AF85">IF($W$1,AE85*(1+INDEX(AF$1:AF$2,MATCH($O85,$AA$1:$AA$2,0)))^(AF$16-AE$16),INDEX(AEA2012_ZAR2022!$AC$6:$AG$104,MATCH($T85&amp;$U85,AEA2012_ZAR2022!$A$6:$A$104&amp;AEA2012_ZAR2022!$B$6:$B$104,0),MATCH(AF$16,AEA2012_ZAR2022!$AC$4:$AG$4,0)))</f>
        <v>4.3355707709122715</v>
      </c>
      <c r="AG85" s="67">
        <f t="array" ref="AG85">IF($W$1,AF85*(1+INDEX(AG$1:AG$2,MATCH($O85,$AA$1:$AA$2,0)))^(AG$16-AF$16),INDEX(AEA2012_ZAR2022!$AC$6:$AG$104,MATCH($T85&amp;$U85,AEA2012_ZAR2022!$A$6:$A$104&amp;AEA2012_ZAR2022!$B$6:$B$104,0),MATCH(AG$16,AEA2012_ZAR2022!$AC$4:$AG$4,0)))</f>
        <v>4.2924096445287265</v>
      </c>
      <c r="AH85" s="67">
        <f t="array" ref="AH85">IF($W$1,AG85*(1+INDEX(AH$1:AH$2,MATCH($O85,$AA$1:$AA$2,0)))^(AH$16-AG$16),INDEX(AEA2012_ZAR2022!$AC$6:$AG$104,MATCH($T85&amp;$U85,AEA2012_ZAR2022!$A$6:$A$104&amp;AEA2012_ZAR2022!$B$6:$B$104,0),MATCH(AH$16,AEA2012_ZAR2022!$AC$4:$AG$4,0)))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28"/>
        <v>CV3GAS</v>
      </c>
      <c r="AD86" s="67">
        <f t="array" ref="AD86">INDEX(AEA2012_ZAR2022!$AC$6:$AG$104,MATCH($T86&amp;$U86,AEA2012_ZAR2022!$A$6:$A$104&amp;AEA2012_ZAR2022!$B$6:$B$104,0),MATCH(AD$16,AEA2012_ZAR2022!$S$4:$Z$4,0))</f>
        <v>10.787969268949785</v>
      </c>
      <c r="AE86" s="67">
        <f t="array" ref="AE86">IF($W$1,AD86*(1+INDEX(AE$1:AE$2,MATCH($O86,$AA$1:$AA$2,0)))^(AE$16-AD$16),INDEX(AEA2012_ZAR2022!$AC$6:$AG$104,MATCH($T86&amp;$U86,AEA2012_ZAR2022!$A$6:$A$104&amp;AEA2012_ZAR2022!$B$6:$B$104,0),MATCH(AE$16,AEA2012_ZAR2022!$AC$4:$AG$4,0)))</f>
        <v>10.680573742583837</v>
      </c>
      <c r="AF86" s="67">
        <f t="array" ref="AF86">IF($W$1,AE86*(1+INDEX(AF$1:AF$2,MATCH($O86,$AA$1:$AA$2,0)))^(AF$16-AE$16),INDEX(AEA2012_ZAR2022!$AC$6:$AG$104,MATCH($T86&amp;$U86,AEA2012_ZAR2022!$A$6:$A$104&amp;AEA2012_ZAR2022!$B$6:$B$104,0),MATCH(AF$16,AEA2012_ZAR2022!$AC$4:$AG$4,0)))</f>
        <v>10.574247351547799</v>
      </c>
      <c r="AG86" s="67">
        <f t="array" ref="AG86">IF($W$1,AF86*(1+INDEX(AG$1:AG$2,MATCH($O86,$AA$1:$AA$2,0)))^(AG$16-AF$16),INDEX(AEA2012_ZAR2022!$AC$6:$AG$104,MATCH($T86&amp;$U86,AEA2012_ZAR2022!$A$6:$A$104&amp;AEA2012_ZAR2022!$B$6:$B$104,0),MATCH(AG$16,AEA2012_ZAR2022!$AC$4:$AG$4,0)))</f>
        <v>10.468979452471389</v>
      </c>
      <c r="AH86" s="67">
        <f t="array" ref="AH86">IF($W$1,AG86*(1+INDEX(AH$1:AH$2,MATCH($O86,$AA$1:$AA$2,0)))^(AH$16-AG$16),INDEX(AEA2012_ZAR2022!$AC$6:$AG$104,MATCH($T86&amp;$U86,AEA2012_ZAR2022!$A$6:$A$104&amp;AEA2012_ZAR2022!$B$6:$B$104,0),MATCH(AH$16,AEA2012_ZAR2022!$AC$4:$AG$4,0)))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28"/>
        <v/>
      </c>
      <c r="AD87" s="67"/>
      <c r="AE87" s="67">
        <f t="array" ref="AE87">IF($W$1,AD87*(1+INDEX(AE$1:AE$2,MATCH($O87,$AA$1:$AA$2,0)))^(AE$16-AD$16),INDEX(AEA2012_ZAR2022!$AC$6:$AG$104,MATCH($T87&amp;$U87,AEA2012_ZAR2022!$A$6:$A$104&amp;AEA2012_ZAR2022!$B$6:$B$104,0),MATCH(AE$16,AEA2012_ZAR2022!$AC$4:$AG$4,0)))</f>
        <v>0</v>
      </c>
      <c r="AF87" s="67">
        <f t="array" ref="AF87">IF($W$1,AE87*(1+INDEX(AF$1:AF$2,MATCH($O87,$AA$1:$AA$2,0)))^(AF$16-AE$16),INDEX(AEA2012_ZAR2022!$AC$6:$AG$104,MATCH($T87&amp;$U87,AEA2012_ZAR2022!$A$6:$A$104&amp;AEA2012_ZAR2022!$B$6:$B$104,0),MATCH(AF$16,AEA2012_ZAR2022!$AC$4:$AG$4,0)))</f>
        <v>0</v>
      </c>
      <c r="AG87" s="67">
        <f t="array" ref="AG87">IF($W$1,AF87*(1+INDEX(AG$1:AG$2,MATCH($O87,$AA$1:$AA$2,0)))^(AG$16-AF$16),INDEX(AEA2012_ZAR2022!$AC$6:$AG$104,MATCH($T87&amp;$U87,AEA2012_ZAR2022!$A$6:$A$104&amp;AEA2012_ZAR2022!$B$6:$B$104,0),MATCH(AG$16,AEA2012_ZAR2022!$AC$4:$AG$4,0)))</f>
        <v>0</v>
      </c>
      <c r="AH87" s="67">
        <f t="array" ref="AH87">IF($W$1,AG87*(1+INDEX(AH$1:AH$2,MATCH($O87,$AA$1:$AA$2,0)))^(AH$16-AG$16),INDEX(AEA2012_ZAR2022!$AC$6:$AG$104,MATCH($T87&amp;$U87,AEA2012_ZAR2022!$A$6:$A$104&amp;AEA2012_ZAR2022!$B$6:$B$104,0),MATCH(AH$16,AEA2012_ZAR2022!$AC$4:$AG$4,0)))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28"/>
        <v>CV4ODS</v>
      </c>
      <c r="AD88" s="67">
        <f t="array" ref="AD88">INDEX(AEA2012_ZAR2022!$AC$6:$AG$104,MATCH($T88&amp;$U88,AEA2012_ZAR2022!$A$6:$A$104&amp;AEA2012_ZAR2022!$B$6:$B$104,0),MATCH(AD$16,AEA2012_ZAR2022!$S$4:$Z$4,0))</f>
        <v>13.15733229927832</v>
      </c>
      <c r="AE88" s="67">
        <f t="array" ref="AE88">IF($W$1,AD88*(1+INDEX(AE$1:AE$2,MATCH($O88,$AA$1:$AA$2,0)))^(AE$16-AD$16),INDEX(AEA2012_ZAR2022!$AC$6:$AG$104,MATCH($T88&amp;$U88,AEA2012_ZAR2022!$A$6:$A$104&amp;AEA2012_ZAR2022!$B$6:$B$104,0),MATCH(AE$16,AEA2012_ZAR2022!$AC$4:$AG$4,0)))</f>
        <v>13.026349480118856</v>
      </c>
      <c r="AF88" s="67">
        <f t="array" ref="AF88">IF($W$1,AE88*(1+INDEX(AF$1:AF$2,MATCH($O88,$AA$1:$AA$2,0)))^(AF$16-AE$16),INDEX(AEA2012_ZAR2022!$AC$6:$AG$104,MATCH($T88&amp;$U88,AEA2012_ZAR2022!$A$6:$A$104&amp;AEA2012_ZAR2022!$B$6:$B$104,0),MATCH(AF$16,AEA2012_ZAR2022!$AC$4:$AG$4,0)))</f>
        <v>12.89667061061459</v>
      </c>
      <c r="AG88" s="67">
        <f t="array" ref="AG88">IF($W$1,AF88*(1+INDEX(AG$1:AG$2,MATCH($O88,$AA$1:$AA$2,0)))^(AG$16-AF$16),INDEX(AEA2012_ZAR2022!$AC$6:$AG$104,MATCH($T88&amp;$U88,AEA2012_ZAR2022!$A$6:$A$104&amp;AEA2012_ZAR2022!$B$6:$B$104,0),MATCH(AG$16,AEA2012_ZAR2022!$AC$4:$AG$4,0)))</f>
        <v>12.768282709790505</v>
      </c>
      <c r="AH88" s="67">
        <f t="array" ref="AH88">IF($W$1,AG88*(1+INDEX(AH$1:AH$2,MATCH($O88,$AA$1:$AA$2,0)))^(AH$16-AG$16),INDEX(AEA2012_ZAR2022!$AC$6:$AG$104,MATCH($T88&amp;$U88,AEA2012_ZAR2022!$A$6:$A$104&amp;AEA2012_ZAR2022!$B$6:$B$104,0),MATCH(AH$16,AEA2012_ZAR2022!$AC$4:$AG$4,0)))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28"/>
        <v>CV4HGN</v>
      </c>
      <c r="AD89" s="67">
        <f t="array" ref="AD89">INDEX(AEA2012_ZAR2022!$AC$6:$AG$104,MATCH($T89&amp;$U89,AEA2012_ZAR2022!$A$6:$A$104&amp;AEA2012_ZAR2022!$B$6:$B$104,0),MATCH(AD$16,AEA2012_ZAR2022!$S$4:$Z$4,0))</f>
        <v>6.2365059907747922</v>
      </c>
      <c r="AE89" s="67">
        <f t="array" ref="AE89">IF($W$1,AD89*(1+INDEX(AE$1:AE$2,MATCH($O89,$AA$1:$AA$2,0)))^(AE$16-AD$16),INDEX(AEA2012_ZAR2022!$AC$6:$AG$104,MATCH($T89&amp;$U89,AEA2012_ZAR2022!$A$6:$A$104&amp;AEA2012_ZAR2022!$B$6:$B$104,0),MATCH(AE$16,AEA2012_ZAR2022!$AC$4:$AG$4,0)))</f>
        <v>6.174420826564007</v>
      </c>
      <c r="AF89" s="67">
        <f t="array" ref="AF89">IF($W$1,AE89*(1+INDEX(AF$1:AF$2,MATCH($O89,$AA$1:$AA$2,0)))^(AF$16-AE$16),INDEX(AEA2012_ZAR2022!$AC$6:$AG$104,MATCH($T89&amp;$U89,AEA2012_ZAR2022!$A$6:$A$104&amp;AEA2012_ZAR2022!$B$6:$B$104,0),MATCH(AF$16,AEA2012_ZAR2022!$AC$4:$AG$4,0)))</f>
        <v>6.1129537276001376</v>
      </c>
      <c r="AG89" s="67">
        <f t="array" ref="AG89">IF($W$1,AF89*(1+INDEX(AG$1:AG$2,MATCH($O89,$AA$1:$AA$2,0)))^(AG$16-AF$16),INDEX(AEA2012_ZAR2022!$AC$6:$AG$104,MATCH($T89&amp;$U89,AEA2012_ZAR2022!$A$6:$A$104&amp;AEA2012_ZAR2022!$B$6:$B$104,0),MATCH(AG$16,AEA2012_ZAR2022!$AC$4:$AG$4,0)))</f>
        <v>6.0520985409696131</v>
      </c>
      <c r="AH89" s="67">
        <f t="array" ref="AH89">IF($W$1,AG89*(1+INDEX(AH$1:AH$2,MATCH($O89,$AA$1:$AA$2,0)))^(AH$16-AG$16),INDEX(AEA2012_ZAR2022!$AC$6:$AG$104,MATCH($T89&amp;$U89,AEA2012_ZAR2022!$A$6:$A$104&amp;AEA2012_ZAR2022!$B$6:$B$104,0),MATCH(AH$16,AEA2012_ZAR2022!$AC$4:$AG$4,0)))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28"/>
        <v>CV4GAS</v>
      </c>
      <c r="AD90" s="67">
        <f t="array" ref="AD90">INDEX(AEA2012_ZAR2022!$AC$6:$AG$104,MATCH($T90&amp;$U90,AEA2012_ZAR2022!$A$6:$A$104&amp;AEA2012_ZAR2022!$B$6:$B$104,0),MATCH(AD$16,AEA2012_ZAR2022!$S$4:$Z$4,0))</f>
        <v>15.130932144170067</v>
      </c>
      <c r="AE90" s="67">
        <f t="array" ref="AE90">IF($W$1,AD90*(1+INDEX(AE$1:AE$2,MATCH($O90,$AA$1:$AA$2,0)))^(AE$16-AD$16),INDEX(AEA2012_ZAR2022!$AC$6:$AG$104,MATCH($T90&amp;$U90,AEA2012_ZAR2022!$A$6:$A$104&amp;AEA2012_ZAR2022!$B$6:$B$104,0),MATCH(AE$16,AEA2012_ZAR2022!$AC$4:$AG$4,0)))</f>
        <v>14.980301902136684</v>
      </c>
      <c r="AF90" s="67">
        <f t="array" ref="AF90">IF($W$1,AE90*(1+INDEX(AF$1:AF$2,MATCH($O90,$AA$1:$AA$2,0)))^(AF$16-AE$16),INDEX(AEA2012_ZAR2022!$AC$6:$AG$104,MATCH($T90&amp;$U90,AEA2012_ZAR2022!$A$6:$A$104&amp;AEA2012_ZAR2022!$B$6:$B$104,0),MATCH(AF$16,AEA2012_ZAR2022!$AC$4:$AG$4,0)))</f>
        <v>14.831171202206779</v>
      </c>
      <c r="AG90" s="67">
        <f t="array" ref="AG90">IF($W$1,AF90*(1+INDEX(AG$1:AG$2,MATCH($O90,$AA$1:$AA$2,0)))^(AG$16-AF$16),INDEX(AEA2012_ZAR2022!$AC$6:$AG$104,MATCH($T90&amp;$U90,AEA2012_ZAR2022!$A$6:$A$104&amp;AEA2012_ZAR2022!$B$6:$B$104,0),MATCH(AG$16,AEA2012_ZAR2022!$AC$4:$AG$4,0)))</f>
        <v>14.68352511625908</v>
      </c>
      <c r="AH90" s="67">
        <f t="array" ref="AH90">IF($W$1,AG90*(1+INDEX(AH$1:AH$2,MATCH($O90,$AA$1:$AA$2,0)))^(AH$16-AG$16),INDEX(AEA2012_ZAR2022!$AC$6:$AG$104,MATCH($T90&amp;$U90,AEA2012_ZAR2022!$A$6:$A$104&amp;AEA2012_ZAR2022!$B$6:$B$104,0),MATCH(AH$16,AEA2012_ZAR2022!$AC$4:$AG$4,0)))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28"/>
        <v/>
      </c>
      <c r="AD91" s="67"/>
      <c r="AE91" s="67">
        <f t="array" ref="AE91">IF($W$1,AD91*(1+INDEX(AE$1:AE$2,MATCH($O91,$AA$1:$AA$2,0)))^(AE$16-AD$16),INDEX(AEA2012_ZAR2022!$AC$6:$AG$104,MATCH($T91&amp;$U91,AEA2012_ZAR2022!$A$6:$A$104&amp;AEA2012_ZAR2022!$B$6:$B$104,0),MATCH(AE$16,AEA2012_ZAR2022!$AC$4:$AG$4,0)))</f>
        <v>0</v>
      </c>
      <c r="AF91" s="67">
        <f t="array" ref="AF91">IF($W$1,AE91*(1+INDEX(AF$1:AF$2,MATCH($O91,$AA$1:$AA$2,0)))^(AF$16-AE$16),INDEX(AEA2012_ZAR2022!$AC$6:$AG$104,MATCH($T91&amp;$U91,AEA2012_ZAR2022!$A$6:$A$104&amp;AEA2012_ZAR2022!$B$6:$B$104,0),MATCH(AF$16,AEA2012_ZAR2022!$AC$4:$AG$4,0)))</f>
        <v>0</v>
      </c>
      <c r="AG91" s="67">
        <f t="array" ref="AG91">IF($W$1,AF91*(1+INDEX(AG$1:AG$2,MATCH($O91,$AA$1:$AA$2,0)))^(AG$16-AF$16),INDEX(AEA2012_ZAR2022!$AC$6:$AG$104,MATCH($T91&amp;$U91,AEA2012_ZAR2022!$A$6:$A$104&amp;AEA2012_ZAR2022!$B$6:$B$104,0),MATCH(AG$16,AEA2012_ZAR2022!$AC$4:$AG$4,0)))</f>
        <v>0</v>
      </c>
      <c r="AH91" s="67">
        <f t="array" ref="AH91">IF($W$1,AG91*(1+INDEX(AH$1:AH$2,MATCH($O91,$AA$1:$AA$2,0)))^(AH$16-AG$16),INDEX(AEA2012_ZAR2022!$AC$6:$AG$104,MATCH($T91&amp;$U91,AEA2012_ZAR2022!$A$6:$A$104&amp;AEA2012_ZAR2022!$B$6:$B$104,0),MATCH(AH$16,AEA2012_ZAR2022!$AC$4:$AG$4,0)))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si="28"/>
        <v>CV5ODS</v>
      </c>
      <c r="AD92" s="67">
        <f t="array" ref="AD92">INDEX(AEA2012_ZAR2022!$AC$6:$AG$104,MATCH($T92&amp;$U92,AEA2012_ZAR2022!$A$6:$A$104&amp;AEA2012_ZAR2022!$B$6:$B$104,0),MATCH(AD$16,AEA2012_ZAR2022!$S$4:$Z$4,0))</f>
        <v>12.405066687804799</v>
      </c>
      <c r="AE92" s="67">
        <f t="array" ref="AE92">IF($W$1,AD92*(1+INDEX(AE$1:AE$2,MATCH($O92,$AA$1:$AA$2,0)))^(AE$16-AD$16),INDEX(AEA2012_ZAR2022!$AC$6:$AG$104,MATCH($T92&amp;$U92,AEA2012_ZAR2022!$A$6:$A$104&amp;AEA2012_ZAR2022!$B$6:$B$104,0),MATCH(AE$16,AEA2012_ZAR2022!$AC$4:$AG$4,0)))</f>
        <v>12.281572762921643</v>
      </c>
      <c r="AF92" s="67">
        <f t="array" ref="AF92">IF($W$1,AE92*(1+INDEX(AF$1:AF$2,MATCH($O92,$AA$1:$AA$2,0)))^(AF$16-AE$16),INDEX(AEA2012_ZAR2022!$AC$6:$AG$104,MATCH($T92&amp;$U92,AEA2012_ZAR2022!$A$6:$A$104&amp;AEA2012_ZAR2022!$B$6:$B$104,0),MATCH(AF$16,AEA2012_ZAR2022!$AC$4:$AG$4,0)))</f>
        <v>12.159308234854066</v>
      </c>
      <c r="AG92" s="67">
        <f t="array" ref="AG92">IF($W$1,AF92*(1+INDEX(AG$1:AG$2,MATCH($O92,$AA$1:$AA$2,0)))^(AG$16-AF$16),INDEX(AEA2012_ZAR2022!$AC$6:$AG$104,MATCH($T92&amp;$U92,AEA2012_ZAR2022!$A$6:$A$104&amp;AEA2012_ZAR2022!$B$6:$B$104,0),MATCH(AG$16,AEA2012_ZAR2022!$AC$4:$AG$4,0)))</f>
        <v>12.0382608648095</v>
      </c>
      <c r="AH92" s="67">
        <f t="array" ref="AH92">IF($W$1,AG92*(1+INDEX(AH$1:AH$2,MATCH($O92,$AA$1:$AA$2,0)))^(AH$16-AG$16),INDEX(AEA2012_ZAR2022!$AC$6:$AG$104,MATCH($T92&amp;$U92,AEA2012_ZAR2022!$A$6:$A$104&amp;AEA2012_ZAR2022!$B$6:$B$104,0),MATCH(AH$16,AEA2012_ZAR2022!$AC$4:$AG$4,0)))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8"/>
        <v>CV5HGN</v>
      </c>
      <c r="AD93" s="67">
        <f t="array" ref="AD93">INDEX(AEA2012_ZAR2022!$AC$6:$AG$104,MATCH($T93&amp;$U93,AEA2012_ZAR2022!$A$6:$A$104&amp;AEA2012_ZAR2022!$B$6:$B$104,0),MATCH(AD$16,AEA2012_ZAR2022!$S$4:$Z$4,0))</f>
        <v>5.8799360656642294</v>
      </c>
      <c r="AE93" s="67">
        <f t="array" ref="AE93">IF($W$1,AD93*(1+INDEX(AE$1:AE$2,MATCH($O93,$AA$1:$AA$2,0)))^(AE$16-AD$16),INDEX(AEA2012_ZAR2022!$AC$6:$AG$104,MATCH($T93&amp;$U93,AEA2012_ZAR2022!$A$6:$A$104&amp;AEA2012_ZAR2022!$B$6:$B$104,0),MATCH(AE$16,AEA2012_ZAR2022!$AC$4:$AG$4,0)))</f>
        <v>5.8214005977715209</v>
      </c>
      <c r="AF93" s="67">
        <f t="array" ref="AF93">IF($W$1,AE93*(1+INDEX(AF$1:AF$2,MATCH($O93,$AA$1:$AA$2,0)))^(AF$16-AE$16),INDEX(AEA2012_ZAR2022!$AC$6:$AG$104,MATCH($T93&amp;$U93,AEA2012_ZAR2022!$A$6:$A$104&amp;AEA2012_ZAR2022!$B$6:$B$104,0),MATCH(AF$16,AEA2012_ZAR2022!$AC$4:$AG$4,0)))</f>
        <v>5.7634478574736629</v>
      </c>
      <c r="AG93" s="67">
        <f t="array" ref="AG93">IF($W$1,AF93*(1+INDEX(AG$1:AG$2,MATCH($O93,$AA$1:$AA$2,0)))^(AG$16-AF$16),INDEX(AEA2012_ZAR2022!$AC$6:$AG$104,MATCH($T93&amp;$U93,AEA2012_ZAR2022!$A$6:$A$104&amp;AEA2012_ZAR2022!$B$6:$B$104,0),MATCH(AG$16,AEA2012_ZAR2022!$AC$4:$AG$4,0)))</f>
        <v>5.7060720436476435</v>
      </c>
      <c r="AH93" s="67">
        <f t="array" ref="AH93">IF($W$1,AG93*(1+INDEX(AH$1:AH$2,MATCH($O93,$AA$1:$AA$2,0)))^(AH$16-AG$16),INDEX(AEA2012_ZAR2022!$AC$6:$AG$104,MATCH($T93&amp;$U93,AEA2012_ZAR2022!$A$6:$A$104&amp;AEA2012_ZAR2022!$B$6:$B$104,0),MATCH(AH$16,AEA2012_ZAR2022!$AC$4:$AG$4,0)))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8"/>
        <v>CV5GAS</v>
      </c>
      <c r="AD94" s="67">
        <f t="array" ref="AD94">INDEX(AEA2012_ZAR2022!$AC$6:$AG$104,MATCH($T94&amp;$U94,AEA2012_ZAR2022!$A$6:$A$104&amp;AEA2012_ZAR2022!$B$6:$B$104,0),MATCH(AD$16,AEA2012_ZAR2022!$S$4:$Z$4,0))</f>
        <v>14.265826690975519</v>
      </c>
      <c r="AE94" s="67">
        <f t="array" ref="AE94">IF($W$1,AD94*(1+INDEX(AE$1:AE$2,MATCH($O94,$AA$1:$AA$2,0)))^(AE$16-AD$16),INDEX(AEA2012_ZAR2022!$AC$6:$AG$104,MATCH($T94&amp;$U94,AEA2012_ZAR2022!$A$6:$A$104&amp;AEA2012_ZAR2022!$B$6:$B$104,0),MATCH(AE$16,AEA2012_ZAR2022!$AC$4:$AG$4,0)))</f>
        <v>14.123808677359888</v>
      </c>
      <c r="AF94" s="67">
        <f t="array" ref="AF94">IF($W$1,AE94*(1+INDEX(AF$1:AF$2,MATCH($O94,$AA$1:$AA$2,0)))^(AF$16-AE$16),INDEX(AEA2012_ZAR2022!$AC$6:$AG$104,MATCH($T94&amp;$U94,AEA2012_ZAR2022!$A$6:$A$104&amp;AEA2012_ZAR2022!$B$6:$B$104,0),MATCH(AF$16,AEA2012_ZAR2022!$AC$4:$AG$4,0)))</f>
        <v>13.983204470082175</v>
      </c>
      <c r="AG94" s="67">
        <f t="array" ref="AG94">IF($W$1,AF94*(1+INDEX(AG$1:AG$2,MATCH($O94,$AA$1:$AA$2,0)))^(AG$16-AF$16),INDEX(AEA2012_ZAR2022!$AC$6:$AG$104,MATCH($T94&amp;$U94,AEA2012_ZAR2022!$A$6:$A$104&amp;AEA2012_ZAR2022!$B$6:$B$104,0),MATCH(AG$16,AEA2012_ZAR2022!$AC$4:$AG$4,0)))</f>
        <v>13.843999994530924</v>
      </c>
      <c r="AH94" s="67">
        <f t="array" ref="AH94">IF($W$1,AG94*(1+INDEX(AH$1:AH$2,MATCH($O94,$AA$1:$AA$2,0)))^(AH$16-AG$16),INDEX(AEA2012_ZAR2022!$AC$6:$AG$104,MATCH($T94&amp;$U94,AEA2012_ZAR2022!$A$6:$A$104&amp;AEA2012_ZAR2022!$B$6:$B$104,0),MATCH(AH$16,AEA2012_ZAR2022!$AC$4:$AG$4,0)))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8"/>
        <v/>
      </c>
      <c r="AD95" s="67" t="e">
        <f t="array" ref="AD95">INDEX(AEA2012_ZAR2022!$AC$6:$AG$104,MATCH($T95&amp;$U95,AEA2012_ZAR2022!$A$6:$A$104&amp;AEA2012_ZAR2022!$B$6:$B$104,0),MATCH(AD$16,AEA2012_ZAR2022!$S$4:$Z$4,0))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8"/>
        <v>CV6ODS</v>
      </c>
      <c r="AD96" s="67">
        <f t="array" ref="AD96">INDEX(AEA2012_ZAR2022!$AC$6:$AG$104,MATCH($T96&amp;$U96,AEA2012_ZAR2022!$A$6:$A$104&amp;AEA2012_ZAR2022!$B$6:$B$104,0),MATCH(AD$16,AEA2012_ZAR2022!$S$4:$Z$4,0))</f>
        <v>12.405066687804799</v>
      </c>
      <c r="AE96" s="67">
        <f t="array" ref="AE96">IF($W$1,AD96*(1+INDEX(AE$1:AE$2,MATCH($O96,$AA$1:$AA$2,0)))^(AE$16-AD$16),INDEX(AEA2012_ZAR2022!$AC$6:$AG$104,MATCH($T96&amp;$U96,AEA2012_ZAR2022!$A$6:$A$104&amp;AEA2012_ZAR2022!$B$6:$B$104,0),MATCH(AE$16,AEA2012_ZAR2022!$AC$4:$AG$4,0)))</f>
        <v>12.281572762921643</v>
      </c>
      <c r="AF96" s="67">
        <f t="array" ref="AF96">IF($W$1,AE96*(1+INDEX(AF$1:AF$2,MATCH($O96,$AA$1:$AA$2,0)))^(AF$16-AE$16),INDEX(AEA2012_ZAR2022!$AC$6:$AG$104,MATCH($T96&amp;$U96,AEA2012_ZAR2022!$A$6:$A$104&amp;AEA2012_ZAR2022!$B$6:$B$104,0),MATCH(AF$16,AEA2012_ZAR2022!$AC$4:$AG$4,0)))</f>
        <v>12.159308234854066</v>
      </c>
      <c r="AG96" s="67">
        <f t="array" ref="AG96">IF($W$1,AF96*(1+INDEX(AG$1:AG$2,MATCH($O96,$AA$1:$AA$2,0)))^(AG$16-AF$16),INDEX(AEA2012_ZAR2022!$AC$6:$AG$104,MATCH($T96&amp;$U96,AEA2012_ZAR2022!$A$6:$A$104&amp;AEA2012_ZAR2022!$B$6:$B$104,0),MATCH(AG$16,AEA2012_ZAR2022!$AC$4:$AG$4,0)))</f>
        <v>12.0382608648095</v>
      </c>
      <c r="AH96" s="67">
        <f t="array" ref="AH96">IF($W$1,AG96*(1+INDEX(AH$1:AH$2,MATCH($O96,$AA$1:$AA$2,0)))^(AH$16-AG$16),INDEX(AEA2012_ZAR2022!$AC$6:$AG$104,MATCH($T96&amp;$U96,AEA2012_ZAR2022!$A$6:$A$104&amp;AEA2012_ZAR2022!$B$6:$B$104,0),MATCH(AH$16,AEA2012_ZAR2022!$AC$4:$AG$4,0)))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8"/>
        <v>CV6HGN</v>
      </c>
      <c r="AD97" s="67">
        <f t="array" ref="AD97">INDEX(AEA2012_ZAR2022!$AC$6:$AG$104,MATCH($T97&amp;$U97,AEA2012_ZAR2022!$A$6:$A$104&amp;AEA2012_ZAR2022!$B$6:$B$104,0),MATCH(AD$16,AEA2012_ZAR2022!$S$4:$Z$4,0))</f>
        <v>5.8799360656642294</v>
      </c>
      <c r="AE97" s="67">
        <f t="array" ref="AE97">IF($W$1,AD97*(1+INDEX(AE$1:AE$2,MATCH($O97,$AA$1:$AA$2,0)))^(AE$16-AD$16),INDEX(AEA2012_ZAR2022!$AC$6:$AG$104,MATCH($T97&amp;$U97,AEA2012_ZAR2022!$A$6:$A$104&amp;AEA2012_ZAR2022!$B$6:$B$104,0),MATCH(AE$16,AEA2012_ZAR2022!$AC$4:$AG$4,0)))</f>
        <v>5.8214005977715209</v>
      </c>
      <c r="AF97" s="67">
        <f t="array" ref="AF97">IF($W$1,AE97*(1+INDEX(AF$1:AF$2,MATCH($O97,$AA$1:$AA$2,0)))^(AF$16-AE$16),INDEX(AEA2012_ZAR2022!$AC$6:$AG$104,MATCH($T97&amp;$U97,AEA2012_ZAR2022!$A$6:$A$104&amp;AEA2012_ZAR2022!$B$6:$B$104,0),MATCH(AF$16,AEA2012_ZAR2022!$AC$4:$AG$4,0)))</f>
        <v>5.7634478574736629</v>
      </c>
      <c r="AG97" s="67">
        <f t="array" ref="AG97">IF($W$1,AF97*(1+INDEX(AG$1:AG$2,MATCH($O97,$AA$1:$AA$2,0)))^(AG$16-AF$16),INDEX(AEA2012_ZAR2022!$AC$6:$AG$104,MATCH($T97&amp;$U97,AEA2012_ZAR2022!$A$6:$A$104&amp;AEA2012_ZAR2022!$B$6:$B$104,0),MATCH(AG$16,AEA2012_ZAR2022!$AC$4:$AG$4,0)))</f>
        <v>5.7060720436476435</v>
      </c>
      <c r="AH97" s="67">
        <f t="array" ref="AH97">IF($W$1,AG97*(1+INDEX(AH$1:AH$2,MATCH($O97,$AA$1:$AA$2,0)))^(AH$16-AG$16),INDEX(AEA2012_ZAR2022!$AC$6:$AG$104,MATCH($T97&amp;$U97,AEA2012_ZAR2022!$A$6:$A$104&amp;AEA2012_ZAR2022!$B$6:$B$104,0),MATCH(AH$16,AEA2012_ZAR2022!$AC$4:$AG$4,0)))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8"/>
        <v>CV6GAS</v>
      </c>
      <c r="AD98" s="67">
        <f t="array" ref="AD98">INDEX(AEA2012_ZAR2022!$AC$6:$AG$104,MATCH($T98&amp;$U98,AEA2012_ZAR2022!$A$6:$A$104&amp;AEA2012_ZAR2022!$B$6:$B$104,0),MATCH(AD$16,AEA2012_ZAR2022!$S$4:$Z$4,0))</f>
        <v>14.265826690975519</v>
      </c>
      <c r="AE98" s="67">
        <f t="array" ref="AE98">IF($W$1,AD98*(1+INDEX(AE$1:AE$2,MATCH($O98,$AA$1:$AA$2,0)))^(AE$16-AD$16),INDEX(AEA2012_ZAR2022!$AC$6:$AG$104,MATCH($T98&amp;$U98,AEA2012_ZAR2022!$A$6:$A$104&amp;AEA2012_ZAR2022!$B$6:$B$104,0),MATCH(AE$16,AEA2012_ZAR2022!$AC$4:$AG$4,0)))</f>
        <v>14.123808677359888</v>
      </c>
      <c r="AF98" s="67">
        <f t="array" ref="AF98">IF($W$1,AE98*(1+INDEX(AF$1:AF$2,MATCH($O98,$AA$1:$AA$2,0)))^(AF$16-AE$16),INDEX(AEA2012_ZAR2022!$AC$6:$AG$104,MATCH($T98&amp;$U98,AEA2012_ZAR2022!$A$6:$A$104&amp;AEA2012_ZAR2022!$B$6:$B$104,0),MATCH(AF$16,AEA2012_ZAR2022!$AC$4:$AG$4,0)))</f>
        <v>13.983204470082175</v>
      </c>
      <c r="AG98" s="67">
        <f t="array" ref="AG98">IF($W$1,AF98*(1+INDEX(AG$1:AG$2,MATCH($O98,$AA$1:$AA$2,0)))^(AG$16-AF$16),INDEX(AEA2012_ZAR2022!$AC$6:$AG$104,MATCH($T98&amp;$U98,AEA2012_ZAR2022!$A$6:$A$104&amp;AEA2012_ZAR2022!$B$6:$B$104,0),MATCH(AG$16,AEA2012_ZAR2022!$AC$4:$AG$4,0)))</f>
        <v>13.843999994530924</v>
      </c>
      <c r="AH98" s="67">
        <f t="array" ref="AH98">IF($W$1,AG98*(1+INDEX(AH$1:AH$2,MATCH($O98,$AA$1:$AA$2,0)))^(AH$16-AG$16),INDEX(AEA2012_ZAR2022!$AC$6:$AG$104,MATCH($T98&amp;$U98,AEA2012_ZAR2022!$A$6:$A$104&amp;AEA2012_ZAR2022!$B$6:$B$104,0),MATCH(AH$16,AEA2012_ZAR2022!$AC$4:$AG$4,0)))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8"/>
        <v/>
      </c>
      <c r="AD99" s="67" t="e">
        <f t="array" ref="AD99">INDEX(AEA2012_ZAR2022!$AC$6:$AG$104,MATCH($T99&amp;$U99,AEA2012_ZAR2022!$A$6:$A$104&amp;AEA2012_ZAR2022!$B$6:$B$104,0),MATCH(AD$16,AEA2012_ZAR2022!$S$4:$Z$4,0))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8"/>
        <v>CV7ODS</v>
      </c>
      <c r="AD100" s="67">
        <f t="array" ref="AD100">INDEX(AEA2012_ZAR2022!$AC$6:$AG$104,MATCH($T100&amp;$U100,AEA2012_ZAR2022!$A$6:$A$104&amp;AEA2012_ZAR2022!$B$6:$B$104,0),MATCH(AD$16,AEA2012_ZAR2022!$S$4:$Z$4,0))</f>
        <v>13.986475102643237</v>
      </c>
      <c r="AE100" s="67">
        <f t="array" ref="AE100">IF($W$1,AD100*(1+INDEX(AE$1:AE$2,MATCH($O100,$AA$1:$AA$2,0)))^(AE$16-AD$16),INDEX(AEA2012_ZAR2022!$AC$6:$AG$104,MATCH($T100&amp;$U100,AEA2012_ZAR2022!$A$6:$A$104&amp;AEA2012_ZAR2022!$B$6:$B$104,0),MATCH(AE$16,AEA2012_ZAR2022!$AC$4:$AG$4,0)))</f>
        <v>13.84723806755305</v>
      </c>
      <c r="AF100" s="67">
        <f t="array" ref="AF100">IF($W$1,AE100*(1+INDEX(AF$1:AF$2,MATCH($O100,$AA$1:$AA$2,0)))^(AF$16-AE$16),INDEX(AEA2012_ZAR2022!$AC$6:$AG$104,MATCH($T100&amp;$U100,AEA2012_ZAR2022!$A$6:$A$104&amp;AEA2012_ZAR2022!$B$6:$B$104,0),MATCH(AF$16,AEA2012_ZAR2022!$AC$4:$AG$4,0)))</f>
        <v>13.709387153826427</v>
      </c>
      <c r="AG100" s="67">
        <f t="array" ref="AG100">IF($W$1,AF100*(1+INDEX(AG$1:AG$2,MATCH($O100,$AA$1:$AA$2,0)))^(AG$16-AF$16),INDEX(AEA2012_ZAR2022!$AC$6:$AG$104,MATCH($T100&amp;$U100,AEA2012_ZAR2022!$A$6:$A$104&amp;AEA2012_ZAR2022!$B$6:$B$104,0),MATCH(AG$16,AEA2012_ZAR2022!$AC$4:$AG$4,0)))</f>
        <v>13.572908562459148</v>
      </c>
      <c r="AH100" s="67">
        <f t="array" ref="AH100">IF($W$1,AG100*(1+INDEX(AH$1:AH$2,MATCH($O100,$AA$1:$AA$2,0)))^(AH$16-AG$16),INDEX(AEA2012_ZAR2022!$AC$6:$AG$104,MATCH($T100&amp;$U100,AEA2012_ZAR2022!$A$6:$A$104&amp;AEA2012_ZAR2022!$B$6:$B$104,0),MATCH(AH$16,AEA2012_ZAR2022!$AC$4:$AG$4,0)))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8"/>
        <v>CV7HGN</v>
      </c>
      <c r="AD101" s="67">
        <f t="array" ref="AD101">INDEX(AEA2012_ZAR2022!$AC$6:$AG$104,MATCH($T101&amp;$U101,AEA2012_ZAR2022!$A$6:$A$104&amp;AEA2012_ZAR2022!$B$6:$B$104,0),MATCH(AD$16,AEA2012_ZAR2022!$S$4:$Z$4,0))</f>
        <v>6.6431339955944022</v>
      </c>
      <c r="AE101" s="67">
        <f t="array" ref="AE101">IF($W$1,AD101*(1+INDEX(AE$1:AE$2,MATCH($O101,$AA$1:$AA$2,0)))^(AE$16-AD$16),INDEX(AEA2012_ZAR2022!$AC$6:$AG$104,MATCH($T101&amp;$U101,AEA2012_ZAR2022!$A$6:$A$104&amp;AEA2012_ZAR2022!$B$6:$B$104,0),MATCH(AE$16,AEA2012_ZAR2022!$AC$4:$AG$4,0)))</f>
        <v>6.5770008008855667</v>
      </c>
      <c r="AF101" s="67">
        <f t="array" ref="AF101">IF($W$1,AE101*(1+INDEX(AF$1:AF$2,MATCH($O101,$AA$1:$AA$2,0)))^(AF$16-AE$16),INDEX(AEA2012_ZAR2022!$AC$6:$AG$104,MATCH($T101&amp;$U101,AEA2012_ZAR2022!$A$6:$A$104&amp;AEA2012_ZAR2022!$B$6:$B$104,0),MATCH(AF$16,AEA2012_ZAR2022!$AC$4:$AG$4,0)))</f>
        <v>6.5115259700521699</v>
      </c>
      <c r="AG101" s="67">
        <f t="array" ref="AG101">IF($W$1,AF101*(1+INDEX(AG$1:AG$2,MATCH($O101,$AA$1:$AA$2,0)))^(AG$16-AF$16),INDEX(AEA2012_ZAR2022!$AC$6:$AG$104,MATCH($T101&amp;$U101,AEA2012_ZAR2022!$A$6:$A$104&amp;AEA2012_ZAR2022!$B$6:$B$104,0),MATCH(AG$16,AEA2012_ZAR2022!$AC$4:$AG$4,0)))</f>
        <v>6.4467029490029661</v>
      </c>
      <c r="AH101" s="67">
        <f t="array" ref="AH101">IF($W$1,AG101*(1+INDEX(AH$1:AH$2,MATCH($O101,$AA$1:$AA$2,0)))^(AH$16-AG$16),INDEX(AEA2012_ZAR2022!$AC$6:$AG$104,MATCH($T101&amp;$U101,AEA2012_ZAR2022!$A$6:$A$104&amp;AEA2012_ZAR2022!$B$6:$B$104,0),MATCH(AH$16,AEA2012_ZAR2022!$AC$4:$AG$4,0)))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8"/>
        <v>CV7GAS</v>
      </c>
      <c r="AD102" s="67">
        <f t="array" ref="AD102">INDEX(AEA2012_ZAR2022!$AC$6:$AG$104,MATCH($T102&amp;$U102,AEA2012_ZAR2022!$A$6:$A$104&amp;AEA2012_ZAR2022!$B$6:$B$104,0),MATCH(AD$16,AEA2012_ZAR2022!$S$4:$Z$4,0))</f>
        <v>16.084446368039721</v>
      </c>
      <c r="AE102" s="67">
        <f t="array" ref="AE102">IF($W$1,AD102*(1+INDEX(AE$1:AE$2,MATCH($O102,$AA$1:$AA$2,0)))^(AE$16-AD$16),INDEX(AEA2012_ZAR2022!$AC$6:$AG$104,MATCH($T102&amp;$U102,AEA2012_ZAR2022!$A$6:$A$104&amp;AEA2012_ZAR2022!$B$6:$B$104,0),MATCH(AE$16,AEA2012_ZAR2022!$AC$4:$AG$4,0)))</f>
        <v>15.924323777686007</v>
      </c>
      <c r="AF102" s="67">
        <f t="array" ref="AF102">IF($W$1,AE102*(1+INDEX(AF$1:AF$2,MATCH($O102,$AA$1:$AA$2,0)))^(AF$16-AE$16),INDEX(AEA2012_ZAR2022!$AC$6:$AG$104,MATCH($T102&amp;$U102,AEA2012_ZAR2022!$A$6:$A$104&amp;AEA2012_ZAR2022!$B$6:$B$104,0),MATCH(AF$16,AEA2012_ZAR2022!$AC$4:$AG$4,0)))</f>
        <v>15.765795226900391</v>
      </c>
      <c r="AG102" s="67">
        <f t="array" ref="AG102">IF($W$1,AF102*(1+INDEX(AG$1:AG$2,MATCH($O102,$AA$1:$AA$2,0)))^(AG$16-AF$16),INDEX(AEA2012_ZAR2022!$AC$6:$AG$104,MATCH($T102&amp;$U102,AEA2012_ZAR2022!$A$6:$A$104&amp;AEA2012_ZAR2022!$B$6:$B$104,0),MATCH(AG$16,AEA2012_ZAR2022!$AC$4:$AG$4,0)))</f>
        <v>15.608844846828019</v>
      </c>
      <c r="AH102" s="67">
        <f t="array" ref="AH102">IF($W$1,AG102*(1+INDEX(AH$1:AH$2,MATCH($O102,$AA$1:$AA$2,0)))^(AH$16-AG$16),INDEX(AEA2012_ZAR2022!$AC$6:$AG$104,MATCH($T102&amp;$U102,AEA2012_ZAR2022!$A$6:$A$104&amp;AEA2012_ZAR2022!$B$6:$B$104,0),MATCH(AH$16,AEA2012_ZAR2022!$AC$4:$AG$4,0)))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8"/>
        <v/>
      </c>
      <c r="AD103" s="67" t="e">
        <f t="array" ref="AD103">INDEX(AEA2012_ZAR2022!$AC$6:$AG$104,MATCH($T103&amp;$U103,AEA2012_ZAR2022!$A$6:$A$104&amp;AEA2012_ZAR2022!$B$6:$B$104,0),MATCH(AD$16,AEA2012_ZAR2022!$S$4:$Z$4,0))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8"/>
        <v>CV8ODS</v>
      </c>
      <c r="AD104" s="67">
        <f t="array" ref="AD104">INDEX(AEA2012_ZAR2022!$AC$6:$AG$104,MATCH($T104&amp;$U104,AEA2012_ZAR2022!$A$6:$A$104&amp;AEA2012_ZAR2022!$B$6:$B$104,0),MATCH(AD$16,AEA2012_ZAR2022!$S$4:$Z$4,0))</f>
        <v>13.986475102643237</v>
      </c>
      <c r="AE104" s="67">
        <f t="array" ref="AE104">IF($W$1,AD104*(1+INDEX(AE$1:AE$2,MATCH($O104,$AA$1:$AA$2,0)))^(AE$16-AD$16),INDEX(AEA2012_ZAR2022!$AC$6:$AG$104,MATCH($T104&amp;$U104,AEA2012_ZAR2022!$A$6:$A$104&amp;AEA2012_ZAR2022!$B$6:$B$104,0),MATCH(AE$16,AEA2012_ZAR2022!$AC$4:$AG$4,0)))</f>
        <v>13.84723806755305</v>
      </c>
      <c r="AF104" s="67">
        <f t="array" ref="AF104">IF($W$1,AE104*(1+INDEX(AF$1:AF$2,MATCH($O104,$AA$1:$AA$2,0)))^(AF$16-AE$16),INDEX(AEA2012_ZAR2022!$AC$6:$AG$104,MATCH($T104&amp;$U104,AEA2012_ZAR2022!$A$6:$A$104&amp;AEA2012_ZAR2022!$B$6:$B$104,0),MATCH(AF$16,AEA2012_ZAR2022!$AC$4:$AG$4,0)))</f>
        <v>13.709387153826427</v>
      </c>
      <c r="AG104" s="67">
        <f t="array" ref="AG104">IF($W$1,AF104*(1+INDEX(AG$1:AG$2,MATCH($O104,$AA$1:$AA$2,0)))^(AG$16-AF$16),INDEX(AEA2012_ZAR2022!$AC$6:$AG$104,MATCH($T104&amp;$U104,AEA2012_ZAR2022!$A$6:$A$104&amp;AEA2012_ZAR2022!$B$6:$B$104,0),MATCH(AG$16,AEA2012_ZAR2022!$AC$4:$AG$4,0)))</f>
        <v>13.572908562459148</v>
      </c>
      <c r="AH104" s="67">
        <f t="array" ref="AH104">IF($W$1,AG104*(1+INDEX(AH$1:AH$2,MATCH($O104,$AA$1:$AA$2,0)))^(AH$16-AG$16),INDEX(AEA2012_ZAR2022!$AC$6:$AG$104,MATCH($T104&amp;$U104,AEA2012_ZAR2022!$A$6:$A$104&amp;AEA2012_ZAR2022!$B$6:$B$104,0),MATCH(AH$16,AEA2012_ZAR2022!$AC$4:$AG$4,0)))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8"/>
        <v>CV8HGN</v>
      </c>
      <c r="AD105" s="67">
        <f t="array" ref="AD105">INDEX(AEA2012_ZAR2022!$AC$6:$AG$104,MATCH($T105&amp;$U105,AEA2012_ZAR2022!$A$6:$A$104&amp;AEA2012_ZAR2022!$B$6:$B$104,0),MATCH(AD$16,AEA2012_ZAR2022!$S$4:$Z$4,0))</f>
        <v>6.6431339955944022</v>
      </c>
      <c r="AE105" s="67">
        <f t="array" ref="AE105">IF($W$1,AD105*(1+INDEX(AE$1:AE$2,MATCH($O105,$AA$1:$AA$2,0)))^(AE$16-AD$16),INDEX(AEA2012_ZAR2022!$AC$6:$AG$104,MATCH($T105&amp;$U105,AEA2012_ZAR2022!$A$6:$A$104&amp;AEA2012_ZAR2022!$B$6:$B$104,0),MATCH(AE$16,AEA2012_ZAR2022!$AC$4:$AG$4,0)))</f>
        <v>6.5770008008855667</v>
      </c>
      <c r="AF105" s="67">
        <f t="array" ref="AF105">IF($W$1,AE105*(1+INDEX(AF$1:AF$2,MATCH($O105,$AA$1:$AA$2,0)))^(AF$16-AE$16),INDEX(AEA2012_ZAR2022!$AC$6:$AG$104,MATCH($T105&amp;$U105,AEA2012_ZAR2022!$A$6:$A$104&amp;AEA2012_ZAR2022!$B$6:$B$104,0),MATCH(AF$16,AEA2012_ZAR2022!$AC$4:$AG$4,0)))</f>
        <v>6.5115259700521699</v>
      </c>
      <c r="AG105" s="67">
        <f t="array" ref="AG105">IF($W$1,AF105*(1+INDEX(AG$1:AG$2,MATCH($O105,$AA$1:$AA$2,0)))^(AG$16-AF$16),INDEX(AEA2012_ZAR2022!$AC$6:$AG$104,MATCH($T105&amp;$U105,AEA2012_ZAR2022!$A$6:$A$104&amp;AEA2012_ZAR2022!$B$6:$B$104,0),MATCH(AG$16,AEA2012_ZAR2022!$AC$4:$AG$4,0)))</f>
        <v>6.4467029490029661</v>
      </c>
      <c r="AH105" s="67">
        <f t="array" ref="AH105">IF($W$1,AG105*(1+INDEX(AH$1:AH$2,MATCH($O105,$AA$1:$AA$2,0)))^(AH$16-AG$16),INDEX(AEA2012_ZAR2022!$AC$6:$AG$104,MATCH($T105&amp;$U105,AEA2012_ZAR2022!$A$6:$A$104&amp;AEA2012_ZAR2022!$B$6:$B$104,0),MATCH(AH$16,AEA2012_ZAR2022!$AC$4:$AG$4,0)))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8"/>
        <v>CV8GAS</v>
      </c>
      <c r="AD106" s="67">
        <f t="array" ref="AD106">INDEX(AEA2012_ZAR2022!$AC$6:$AG$104,MATCH($T106&amp;$U106,AEA2012_ZAR2022!$A$6:$A$104&amp;AEA2012_ZAR2022!$B$6:$B$104,0),MATCH(AD$16,AEA2012_ZAR2022!$S$4:$Z$4,0))</f>
        <v>16.084446368039721</v>
      </c>
      <c r="AE106" s="67">
        <f t="array" ref="AE106">IF($W$1,AD106*(1+INDEX(AE$1:AE$2,MATCH($O106,$AA$1:$AA$2,0)))^(AE$16-AD$16),INDEX(AEA2012_ZAR2022!$AC$6:$AG$104,MATCH($T106&amp;$U106,AEA2012_ZAR2022!$A$6:$A$104&amp;AEA2012_ZAR2022!$B$6:$B$104,0),MATCH(AE$16,AEA2012_ZAR2022!$AC$4:$AG$4,0)))</f>
        <v>15.924323777686007</v>
      </c>
      <c r="AF106" s="67">
        <f t="array" ref="AF106">IF($W$1,AE106*(1+INDEX(AF$1:AF$2,MATCH($O106,$AA$1:$AA$2,0)))^(AF$16-AE$16),INDEX(AEA2012_ZAR2022!$AC$6:$AG$104,MATCH($T106&amp;$U106,AEA2012_ZAR2022!$A$6:$A$104&amp;AEA2012_ZAR2022!$B$6:$B$104,0),MATCH(AF$16,AEA2012_ZAR2022!$AC$4:$AG$4,0)))</f>
        <v>15.765795226900391</v>
      </c>
      <c r="AG106" s="67">
        <f t="array" ref="AG106">IF($W$1,AF106*(1+INDEX(AG$1:AG$2,MATCH($O106,$AA$1:$AA$2,0)))^(AG$16-AF$16),INDEX(AEA2012_ZAR2022!$AC$6:$AG$104,MATCH($T106&amp;$U106,AEA2012_ZAR2022!$A$6:$A$104&amp;AEA2012_ZAR2022!$B$6:$B$104,0),MATCH(AG$16,AEA2012_ZAR2022!$AC$4:$AG$4,0)))</f>
        <v>15.608844846828019</v>
      </c>
      <c r="AH106" s="67">
        <f t="array" ref="AH106">IF($W$1,AG106*(1+INDEX(AH$1:AH$2,MATCH($O106,$AA$1:$AA$2,0)))^(AH$16-AG$16),INDEX(AEA2012_ZAR2022!$AC$6:$AG$104,MATCH($T106&amp;$U106,AEA2012_ZAR2022!$A$6:$A$104&amp;AEA2012_ZAR2022!$B$6:$B$104,0),MATCH(AH$16,AEA2012_ZAR2022!$AC$4:$AG$4,0)))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8"/>
        <v/>
      </c>
      <c r="AE107" s="67">
        <f t="array" ref="AE107">IF($W$1,AD107*(1+INDEX(AE$1:AE$2,MATCH($O107,$AA$1:$AA$2,0)))^(AE$16-AD$16),INDEX(AEA2012_ZAR2022!$AC$6:$AG$104,MATCH($T107&amp;$U107,AEA2012_ZAR2022!$A$6:$A$104&amp;AEA2012_ZAR2022!$B$6:$B$104,0),MATCH(AE$16,AEA2012_ZAR2022!$AC$4:$AG$4,0)))</f>
        <v>0</v>
      </c>
      <c r="AF107" s="67">
        <f t="array" ref="AF107">IF($W$1,AE107*(1+INDEX(AF$1:AF$2,MATCH($O107,$AA$1:$AA$2,0)))^(AF$16-AE$16),INDEX(AEA2012_ZAR2022!$AC$6:$AG$104,MATCH($T107&amp;$U107,AEA2012_ZAR2022!$A$6:$A$104&amp;AEA2012_ZAR2022!$B$6:$B$104,0),MATCH(AF$16,AEA2012_ZAR2022!$AC$4:$AG$4,0)))</f>
        <v>0</v>
      </c>
      <c r="AG107" s="67">
        <f t="array" ref="AG107">IF($W$1,AF107*(1+INDEX(AG$1:AG$2,MATCH($O107,$AA$1:$AA$2,0)))^(AG$16-AF$16),INDEX(AEA2012_ZAR2022!$AC$6:$AG$104,MATCH($T107&amp;$U107,AEA2012_ZAR2022!$A$6:$A$104&amp;AEA2012_ZAR2022!$B$6:$B$104,0),MATCH(AG$16,AEA2012_ZAR2022!$AC$4:$AG$4,0)))</f>
        <v>0</v>
      </c>
      <c r="AH107" s="67">
        <f t="array" ref="AH107">IF($W$1,AG107*(1+INDEX(AH$1:AH$2,MATCH($O107,$AA$1:$AA$2,0)))^(AH$16-AG$16),INDEX(AEA2012_ZAR2022!$AC$6:$AG$104,MATCH($T107&amp;$U107,AEA2012_ZAR2022!$A$6:$A$104&amp;AEA2012_ZAR2022!$B$6:$B$104,0),MATCH(AH$16,AEA2012_ZAR2022!$AC$4:$AG$4,0)))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8"/>
        <v>CV9ODS</v>
      </c>
      <c r="AD108" s="67">
        <f t="array" ref="AD108">INDEX(AEA2012_ZAR2022!$AC$6:$AG$104,MATCH($T108&amp;$U108,AEA2012_ZAR2022!$A$6:$A$104&amp;AEA2012_ZAR2022!$B$6:$B$104,0),MATCH(AD$16,AEA2012_ZAR2022!$S$4:$Z$4,0))</f>
        <v>13.986475102643237</v>
      </c>
      <c r="AE108" s="67">
        <f t="array" ref="AE108">IF($W$1,AD108*(1+INDEX(AE$1:AE$2,MATCH($O108,$AA$1:$AA$2,0)))^(AE$16-AD$16),INDEX(AEA2012_ZAR2022!$AC$6:$AG$104,MATCH($T108&amp;$U108,AEA2012_ZAR2022!$A$6:$A$104&amp;AEA2012_ZAR2022!$B$6:$B$104,0),MATCH(AE$16,AEA2012_ZAR2022!$AC$4:$AG$4,0)))</f>
        <v>13.84723806755305</v>
      </c>
      <c r="AF108" s="67">
        <f t="array" ref="AF108">IF($W$1,AE108*(1+INDEX(AF$1:AF$2,MATCH($O108,$AA$1:$AA$2,0)))^(AF$16-AE$16),INDEX(AEA2012_ZAR2022!$AC$6:$AG$104,MATCH($T108&amp;$U108,AEA2012_ZAR2022!$A$6:$A$104&amp;AEA2012_ZAR2022!$B$6:$B$104,0),MATCH(AF$16,AEA2012_ZAR2022!$AC$4:$AG$4,0)))</f>
        <v>13.709387153826427</v>
      </c>
      <c r="AG108" s="67">
        <f t="array" ref="AG108">IF($W$1,AF108*(1+INDEX(AG$1:AG$2,MATCH($O108,$AA$1:$AA$2,0)))^(AG$16-AF$16),INDEX(AEA2012_ZAR2022!$AC$6:$AG$104,MATCH($T108&amp;$U108,AEA2012_ZAR2022!$A$6:$A$104&amp;AEA2012_ZAR2022!$B$6:$B$104,0),MATCH(AG$16,AEA2012_ZAR2022!$AC$4:$AG$4,0)))</f>
        <v>13.572908562459148</v>
      </c>
      <c r="AH108" s="67">
        <f t="array" ref="AH108">IF($W$1,AG108*(1+INDEX(AH$1:AH$2,MATCH($O108,$AA$1:$AA$2,0)))^(AH$16-AG$16),INDEX(AEA2012_ZAR2022!$AC$6:$AG$104,MATCH($T108&amp;$U108,AEA2012_ZAR2022!$A$6:$A$104&amp;AEA2012_ZAR2022!$B$6:$B$104,0),MATCH(AH$16,AEA2012_ZAR2022!$AC$4:$AG$4,0)))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8"/>
        <v>CV9HGN</v>
      </c>
      <c r="AD109" s="67">
        <f t="array" ref="AD109">INDEX(AEA2012_ZAR2022!$AC$6:$AG$104,MATCH($T109&amp;$U109,AEA2012_ZAR2022!$A$6:$A$104&amp;AEA2012_ZAR2022!$B$6:$B$104,0),MATCH(AD$16,AEA2012_ZAR2022!$S$4:$Z$4,0))</f>
        <v>6.6431339955944022</v>
      </c>
      <c r="AE109" s="67">
        <f t="array" ref="AE109">IF($W$1,AD109*(1+INDEX(AE$1:AE$2,MATCH($O109,$AA$1:$AA$2,0)))^(AE$16-AD$16),INDEX(AEA2012_ZAR2022!$AC$6:$AG$104,MATCH($T109&amp;$U109,AEA2012_ZAR2022!$A$6:$A$104&amp;AEA2012_ZAR2022!$B$6:$B$104,0),MATCH(AE$16,AEA2012_ZAR2022!$AC$4:$AG$4,0)))</f>
        <v>6.5770008008855667</v>
      </c>
      <c r="AF109" s="67">
        <f t="array" ref="AF109">IF($W$1,AE109*(1+INDEX(AF$1:AF$2,MATCH($O109,$AA$1:$AA$2,0)))^(AF$16-AE$16),INDEX(AEA2012_ZAR2022!$AC$6:$AG$104,MATCH($T109&amp;$U109,AEA2012_ZAR2022!$A$6:$A$104&amp;AEA2012_ZAR2022!$B$6:$B$104,0),MATCH(AF$16,AEA2012_ZAR2022!$AC$4:$AG$4,0)))</f>
        <v>6.5115259700521699</v>
      </c>
      <c r="AG109" s="67">
        <f t="array" ref="AG109">IF($W$1,AF109*(1+INDEX(AG$1:AG$2,MATCH($O109,$AA$1:$AA$2,0)))^(AG$16-AF$16),INDEX(AEA2012_ZAR2022!$AC$6:$AG$104,MATCH($T109&amp;$U109,AEA2012_ZAR2022!$A$6:$A$104&amp;AEA2012_ZAR2022!$B$6:$B$104,0),MATCH(AG$16,AEA2012_ZAR2022!$AC$4:$AG$4,0)))</f>
        <v>6.4467029490029661</v>
      </c>
      <c r="AH109" s="67">
        <f t="array" ref="AH109">IF($W$1,AG109*(1+INDEX(AH$1:AH$2,MATCH($O109,$AA$1:$AA$2,0)))^(AH$16-AG$16),INDEX(AEA2012_ZAR2022!$AC$6:$AG$104,MATCH($T109&amp;$U109,AEA2012_ZAR2022!$A$6:$A$104&amp;AEA2012_ZAR2022!$B$6:$B$104,0),MATCH(AH$16,AEA2012_ZAR2022!$AC$4:$AG$4,0)))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8"/>
        <v>CV9GAS</v>
      </c>
      <c r="AD110" s="67">
        <f t="array" ref="AD110">INDEX(AEA2012_ZAR2022!$AC$6:$AG$104,MATCH($T110&amp;$U110,AEA2012_ZAR2022!$A$6:$A$104&amp;AEA2012_ZAR2022!$B$6:$B$104,0),MATCH(AD$16,AEA2012_ZAR2022!$S$4:$Z$4,0))</f>
        <v>16.084446368039721</v>
      </c>
      <c r="AE110" s="67">
        <f t="array" ref="AE110">IF($W$1,AD110*(1+INDEX(AE$1:AE$2,MATCH($O110,$AA$1:$AA$2,0)))^(AE$16-AD$16),INDEX(AEA2012_ZAR2022!$AC$6:$AG$104,MATCH($T110&amp;$U110,AEA2012_ZAR2022!$A$6:$A$104&amp;AEA2012_ZAR2022!$B$6:$B$104,0),MATCH(AE$16,AEA2012_ZAR2022!$AC$4:$AG$4,0)))</f>
        <v>15.924323777686007</v>
      </c>
      <c r="AF110" s="67">
        <f t="array" ref="AF110">IF($W$1,AE110*(1+INDEX(AF$1:AF$2,MATCH($O110,$AA$1:$AA$2,0)))^(AF$16-AE$16),INDEX(AEA2012_ZAR2022!$AC$6:$AG$104,MATCH($T110&amp;$U110,AEA2012_ZAR2022!$A$6:$A$104&amp;AEA2012_ZAR2022!$B$6:$B$104,0),MATCH(AF$16,AEA2012_ZAR2022!$AC$4:$AG$4,0)))</f>
        <v>15.765795226900391</v>
      </c>
      <c r="AG110" s="67">
        <f t="array" ref="AG110">IF($W$1,AF110*(1+INDEX(AG$1:AG$2,MATCH($O110,$AA$1:$AA$2,0)))^(AG$16-AF$16),INDEX(AEA2012_ZAR2022!$AC$6:$AG$104,MATCH($T110&amp;$U110,AEA2012_ZAR2022!$A$6:$A$104&amp;AEA2012_ZAR2022!$B$6:$B$104,0),MATCH(AG$16,AEA2012_ZAR2022!$AC$4:$AG$4,0)))</f>
        <v>15.608844846828019</v>
      </c>
      <c r="AH110" s="67">
        <f t="array" ref="AH110">IF($W$1,AG110*(1+INDEX(AH$1:AH$2,MATCH($O110,$AA$1:$AA$2,0)))^(AH$16-AG$16),INDEX(AEA2012_ZAR2022!$AC$6:$AG$104,MATCH($T110&amp;$U110,AEA2012_ZAR2022!$A$6:$A$104&amp;AEA2012_ZAR2022!$B$6:$B$104,0),MATCH(AH$16,AEA2012_ZAR2022!$AC$4:$AG$4,0)))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6" t="e">
        <f t="shared" si="31"/>
        <v>#DIV/0!</v>
      </c>
      <c r="AK111" s="256"/>
    </row>
    <row r="112" spans="14:51" x14ac:dyDescent="0.25">
      <c r="N112"/>
      <c r="O112"/>
      <c r="P112"/>
      <c r="Q112"/>
      <c r="R112"/>
      <c r="S112"/>
      <c r="T112"/>
      <c r="U112"/>
      <c r="V112"/>
      <c r="W112"/>
      <c r="X112"/>
      <c r="Y112"/>
      <c r="Z112"/>
      <c r="AA112"/>
      <c r="AB112"/>
      <c r="AC112"/>
      <c r="AD112"/>
      <c r="AJ112" s="256"/>
      <c r="AK112" s="256"/>
    </row>
    <row r="113" spans="14:37" x14ac:dyDescent="0.25">
      <c r="N113"/>
      <c r="O113"/>
      <c r="P113"/>
      <c r="Q113"/>
      <c r="R113"/>
      <c r="S113"/>
      <c r="T113"/>
      <c r="U113"/>
      <c r="AJ113" s="256"/>
      <c r="AK113" s="256"/>
    </row>
    <row r="114" spans="14:37" x14ac:dyDescent="0.25">
      <c r="N114"/>
      <c r="O114"/>
      <c r="P114"/>
      <c r="Q114"/>
      <c r="R114"/>
      <c r="S114"/>
      <c r="T114"/>
      <c r="U114"/>
      <c r="V114"/>
      <c r="W114"/>
      <c r="X114"/>
      <c r="Y114"/>
      <c r="AB114"/>
      <c r="AC114"/>
      <c r="AJ114" s="256"/>
      <c r="AK114" s="256"/>
    </row>
    <row r="115" spans="14:37" x14ac:dyDescent="0.25">
      <c r="N115"/>
      <c r="O115"/>
      <c r="P115"/>
      <c r="Q115"/>
      <c r="R115"/>
      <c r="S115"/>
      <c r="T115"/>
      <c r="U115"/>
      <c r="V115" s="293">
        <v>2010</v>
      </c>
      <c r="W115" s="293">
        <v>2018</v>
      </c>
      <c r="X115" s="293">
        <v>2020</v>
      </c>
      <c r="Y115" s="293">
        <v>2030</v>
      </c>
      <c r="Z115" s="293">
        <v>2040</v>
      </c>
      <c r="AA115" s="293">
        <v>2050</v>
      </c>
      <c r="AJ115" s="256"/>
      <c r="AK115" s="256"/>
    </row>
    <row r="116" spans="14:37" x14ac:dyDescent="0.25">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4:37" x14ac:dyDescent="0.25">
      <c r="N117"/>
      <c r="O117"/>
      <c r="P117"/>
      <c r="Q117"/>
      <c r="R117"/>
      <c r="S117"/>
      <c r="T117"/>
      <c r="U117"/>
      <c r="AJ117" s="256"/>
      <c r="AK117" s="256"/>
    </row>
    <row r="118" spans="14:37" x14ac:dyDescent="0.25">
      <c r="N118"/>
      <c r="O118"/>
      <c r="P118"/>
      <c r="Q118"/>
      <c r="R118"/>
      <c r="S118"/>
      <c r="T118"/>
      <c r="U118"/>
      <c r="V118"/>
      <c r="W118"/>
      <c r="X118"/>
      <c r="Y118"/>
      <c r="Z118"/>
      <c r="AA118"/>
      <c r="AB118"/>
      <c r="AC118"/>
      <c r="AJ118" s="256"/>
      <c r="AK118" s="256"/>
    </row>
    <row r="119" spans="14:37" x14ac:dyDescent="0.25">
      <c r="N119"/>
      <c r="O119"/>
      <c r="P119"/>
      <c r="Q119"/>
      <c r="R119"/>
      <c r="S119"/>
      <c r="U119" s="296" t="s">
        <v>787</v>
      </c>
      <c r="V119" s="297"/>
      <c r="W119" s="298"/>
      <c r="X119" s="298"/>
      <c r="Y119" s="298"/>
      <c r="Z119" s="298"/>
      <c r="AA119" s="297"/>
      <c r="AB119" s="299"/>
      <c r="AC119"/>
      <c r="AJ119" s="256"/>
      <c r="AK119" s="256"/>
    </row>
    <row r="120" spans="14:37" x14ac:dyDescent="0.2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2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2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2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25">
      <c r="N124"/>
      <c r="O124"/>
      <c r="P124"/>
      <c r="Q124"/>
      <c r="R124"/>
      <c r="S124"/>
      <c r="U124" s="301" t="s">
        <v>804</v>
      </c>
      <c r="V124" s="302">
        <v>0</v>
      </c>
      <c r="W124" s="302">
        <v>0</v>
      </c>
      <c r="X124" s="302"/>
      <c r="Y124" s="302">
        <v>0</v>
      </c>
      <c r="Z124" s="302"/>
      <c r="AA124" s="302">
        <v>0</v>
      </c>
      <c r="AB124" s="302">
        <v>0</v>
      </c>
      <c r="AC124"/>
      <c r="AJ124" s="256"/>
      <c r="AK124" s="256"/>
    </row>
    <row r="125" spans="14:37" x14ac:dyDescent="0.2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2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2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2" t="s">
        <v>703</v>
      </c>
      <c r="C149" s="61" t="s">
        <v>704</v>
      </c>
      <c r="D149" s="61" t="s">
        <v>705</v>
      </c>
      <c r="E149" s="61" t="s">
        <v>706</v>
      </c>
      <c r="F149" s="61">
        <v>10000</v>
      </c>
      <c r="N149"/>
      <c r="O149"/>
      <c r="P149"/>
      <c r="Q149"/>
      <c r="R149"/>
      <c r="S149"/>
      <c r="AD149"/>
    </row>
    <row r="150" spans="1:37" x14ac:dyDescent="0.25">
      <c r="A150" s="258" t="s">
        <v>707</v>
      </c>
      <c r="C150" s="177" t="s">
        <v>708</v>
      </c>
      <c r="D150" s="61" t="s">
        <v>705</v>
      </c>
      <c r="E150" s="61" t="s">
        <v>706</v>
      </c>
      <c r="F150" s="61">
        <v>24000</v>
      </c>
      <c r="N150"/>
      <c r="O150"/>
      <c r="P150"/>
      <c r="Q150"/>
      <c r="R150"/>
      <c r="S150"/>
      <c r="AD150"/>
    </row>
    <row r="151" spans="1:37" x14ac:dyDescent="0.25">
      <c r="A151" s="192" t="s">
        <v>709</v>
      </c>
      <c r="C151" s="177" t="s">
        <v>710</v>
      </c>
      <c r="D151" s="61" t="s">
        <v>705</v>
      </c>
      <c r="E151" s="61" t="s">
        <v>706</v>
      </c>
      <c r="F151" s="61">
        <v>40000</v>
      </c>
      <c r="N151"/>
      <c r="O151"/>
      <c r="P151"/>
      <c r="Q151"/>
      <c r="R151"/>
      <c r="S151"/>
      <c r="AD151"/>
    </row>
    <row r="152" spans="1:37" x14ac:dyDescent="0.25">
      <c r="A152" s="192">
        <v>4</v>
      </c>
      <c r="C152" s="177" t="s">
        <v>711</v>
      </c>
      <c r="D152" s="61" t="s">
        <v>705</v>
      </c>
      <c r="E152" s="61" t="s">
        <v>706</v>
      </c>
      <c r="F152" s="61">
        <v>22000</v>
      </c>
      <c r="N152"/>
      <c r="O152"/>
      <c r="P152"/>
      <c r="Q152"/>
      <c r="R152"/>
      <c r="S152"/>
      <c r="AD152"/>
    </row>
    <row r="153" spans="1:37" x14ac:dyDescent="0.25">
      <c r="A153" s="192"/>
      <c r="C153" s="177" t="s">
        <v>60</v>
      </c>
      <c r="D153" s="61" t="s">
        <v>705</v>
      </c>
      <c r="E153" s="61" t="s">
        <v>706</v>
      </c>
      <c r="F153" s="61">
        <v>15000</v>
      </c>
      <c r="N153"/>
      <c r="O153"/>
      <c r="P153"/>
      <c r="Q153"/>
      <c r="R153"/>
      <c r="S153"/>
      <c r="AD153"/>
    </row>
    <row r="154" spans="1:37" x14ac:dyDescent="0.25">
      <c r="C154" s="177" t="s">
        <v>712</v>
      </c>
      <c r="D154" s="61" t="s">
        <v>705</v>
      </c>
      <c r="E154" s="61" t="s">
        <v>706</v>
      </c>
      <c r="F154" s="61">
        <v>18000</v>
      </c>
      <c r="N154"/>
      <c r="O154"/>
      <c r="P154"/>
      <c r="Q154"/>
      <c r="R154"/>
      <c r="S154"/>
      <c r="AD154"/>
    </row>
    <row r="155" spans="1:37" x14ac:dyDescent="0.25">
      <c r="C155" s="177" t="s">
        <v>704</v>
      </c>
      <c r="D155" s="61" t="s">
        <v>713</v>
      </c>
      <c r="E155" s="61" t="s">
        <v>706</v>
      </c>
      <c r="F155" s="61">
        <v>5840</v>
      </c>
      <c r="N155"/>
      <c r="O155"/>
      <c r="P155"/>
      <c r="Q155"/>
      <c r="R155"/>
      <c r="S155"/>
      <c r="AD155"/>
    </row>
    <row r="156" spans="1:37" x14ac:dyDescent="0.25">
      <c r="C156" s="177" t="s">
        <v>708</v>
      </c>
      <c r="D156" s="61" t="s">
        <v>713</v>
      </c>
      <c r="E156" s="61" t="s">
        <v>706</v>
      </c>
      <c r="F156" s="61">
        <v>9650</v>
      </c>
      <c r="N156"/>
      <c r="O156"/>
      <c r="P156"/>
      <c r="Q156"/>
      <c r="R156"/>
      <c r="S156"/>
      <c r="AD156"/>
    </row>
    <row r="157" spans="1:37" x14ac:dyDescent="0.25">
      <c r="C157" s="177" t="s">
        <v>710</v>
      </c>
      <c r="D157" s="61" t="s">
        <v>713</v>
      </c>
      <c r="E157" s="61" t="s">
        <v>706</v>
      </c>
      <c r="F157" s="61">
        <v>13960</v>
      </c>
      <c r="N157"/>
      <c r="O157"/>
      <c r="P157"/>
      <c r="Q157"/>
      <c r="R157"/>
      <c r="S157"/>
      <c r="AD157"/>
    </row>
    <row r="158" spans="1:37" x14ac:dyDescent="0.25">
      <c r="C158" s="177"/>
      <c r="N158"/>
      <c r="O158"/>
      <c r="P158"/>
      <c r="Q158"/>
      <c r="R158"/>
      <c r="S158"/>
      <c r="AD158"/>
    </row>
    <row r="159" spans="1:37" x14ac:dyDescent="0.25">
      <c r="C159" s="177"/>
      <c r="N159"/>
      <c r="O159"/>
      <c r="P159"/>
      <c r="Q159"/>
      <c r="R159"/>
      <c r="S159"/>
      <c r="AD159"/>
    </row>
    <row r="160" spans="1:37" x14ac:dyDescent="0.25">
      <c r="C160" s="177" t="s">
        <v>711</v>
      </c>
      <c r="D160" s="61" t="s">
        <v>713</v>
      </c>
      <c r="E160" s="61" t="s">
        <v>706</v>
      </c>
      <c r="F160" s="61">
        <v>8850</v>
      </c>
      <c r="N160"/>
      <c r="O160"/>
      <c r="P160"/>
      <c r="Q160"/>
      <c r="R160"/>
      <c r="S160"/>
      <c r="AD160"/>
    </row>
    <row r="161" spans="1:30" x14ac:dyDescent="0.25">
      <c r="C161" s="177" t="s">
        <v>60</v>
      </c>
      <c r="D161" s="61" t="s">
        <v>713</v>
      </c>
      <c r="E161" s="61" t="s">
        <v>706</v>
      </c>
      <c r="F161" s="61">
        <v>9000</v>
      </c>
      <c r="N161"/>
      <c r="O161"/>
      <c r="P161"/>
      <c r="Q161"/>
      <c r="R161"/>
      <c r="S161"/>
      <c r="AD161"/>
    </row>
    <row r="162" spans="1:30" x14ac:dyDescent="0.25">
      <c r="C162" s="177"/>
      <c r="N162"/>
      <c r="O162"/>
      <c r="P162"/>
      <c r="Q162"/>
      <c r="R162"/>
      <c r="S162"/>
      <c r="AD162"/>
    </row>
    <row r="163" spans="1:30" x14ac:dyDescent="0.25">
      <c r="C163" s="177"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7"/>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0" t="s">
        <v>617</v>
      </c>
      <c r="B168" s="260" t="s">
        <v>719</v>
      </c>
      <c r="D168" s="7">
        <v>4742</v>
      </c>
      <c r="N168"/>
      <c r="O168"/>
      <c r="P168"/>
      <c r="Q168"/>
      <c r="R168"/>
      <c r="S168"/>
      <c r="AD168"/>
    </row>
    <row r="169" spans="1:30" x14ac:dyDescent="0.25">
      <c r="A169" s="260" t="s">
        <v>616</v>
      </c>
      <c r="B169" s="260"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2" t="s">
        <v>722</v>
      </c>
      <c r="C172" s="61">
        <v>2010</v>
      </c>
      <c r="N172"/>
      <c r="O172"/>
      <c r="P172"/>
      <c r="Q172"/>
      <c r="R172"/>
      <c r="S172"/>
      <c r="AD172"/>
    </row>
    <row r="173" spans="1:30" ht="15.75" thickBot="1" x14ac:dyDescent="0.3">
      <c r="A173" s="263" t="s">
        <v>247</v>
      </c>
      <c r="B173" s="264">
        <v>852698</v>
      </c>
      <c r="C173" s="265">
        <f t="shared" ref="C173:C184" si="34">B173/$B$185</f>
        <v>0.33180253208690158</v>
      </c>
      <c r="N173"/>
      <c r="O173"/>
      <c r="P173"/>
      <c r="Q173"/>
      <c r="R173"/>
      <c r="S173"/>
      <c r="AD173"/>
    </row>
    <row r="174" spans="1:30" ht="15.75" thickBot="1" x14ac:dyDescent="0.3">
      <c r="A174" s="267" t="s">
        <v>246</v>
      </c>
      <c r="B174" s="268">
        <v>1394106</v>
      </c>
      <c r="C174" s="265">
        <f t="shared" si="34"/>
        <v>0.54247564882003008</v>
      </c>
      <c r="N174"/>
      <c r="O174"/>
      <c r="P174"/>
      <c r="Q174"/>
      <c r="R174"/>
      <c r="S174"/>
      <c r="AD174"/>
    </row>
    <row r="175" spans="1:30" ht="15.75" thickBot="1" x14ac:dyDescent="0.3">
      <c r="A175" s="267" t="s">
        <v>265</v>
      </c>
      <c r="B175" s="268">
        <v>6061</v>
      </c>
      <c r="C175" s="265">
        <f t="shared" si="34"/>
        <v>2.3584611984298195E-3</v>
      </c>
      <c r="N175"/>
      <c r="O175"/>
      <c r="P175"/>
      <c r="Q175"/>
      <c r="R175"/>
      <c r="S175"/>
      <c r="AD175"/>
    </row>
    <row r="176" spans="1:30" ht="15.75" thickBot="1" x14ac:dyDescent="0.3">
      <c r="A176" s="267" t="s">
        <v>266</v>
      </c>
      <c r="B176" s="268">
        <v>120270</v>
      </c>
      <c r="C176" s="265">
        <f t="shared" si="34"/>
        <v>4.6799559203952221E-2</v>
      </c>
      <c r="N176"/>
      <c r="O176"/>
      <c r="P176"/>
      <c r="Q176"/>
      <c r="R176"/>
      <c r="S176"/>
      <c r="AD176"/>
    </row>
    <row r="177" spans="1:30" ht="15.75" thickBot="1" x14ac:dyDescent="0.3">
      <c r="A177" s="267" t="s">
        <v>263</v>
      </c>
      <c r="B177" s="268">
        <v>31074</v>
      </c>
      <c r="C177" s="265">
        <f t="shared" si="34"/>
        <v>1.2091539891108434E-2</v>
      </c>
      <c r="I177"/>
      <c r="N177"/>
      <c r="O177"/>
      <c r="P177"/>
      <c r="Q177"/>
      <c r="R177"/>
      <c r="S177"/>
      <c r="AD177"/>
    </row>
    <row r="178" spans="1:30" ht="15.75" thickBot="1" x14ac:dyDescent="0.3">
      <c r="A178" s="267" t="s">
        <v>261</v>
      </c>
      <c r="B178" s="268">
        <v>53763</v>
      </c>
      <c r="C178" s="265">
        <f t="shared" si="34"/>
        <v>2.0920301833225935E-2</v>
      </c>
      <c r="N178"/>
      <c r="O178"/>
      <c r="P178"/>
      <c r="Q178"/>
      <c r="R178"/>
      <c r="S178"/>
      <c r="AD178"/>
    </row>
    <row r="179" spans="1:30" ht="15.75" thickBot="1" x14ac:dyDescent="0.3">
      <c r="A179" s="267" t="s">
        <v>259</v>
      </c>
      <c r="B179" s="268">
        <v>12249</v>
      </c>
      <c r="C179" s="265">
        <f t="shared" si="34"/>
        <v>4.7663407390804921E-3</v>
      </c>
      <c r="N179"/>
      <c r="O179"/>
      <c r="P179"/>
      <c r="Q179"/>
      <c r="R179"/>
      <c r="S179"/>
      <c r="AD179"/>
    </row>
    <row r="180" spans="1:30" ht="15.75" thickBot="1" x14ac:dyDescent="0.3">
      <c r="A180" s="267" t="s">
        <v>257</v>
      </c>
      <c r="B180" s="268">
        <v>5146</v>
      </c>
      <c r="C180" s="265">
        <f t="shared" si="34"/>
        <v>2.0024156619567485E-3</v>
      </c>
      <c r="N180"/>
      <c r="O180"/>
      <c r="P180"/>
      <c r="Q180"/>
      <c r="R180"/>
      <c r="S180"/>
      <c r="AD180"/>
    </row>
    <row r="181" spans="1:30" ht="15.75" thickBot="1" x14ac:dyDescent="0.3">
      <c r="A181" s="267" t="s">
        <v>255</v>
      </c>
      <c r="B181" s="268">
        <v>74175</v>
      </c>
      <c r="C181" s="265">
        <f t="shared" si="34"/>
        <v>2.8863035702612089E-2</v>
      </c>
      <c r="N181"/>
      <c r="O181"/>
      <c r="P181"/>
      <c r="Q181"/>
      <c r="R181"/>
      <c r="S181"/>
      <c r="AD181"/>
    </row>
    <row r="182" spans="1:30" ht="15.75" thickBot="1" x14ac:dyDescent="0.3">
      <c r="A182" s="267" t="s">
        <v>253</v>
      </c>
      <c r="B182" s="268">
        <v>19406</v>
      </c>
      <c r="C182" s="265">
        <f t="shared" si="34"/>
        <v>7.5512783396682204E-3</v>
      </c>
      <c r="N182"/>
      <c r="O182"/>
      <c r="P182"/>
      <c r="Q182"/>
      <c r="R182"/>
      <c r="S182"/>
      <c r="AD182"/>
    </row>
    <row r="183" spans="1:30" ht="15.75" thickBot="1" x14ac:dyDescent="0.3">
      <c r="A183" s="267" t="s">
        <v>251</v>
      </c>
      <c r="B183" s="268">
        <v>434</v>
      </c>
      <c r="C183" s="265">
        <f t="shared" si="34"/>
        <v>1.688784293216535E-4</v>
      </c>
      <c r="N183"/>
      <c r="O183"/>
      <c r="P183"/>
      <c r="Q183"/>
      <c r="R183"/>
      <c r="S183"/>
      <c r="AD183"/>
    </row>
    <row r="184" spans="1:30" ht="15.75" thickBot="1" x14ac:dyDescent="0.3">
      <c r="A184" s="267" t="s">
        <v>249</v>
      </c>
      <c r="B184" s="268">
        <v>514</v>
      </c>
      <c r="C184" s="265">
        <f t="shared" si="34"/>
        <v>2.000080937127417E-4</v>
      </c>
      <c r="N184"/>
      <c r="O184"/>
      <c r="P184"/>
      <c r="Q184"/>
      <c r="R184"/>
      <c r="S184"/>
      <c r="AD184"/>
    </row>
    <row r="185" spans="1:30" ht="15.75" thickBot="1" x14ac:dyDescent="0.3">
      <c r="A185" s="269" t="s">
        <v>726</v>
      </c>
      <c r="B185" s="270">
        <f>SUM(B173:B184)</f>
        <v>2569896</v>
      </c>
      <c r="C185" s="271">
        <f>SUM(C173:C184)</f>
        <v>1</v>
      </c>
      <c r="N185"/>
      <c r="O185"/>
      <c r="P185"/>
      <c r="Q185"/>
      <c r="R185"/>
      <c r="S185"/>
      <c r="AD185"/>
    </row>
    <row r="186" spans="1:30" ht="77.25" thickBot="1" x14ac:dyDescent="0.3">
      <c r="A186" s="272" t="s">
        <v>727</v>
      </c>
      <c r="B186" s="273"/>
      <c r="C186" s="274"/>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5">
        <f>SUM(C177:C184)</f>
        <v>7.6563798690686316E-2</v>
      </c>
      <c r="D191" s="276">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79"/>
      <c r="B215" s="280" t="s">
        <v>751</v>
      </c>
      <c r="C215" s="281" t="s">
        <v>752</v>
      </c>
      <c r="D215" s="280" t="s">
        <v>751</v>
      </c>
      <c r="E215" s="280" t="s">
        <v>752</v>
      </c>
      <c r="N215"/>
      <c r="O215"/>
      <c r="P215"/>
      <c r="Q215"/>
      <c r="R215"/>
      <c r="S215"/>
      <c r="AD215"/>
    </row>
    <row r="216" spans="1:30" ht="32.25" thickBot="1" x14ac:dyDescent="0.3">
      <c r="A216" s="282" t="s">
        <v>753</v>
      </c>
      <c r="B216" s="283" t="s">
        <v>754</v>
      </c>
      <c r="C216" s="284" t="s">
        <v>754</v>
      </c>
      <c r="D216" s="283" t="s">
        <v>755</v>
      </c>
      <c r="E216" s="283" t="s">
        <v>755</v>
      </c>
      <c r="N216"/>
      <c r="O216"/>
      <c r="P216"/>
      <c r="Q216"/>
      <c r="R216"/>
      <c r="S216"/>
      <c r="AD216"/>
    </row>
    <row r="217" spans="1:30" ht="16.5" thickBot="1" x14ac:dyDescent="0.3">
      <c r="A217" s="285" t="s">
        <v>756</v>
      </c>
      <c r="B217" s="286"/>
      <c r="C217" s="287"/>
      <c r="D217" s="287"/>
      <c r="E217" s="287"/>
      <c r="N217"/>
      <c r="O217"/>
      <c r="P217"/>
      <c r="Q217"/>
      <c r="R217"/>
      <c r="S217"/>
      <c r="AD217"/>
    </row>
    <row r="218" spans="1:30" ht="16.5" thickBot="1" x14ac:dyDescent="0.3">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5" thickBot="1" x14ac:dyDescent="0.3">
      <c r="A219" s="288" t="s">
        <v>759</v>
      </c>
      <c r="B219" s="289">
        <v>21</v>
      </c>
      <c r="C219" s="290" t="s">
        <v>760</v>
      </c>
      <c r="D219" s="289">
        <v>27</v>
      </c>
      <c r="E219" s="291" t="s">
        <v>761</v>
      </c>
      <c r="G219" s="61">
        <f>B219/D219</f>
        <v>0.77777777777777779</v>
      </c>
      <c r="H219" s="61" t="e">
        <f>C219/E219</f>
        <v>#VALUE!</v>
      </c>
      <c r="N219"/>
      <c r="O219"/>
      <c r="P219"/>
      <c r="Q219"/>
      <c r="R219"/>
      <c r="S219"/>
      <c r="AD219"/>
    </row>
    <row r="220" spans="1:30" ht="16.5" thickBot="1" x14ac:dyDescent="0.3">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5" thickBot="1" x14ac:dyDescent="0.3">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5" thickBot="1" x14ac:dyDescent="0.3">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2.25" thickBot="1" x14ac:dyDescent="0.3">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5" thickBot="1" x14ac:dyDescent="0.3">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5" thickBot="1" x14ac:dyDescent="0.3">
      <c r="A225" s="294" t="s">
        <v>777</v>
      </c>
      <c r="B225" s="295"/>
      <c r="C225" s="290"/>
      <c r="D225" s="295"/>
      <c r="E225" s="291"/>
      <c r="G225" s="61" t="e">
        <f t="shared" si="38"/>
        <v>#DIV/0!</v>
      </c>
      <c r="H225" s="61" t="e">
        <f t="shared" si="38"/>
        <v>#DIV/0!</v>
      </c>
      <c r="N225"/>
      <c r="O225"/>
      <c r="P225"/>
      <c r="Q225"/>
      <c r="R225"/>
      <c r="S225"/>
      <c r="AD225"/>
    </row>
    <row r="226" spans="1:30" ht="16.5" thickBot="1" x14ac:dyDescent="0.3">
      <c r="A226" s="288" t="s">
        <v>778</v>
      </c>
      <c r="B226" s="289">
        <v>16</v>
      </c>
      <c r="C226" s="290" t="s">
        <v>779</v>
      </c>
      <c r="D226" s="289">
        <v>20</v>
      </c>
      <c r="E226" s="291" t="s">
        <v>780</v>
      </c>
      <c r="G226" s="61">
        <f t="shared" si="38"/>
        <v>0.8</v>
      </c>
      <c r="H226" s="61" t="e">
        <f t="shared" si="38"/>
        <v>#VALUE!</v>
      </c>
      <c r="N226"/>
      <c r="O226"/>
      <c r="P226"/>
      <c r="Q226"/>
      <c r="R226"/>
      <c r="S226"/>
      <c r="AD226"/>
    </row>
    <row r="227" spans="1:30" ht="16.5" thickBot="1" x14ac:dyDescent="0.3">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5" thickBot="1" x14ac:dyDescent="0.3">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5" thickBot="1" x14ac:dyDescent="0.3">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5" thickBot="1" x14ac:dyDescent="0.3">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5" thickBot="1" x14ac:dyDescent="0.3">
      <c r="A231" s="303" t="s">
        <v>745</v>
      </c>
      <c r="B231" s="295"/>
      <c r="C231" s="290"/>
      <c r="D231" s="295"/>
      <c r="E231" s="291"/>
      <c r="G231" s="61" t="e">
        <f t="shared" si="38"/>
        <v>#DIV/0!</v>
      </c>
      <c r="H231" s="61" t="e">
        <f t="shared" si="38"/>
        <v>#DIV/0!</v>
      </c>
      <c r="N231"/>
      <c r="O231"/>
      <c r="P231"/>
      <c r="Q231"/>
      <c r="R231"/>
      <c r="S231"/>
      <c r="AD231"/>
    </row>
    <row r="232" spans="1:30" ht="32.25" thickBot="1" x14ac:dyDescent="0.3">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5" thickBot="1" x14ac:dyDescent="0.3">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5" thickBot="1" x14ac:dyDescent="0.3">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5" thickBot="1" x14ac:dyDescent="0.3">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75" x14ac:dyDescent="0.25">
      <c r="A236" s="304"/>
      <c r="B236" s="305"/>
      <c r="C236" s="306"/>
      <c r="D236" s="305"/>
      <c r="E236" s="304"/>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tabColor theme="1" tint="0.14999847407452621"/>
  </sheetPr>
  <dimension ref="A1:AZ106"/>
  <sheetViews>
    <sheetView workbookViewId="0"/>
  </sheetViews>
  <sheetFormatPr defaultColWidth="8.42578125" defaultRowHeight="12.75" x14ac:dyDescent="0.25"/>
  <cols>
    <col min="1" max="1" width="25" style="322" customWidth="1"/>
    <col min="2" max="2" width="22.85546875" style="322" customWidth="1"/>
    <col min="3" max="3" width="9.42578125" style="322" customWidth="1"/>
    <col min="4" max="4" width="10.28515625" style="322" customWidth="1"/>
    <col min="5" max="5" width="10.28515625" style="323" customWidth="1"/>
    <col min="6" max="7" width="10" style="322" customWidth="1"/>
    <col min="8" max="9" width="9.85546875" style="322" customWidth="1"/>
    <col min="10" max="10" width="10" style="322" customWidth="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5" x14ac:dyDescent="0.25">
      <c r="B1" s="65" t="s">
        <v>702</v>
      </c>
      <c r="E1" s="322"/>
    </row>
    <row r="2" spans="1:52" x14ac:dyDescent="0.2">
      <c r="B2" s="514">
        <v>13.7674</v>
      </c>
      <c r="C2" s="322" t="s">
        <v>846</v>
      </c>
      <c r="E2" s="322"/>
    </row>
    <row r="3" spans="1:52" x14ac:dyDescent="0.2">
      <c r="B3" s="452" t="s">
        <v>832</v>
      </c>
      <c r="C3" s="456" t="s">
        <v>831</v>
      </c>
      <c r="D3" s="455">
        <v>0.08</v>
      </c>
      <c r="E3" s="513"/>
      <c r="F3" s="453"/>
      <c r="G3" s="453"/>
      <c r="H3" s="453"/>
      <c r="I3" s="453"/>
      <c r="J3" s="453"/>
      <c r="K3" s="512">
        <v>1.649</v>
      </c>
      <c r="L3" s="511" t="s">
        <v>1255</v>
      </c>
      <c r="M3" s="511"/>
      <c r="P3" s="453"/>
      <c r="Q3" s="453"/>
      <c r="R3" s="453"/>
      <c r="T3" s="453"/>
      <c r="U3" s="453"/>
      <c r="AB3" s="452" t="s">
        <v>816</v>
      </c>
      <c r="AC3" s="322" t="s">
        <v>834</v>
      </c>
      <c r="AI3" s="322" t="s">
        <v>845</v>
      </c>
      <c r="AO3" s="322" t="s">
        <v>844</v>
      </c>
    </row>
    <row r="4" spans="1:52" x14ac:dyDescent="0.2">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5" x14ac:dyDescent="0.2">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6">
        <f t="shared" ref="K6:R18" si="5">C6*$B$2*$K$3</f>
        <v>320262.66919658618</v>
      </c>
      <c r="L6" s="727">
        <f t="shared" si="5"/>
        <v>346795.75846684008</v>
      </c>
      <c r="M6" s="727">
        <f t="shared" si="5"/>
        <v>352701.48057385266</v>
      </c>
      <c r="N6" s="727">
        <f t="shared" si="5"/>
        <v>358607.20268086524</v>
      </c>
      <c r="O6" s="727">
        <f t="shared" si="5"/>
        <v>362536.77263877826</v>
      </c>
      <c r="P6" s="727">
        <f t="shared" si="5"/>
        <v>366466.34259669122</v>
      </c>
      <c r="Q6" s="727">
        <f t="shared" si="5"/>
        <v>368757.27234685927</v>
      </c>
      <c r="R6" s="728">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5" x14ac:dyDescent="0.2">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29">
        <f t="shared" si="5"/>
        <v>330565.03764846618</v>
      </c>
      <c r="L7" s="730">
        <f t="shared" si="5"/>
        <v>362874.06927397067</v>
      </c>
      <c r="M7" s="730">
        <f t="shared" si="5"/>
        <v>368516.17150263488</v>
      </c>
      <c r="N7" s="730">
        <f t="shared" si="5"/>
        <v>374158.27373129909</v>
      </c>
      <c r="O7" s="730">
        <f t="shared" si="5"/>
        <v>378274.98804105673</v>
      </c>
      <c r="P7" s="730">
        <f t="shared" si="5"/>
        <v>382391.70235081442</v>
      </c>
      <c r="Q7" s="730">
        <f t="shared" si="5"/>
        <v>384737.65217329492</v>
      </c>
      <c r="R7" s="731">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5" x14ac:dyDescent="0.2">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29">
        <f t="shared" si="5"/>
        <v>394510.70272290101</v>
      </c>
      <c r="L8" s="730">
        <f t="shared" si="5"/>
        <v>374543.90974527999</v>
      </c>
      <c r="M8" s="730">
        <f t="shared" si="5"/>
        <v>371312.21028277103</v>
      </c>
      <c r="N8" s="730">
        <f t="shared" si="5"/>
        <v>368080.51082026208</v>
      </c>
      <c r="O8" s="730">
        <f t="shared" si="5"/>
        <v>368595.17976320512</v>
      </c>
      <c r="P8" s="730">
        <f t="shared" si="5"/>
        <v>369109.84870614816</v>
      </c>
      <c r="Q8" s="730">
        <f t="shared" si="5"/>
        <v>369271.49063353211</v>
      </c>
      <c r="R8" s="731">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5" x14ac:dyDescent="0.2">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29">
        <f t="shared" si="5"/>
        <v>395481.43398802093</v>
      </c>
      <c r="L9" s="730">
        <f t="shared" si="5"/>
        <v>386013.68604714214</v>
      </c>
      <c r="M9" s="730">
        <f t="shared" si="5"/>
        <v>382958.30177482724</v>
      </c>
      <c r="N9" s="730">
        <f t="shared" si="5"/>
        <v>379902.91750251234</v>
      </c>
      <c r="O9" s="730">
        <f t="shared" si="5"/>
        <v>380663.70247783005</v>
      </c>
      <c r="P9" s="730">
        <f t="shared" si="5"/>
        <v>381424.48745314771</v>
      </c>
      <c r="Q9" s="730">
        <f t="shared" si="5"/>
        <v>381675.02828246955</v>
      </c>
      <c r="R9" s="731">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5" x14ac:dyDescent="0.2">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29">
        <f t="shared" si="5"/>
        <v>526171.82631130482</v>
      </c>
      <c r="L10" s="730">
        <f t="shared" si="5"/>
        <v>427333.54114544444</v>
      </c>
      <c r="M10" s="730">
        <f t="shared" si="5"/>
        <v>414093.61090799741</v>
      </c>
      <c r="N10" s="730">
        <f t="shared" si="5"/>
        <v>400853.68067055038</v>
      </c>
      <c r="O10" s="730">
        <f t="shared" si="5"/>
        <v>399527.55714761006</v>
      </c>
      <c r="P10" s="730">
        <f t="shared" si="5"/>
        <v>398201.43362466968</v>
      </c>
      <c r="Q10" s="730">
        <f t="shared" si="5"/>
        <v>396667.52129939443</v>
      </c>
      <c r="R10" s="731">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5" x14ac:dyDescent="0.2">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29">
        <f t="shared" si="5"/>
        <v>532428.30225914449</v>
      </c>
      <c r="L11" s="730">
        <f t="shared" si="5"/>
        <v>440029.45085484016</v>
      </c>
      <c r="M11" s="730">
        <f t="shared" si="5"/>
        <v>426660.11179427273</v>
      </c>
      <c r="N11" s="730">
        <f t="shared" si="5"/>
        <v>413290.77273370523</v>
      </c>
      <c r="O11" s="730">
        <f t="shared" si="5"/>
        <v>412151.79356260953</v>
      </c>
      <c r="P11" s="730">
        <f t="shared" si="5"/>
        <v>411012.81439151382</v>
      </c>
      <c r="Q11" s="730">
        <f t="shared" si="5"/>
        <v>409533.92213855108</v>
      </c>
      <c r="R11" s="731">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5" x14ac:dyDescent="0.2">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29">
        <f t="shared" si="5"/>
        <v>706853.58881499863</v>
      </c>
      <c r="L12" s="730">
        <f t="shared" si="5"/>
        <v>487918.3911366309</v>
      </c>
      <c r="M12" s="730">
        <f t="shared" si="5"/>
        <v>459639.29374443309</v>
      </c>
      <c r="N12" s="730">
        <f t="shared" si="5"/>
        <v>431360.19635223533</v>
      </c>
      <c r="O12" s="730">
        <f t="shared" si="5"/>
        <v>428119.37781269115</v>
      </c>
      <c r="P12" s="730">
        <f t="shared" si="5"/>
        <v>424878.55927314708</v>
      </c>
      <c r="Q12" s="730">
        <f t="shared" si="5"/>
        <v>421601.55996549304</v>
      </c>
      <c r="R12" s="731">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5" x14ac:dyDescent="0.2">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29">
        <f t="shared" si="5"/>
        <v>706989.87665374181</v>
      </c>
      <c r="L13" s="730">
        <f t="shared" si="5"/>
        <v>495608.70952664141</v>
      </c>
      <c r="M13" s="730">
        <f t="shared" si="5"/>
        <v>467425.66397272615</v>
      </c>
      <c r="N13" s="730">
        <f t="shared" si="5"/>
        <v>439242.61841881095</v>
      </c>
      <c r="O13" s="730">
        <f t="shared" si="5"/>
        <v>436188.94423111144</v>
      </c>
      <c r="P13" s="730">
        <f t="shared" si="5"/>
        <v>433135.27004341205</v>
      </c>
      <c r="Q13" s="730">
        <f t="shared" si="5"/>
        <v>429913.29080807028</v>
      </c>
      <c r="R13" s="731">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5" x14ac:dyDescent="0.2">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29">
        <f t="shared" si="5"/>
        <v>822704.66197061795</v>
      </c>
      <c r="L14" s="730">
        <f t="shared" si="5"/>
        <v>558548.57595396275</v>
      </c>
      <c r="M14" s="730">
        <f t="shared" si="5"/>
        <v>510538.78588041413</v>
      </c>
      <c r="N14" s="730">
        <f t="shared" si="5"/>
        <v>462528.99580686545</v>
      </c>
      <c r="O14" s="730">
        <f t="shared" si="5"/>
        <v>465643.43099478865</v>
      </c>
      <c r="P14" s="730">
        <f t="shared" si="5"/>
        <v>468757.86618271179</v>
      </c>
      <c r="Q14" s="730">
        <f t="shared" si="5"/>
        <v>470350.94411613682</v>
      </c>
      <c r="R14" s="731">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5" x14ac:dyDescent="0.2">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29">
        <f t="shared" si="5"/>
        <v>2484175.8049663589</v>
      </c>
      <c r="L15" s="730">
        <f t="shared" si="5"/>
        <v>982112.7518947263</v>
      </c>
      <c r="M15" s="730">
        <f t="shared" si="5"/>
        <v>749223.93872757931</v>
      </c>
      <c r="N15" s="730">
        <f t="shared" si="5"/>
        <v>516335.12556043221</v>
      </c>
      <c r="O15" s="730">
        <f t="shared" si="5"/>
        <v>488716.56129250687</v>
      </c>
      <c r="P15" s="730">
        <f t="shared" si="5"/>
        <v>461097.99702458159</v>
      </c>
      <c r="Q15" s="730">
        <f t="shared" si="5"/>
        <v>454114.11403926561</v>
      </c>
      <c r="R15" s="731">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5" x14ac:dyDescent="0.2">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29">
        <f t="shared" si="5"/>
        <v>2631614.9920631466</v>
      </c>
      <c r="L16" s="730">
        <f t="shared" si="5"/>
        <v>1040715.6985942443</v>
      </c>
      <c r="M16" s="730">
        <f t="shared" si="5"/>
        <v>797544.7354478729</v>
      </c>
      <c r="N16" s="730">
        <f t="shared" si="5"/>
        <v>554373.77230150148</v>
      </c>
      <c r="O16" s="730">
        <f t="shared" si="5"/>
        <v>525072.61435889918</v>
      </c>
      <c r="P16" s="730">
        <f t="shared" si="5"/>
        <v>495771.45641629689</v>
      </c>
      <c r="Q16" s="730">
        <f t="shared" si="5"/>
        <v>487246.68369685335</v>
      </c>
      <c r="R16" s="731">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5" x14ac:dyDescent="0.2">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29">
        <f t="shared" si="5"/>
        <v>1813155.306207042</v>
      </c>
      <c r="L17" s="730">
        <f t="shared" si="5"/>
        <v>797976.63279271475</v>
      </c>
      <c r="M17" s="730">
        <f t="shared" si="5"/>
        <v>649257.67906194751</v>
      </c>
      <c r="N17" s="730">
        <f t="shared" si="5"/>
        <v>500538.72533118032</v>
      </c>
      <c r="O17" s="730">
        <f t="shared" si="5"/>
        <v>482558.39640777424</v>
      </c>
      <c r="P17" s="730">
        <f t="shared" si="5"/>
        <v>464578.0674843684</v>
      </c>
      <c r="Q17" s="730">
        <f t="shared" si="5"/>
        <v>457318.28142704588</v>
      </c>
      <c r="R17" s="731">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5" x14ac:dyDescent="0.2">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29">
        <f t="shared" si="5"/>
        <v>347145.65248339355</v>
      </c>
      <c r="L18" s="730">
        <f t="shared" si="5"/>
        <v>365503.62501818576</v>
      </c>
      <c r="M18" s="730">
        <f t="shared" si="5"/>
        <v>369197.8959029917</v>
      </c>
      <c r="N18" s="730">
        <f t="shared" si="5"/>
        <v>372892.16678779764</v>
      </c>
      <c r="O18" s="730">
        <f t="shared" si="5"/>
        <v>375736.74937961187</v>
      </c>
      <c r="P18" s="730">
        <f t="shared" si="5"/>
        <v>378581.33197142603</v>
      </c>
      <c r="Q18" s="730">
        <f t="shared" si="5"/>
        <v>380157.85098815529</v>
      </c>
      <c r="R18" s="731">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5" x14ac:dyDescent="0.2">
      <c r="A19" s="322" t="str">
        <f t="shared" si="8"/>
        <v>Passenger Car</v>
      </c>
      <c r="B19" s="259"/>
      <c r="C19" s="457"/>
      <c r="D19" s="457"/>
      <c r="E19" s="458"/>
      <c r="F19" s="457"/>
      <c r="G19" s="457"/>
      <c r="H19" s="457"/>
      <c r="I19" s="457"/>
      <c r="J19" s="457"/>
      <c r="K19" s="732"/>
      <c r="L19" s="457"/>
      <c r="M19" s="457"/>
      <c r="N19" s="457"/>
      <c r="O19" s="457"/>
      <c r="P19" s="457"/>
      <c r="Q19" s="457"/>
      <c r="R19" s="733"/>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8"/>
        <v>Passenger Car</v>
      </c>
      <c r="B20" s="259"/>
      <c r="C20" s="457"/>
      <c r="D20" s="457"/>
      <c r="E20" s="458"/>
      <c r="F20" s="457"/>
      <c r="G20" s="457"/>
      <c r="H20" s="457"/>
      <c r="I20" s="457"/>
      <c r="J20" s="457"/>
      <c r="K20" s="732"/>
      <c r="L20" s="457"/>
      <c r="M20" s="457"/>
      <c r="N20" s="457"/>
      <c r="O20" s="457"/>
      <c r="P20" s="457"/>
      <c r="Q20" s="457"/>
      <c r="R20" s="733"/>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503" t="s">
        <v>715</v>
      </c>
      <c r="C21" s="351">
        <v>2010</v>
      </c>
      <c r="D21" s="351">
        <v>2020</v>
      </c>
      <c r="E21" s="354"/>
      <c r="F21" s="351">
        <v>2030</v>
      </c>
      <c r="G21" s="351"/>
      <c r="H21" s="351">
        <v>2040</v>
      </c>
      <c r="I21" s="351"/>
      <c r="J21" s="351">
        <v>2050</v>
      </c>
      <c r="K21" s="734">
        <f>C21</f>
        <v>2010</v>
      </c>
      <c r="L21" s="353">
        <f>D21</f>
        <v>2020</v>
      </c>
      <c r="M21" s="353"/>
      <c r="N21" s="353">
        <f>F21</f>
        <v>2030</v>
      </c>
      <c r="O21" s="353"/>
      <c r="P21" s="353">
        <f>H21</f>
        <v>2040</v>
      </c>
      <c r="Q21" s="353"/>
      <c r="R21" s="735">
        <f>J21</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9">A21</f>
        <v>Motorcycle or Moped</v>
      </c>
      <c r="B22" s="496" t="s">
        <v>791</v>
      </c>
      <c r="C22" s="495" t="s">
        <v>193</v>
      </c>
      <c r="D22" s="494" t="s">
        <v>193</v>
      </c>
      <c r="E22" s="493"/>
      <c r="F22" s="492" t="s">
        <v>193</v>
      </c>
      <c r="G22" s="492"/>
      <c r="H22" s="491" t="s">
        <v>193</v>
      </c>
      <c r="I22" s="491"/>
      <c r="J22" s="490" t="s">
        <v>193</v>
      </c>
      <c r="K22" s="736" t="s">
        <v>1287</v>
      </c>
      <c r="L22" s="322" t="s">
        <v>1287</v>
      </c>
      <c r="N22" s="322" t="s">
        <v>1287</v>
      </c>
      <c r="P22" s="322" t="s">
        <v>1287</v>
      </c>
      <c r="R22" s="737" t="s">
        <v>1287</v>
      </c>
      <c r="S22" s="330"/>
      <c r="AA22"/>
      <c r="AB22" s="489" t="s">
        <v>659</v>
      </c>
      <c r="AC22" s="488" t="s">
        <v>193</v>
      </c>
      <c r="AD22" s="487" t="s">
        <v>193</v>
      </c>
      <c r="AE22" s="486" t="s">
        <v>193</v>
      </c>
      <c r="AF22" s="485" t="s">
        <v>193</v>
      </c>
      <c r="AG22" s="484" t="s">
        <v>193</v>
      </c>
      <c r="AH22"/>
      <c r="AI22"/>
      <c r="AJ22"/>
    </row>
    <row r="23" spans="1:45" ht="15" x14ac:dyDescent="0.2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29">
        <f t="shared" ref="K23:R26" si="10">C23*$B$2*$K$3</f>
        <v>140996.2012610439</v>
      </c>
      <c r="L23" s="730">
        <f t="shared" si="10"/>
        <v>147551.34270646883</v>
      </c>
      <c r="M23" s="730">
        <f t="shared" si="10"/>
        <v>149612.56096433167</v>
      </c>
      <c r="N23" s="730">
        <f t="shared" si="10"/>
        <v>151673.77922219451</v>
      </c>
      <c r="O23" s="730">
        <f t="shared" si="10"/>
        <v>154018.3082464562</v>
      </c>
      <c r="P23" s="730">
        <f t="shared" si="10"/>
        <v>156362.83727071786</v>
      </c>
      <c r="Q23" s="730">
        <f t="shared" si="10"/>
        <v>157446.64112516472</v>
      </c>
      <c r="R23" s="731">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29">
        <f t="shared" si="10"/>
        <v>174409.83751082345</v>
      </c>
      <c r="L24" s="730">
        <f t="shared" si="10"/>
        <v>159379.68232781059</v>
      </c>
      <c r="M24" s="730">
        <f t="shared" si="10"/>
        <v>156811.16859699812</v>
      </c>
      <c r="N24" s="730">
        <f t="shared" si="10"/>
        <v>154242.65486618562</v>
      </c>
      <c r="O24" s="730">
        <f t="shared" si="10"/>
        <v>154533.27622457623</v>
      </c>
      <c r="P24" s="730">
        <f t="shared" si="10"/>
        <v>154823.89758296681</v>
      </c>
      <c r="Q24" s="730">
        <f t="shared" si="10"/>
        <v>155381.98002998158</v>
      </c>
      <c r="R24" s="731">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29">
        <f t="shared" si="10"/>
        <v>227296.16263597918</v>
      </c>
      <c r="L25" s="730">
        <f t="shared" si="10"/>
        <v>181425.66913564043</v>
      </c>
      <c r="M25" s="730">
        <f t="shared" si="10"/>
        <v>171406.95012050911</v>
      </c>
      <c r="N25" s="730">
        <f t="shared" si="10"/>
        <v>161388.23110537775</v>
      </c>
      <c r="O25" s="730">
        <f t="shared" si="10"/>
        <v>163855.32831374026</v>
      </c>
      <c r="P25" s="730">
        <f t="shared" si="10"/>
        <v>166322.4255221028</v>
      </c>
      <c r="Q25" s="730">
        <f t="shared" si="10"/>
        <v>168760.32852405298</v>
      </c>
      <c r="R25" s="731">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29">
        <f t="shared" si="10"/>
        <v>1452431.4754462892</v>
      </c>
      <c r="L26" s="730">
        <f t="shared" si="10"/>
        <v>537952.03122821182</v>
      </c>
      <c r="M26" s="730">
        <f t="shared" si="10"/>
        <v>394604.24163485313</v>
      </c>
      <c r="N26" s="730">
        <f t="shared" si="10"/>
        <v>251256.45204149446</v>
      </c>
      <c r="O26" s="730">
        <f t="shared" si="10"/>
        <v>234442.3325583564</v>
      </c>
      <c r="P26" s="730">
        <f t="shared" si="10"/>
        <v>217628.21307521837</v>
      </c>
      <c r="Q26" s="730">
        <f t="shared" si="10"/>
        <v>214239.89532139804</v>
      </c>
      <c r="R26" s="731">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9"/>
        <v>Motorcycle or Moped</v>
      </c>
      <c r="K27" s="736"/>
      <c r="R27" s="737"/>
    </row>
    <row r="28" spans="1:45" x14ac:dyDescent="0.2">
      <c r="A28" s="322" t="str">
        <f t="shared" si="9"/>
        <v>Motorcycle or Moped</v>
      </c>
      <c r="B28" s="452" t="s">
        <v>832</v>
      </c>
      <c r="C28" s="456" t="s">
        <v>831</v>
      </c>
      <c r="D28" s="455">
        <v>0.08</v>
      </c>
      <c r="E28" s="454"/>
      <c r="K28" s="736"/>
      <c r="R28" s="737"/>
      <c r="AB28" s="452" t="s">
        <v>816</v>
      </c>
      <c r="AC28" s="322" t="s">
        <v>834</v>
      </c>
    </row>
    <row r="29" spans="1:45" x14ac:dyDescent="0.2">
      <c r="A29" s="322" t="str">
        <f>B29</f>
        <v xml:space="preserve">Van / LCV </v>
      </c>
      <c r="B29" s="351" t="s">
        <v>701</v>
      </c>
      <c r="C29" s="351">
        <v>2010</v>
      </c>
      <c r="D29" s="351">
        <v>2020</v>
      </c>
      <c r="E29" s="354"/>
      <c r="F29" s="351">
        <v>2030</v>
      </c>
      <c r="G29" s="351"/>
      <c r="H29" s="351">
        <v>2040</v>
      </c>
      <c r="I29" s="351"/>
      <c r="J29" s="351">
        <v>2050</v>
      </c>
      <c r="K29" s="734">
        <f>C29</f>
        <v>2010</v>
      </c>
      <c r="L29" s="353">
        <f>D29</f>
        <v>2020</v>
      </c>
      <c r="M29" s="353"/>
      <c r="N29" s="353">
        <f>F29</f>
        <v>2030</v>
      </c>
      <c r="O29" s="353"/>
      <c r="P29" s="353">
        <f>H29</f>
        <v>2040</v>
      </c>
      <c r="Q29" s="353"/>
      <c r="R29" s="735">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2">A29</f>
        <v xml:space="preserve">Van / LCV </v>
      </c>
      <c r="B30" s="447" t="s">
        <v>791</v>
      </c>
      <c r="C30" s="442"/>
      <c r="D30" s="448" t="s">
        <v>193</v>
      </c>
      <c r="E30" s="462"/>
      <c r="F30" s="448" t="s">
        <v>193</v>
      </c>
      <c r="G30" s="448"/>
      <c r="H30" s="448" t="s">
        <v>193</v>
      </c>
      <c r="I30" s="448"/>
      <c r="J30" s="448" t="s">
        <v>193</v>
      </c>
      <c r="K30" s="736" t="s">
        <v>1287</v>
      </c>
      <c r="L30" s="322" t="s">
        <v>1287</v>
      </c>
      <c r="N30" s="322" t="s">
        <v>1287</v>
      </c>
      <c r="P30" s="322" t="s">
        <v>1287</v>
      </c>
      <c r="R30" s="737" t="s">
        <v>1287</v>
      </c>
      <c r="AB30" s="447" t="s">
        <v>659</v>
      </c>
      <c r="AC30" s="446" t="s">
        <v>663</v>
      </c>
      <c r="AD30" s="446" t="s">
        <v>663</v>
      </c>
      <c r="AE30" s="446" t="s">
        <v>663</v>
      </c>
      <c r="AF30" s="446" t="s">
        <v>663</v>
      </c>
      <c r="AG30" s="446" t="s">
        <v>663</v>
      </c>
    </row>
    <row r="31" spans="1:45" ht="15" x14ac:dyDescent="0.2">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29">
        <f t="shared" ref="K31:R43" si="16">C31*$B$2*$K$3</f>
        <v>256661.9753328345</v>
      </c>
      <c r="L31" s="730">
        <f t="shared" si="16"/>
        <v>279008.35302471276</v>
      </c>
      <c r="M31" s="730">
        <f t="shared" si="16"/>
        <v>284150.0701234903</v>
      </c>
      <c r="N31" s="730">
        <f t="shared" si="16"/>
        <v>289291.78722226777</v>
      </c>
      <c r="O31" s="730">
        <f t="shared" si="16"/>
        <v>295609.37144945067</v>
      </c>
      <c r="P31" s="730">
        <f t="shared" si="16"/>
        <v>301926.95567663357</v>
      </c>
      <c r="Q31" s="730">
        <f t="shared" si="16"/>
        <v>305092.2662489441</v>
      </c>
      <c r="R31" s="731">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5" x14ac:dyDescent="0.2">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29">
        <f t="shared" si="16"/>
        <v>273963.5068382945</v>
      </c>
      <c r="L32" s="730">
        <f t="shared" si="16"/>
        <v>302454.01055301359</v>
      </c>
      <c r="M32" s="730">
        <f t="shared" si="16"/>
        <v>307843.23555284203</v>
      </c>
      <c r="N32" s="730">
        <f t="shared" si="16"/>
        <v>313232.46055267047</v>
      </c>
      <c r="O32" s="730">
        <f t="shared" si="16"/>
        <v>319756.39835543133</v>
      </c>
      <c r="P32" s="730">
        <f t="shared" si="16"/>
        <v>326280.33615819225</v>
      </c>
      <c r="Q32" s="730">
        <f t="shared" si="16"/>
        <v>329483.28918391035</v>
      </c>
      <c r="R32" s="731">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29">
        <f t="shared" si="16"/>
        <v>312901.78233298892</v>
      </c>
      <c r="L33" s="730">
        <f t="shared" si="16"/>
        <v>304843.98823993577</v>
      </c>
      <c r="M33" s="730">
        <f t="shared" si="16"/>
        <v>302907.47306587646</v>
      </c>
      <c r="N33" s="730">
        <f t="shared" si="16"/>
        <v>300970.9578918172</v>
      </c>
      <c r="O33" s="730">
        <f t="shared" si="16"/>
        <v>303738.94959199568</v>
      </c>
      <c r="P33" s="730">
        <f t="shared" si="16"/>
        <v>306506.94129217422</v>
      </c>
      <c r="Q33" s="730">
        <f t="shared" si="16"/>
        <v>307629.24987310497</v>
      </c>
      <c r="R33" s="731">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29">
        <f t="shared" si="16"/>
        <v>331028.30930312449</v>
      </c>
      <c r="L34" s="730">
        <f t="shared" si="16"/>
        <v>326716.98101003445</v>
      </c>
      <c r="M34" s="730">
        <f t="shared" si="16"/>
        <v>324521.50162893633</v>
      </c>
      <c r="N34" s="730">
        <f t="shared" si="16"/>
        <v>322326.02224783826</v>
      </c>
      <c r="O34" s="730">
        <f t="shared" si="16"/>
        <v>325263.56979321735</v>
      </c>
      <c r="P34" s="730">
        <f t="shared" si="16"/>
        <v>328201.11733859644</v>
      </c>
      <c r="Q34" s="730">
        <f t="shared" si="16"/>
        <v>329321.81828075892</v>
      </c>
      <c r="R34" s="731">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29">
        <f t="shared" si="16"/>
        <v>391481.07154940313</v>
      </c>
      <c r="L35" s="730">
        <f t="shared" si="16"/>
        <v>339982.20467586158</v>
      </c>
      <c r="M35" s="730">
        <f t="shared" si="16"/>
        <v>331059.16492119117</v>
      </c>
      <c r="N35" s="730">
        <f t="shared" si="16"/>
        <v>322136.12516652065</v>
      </c>
      <c r="O35" s="730">
        <f t="shared" si="16"/>
        <v>323006.64147182775</v>
      </c>
      <c r="P35" s="730">
        <f t="shared" si="16"/>
        <v>323877.15777713485</v>
      </c>
      <c r="Q35" s="730">
        <f t="shared" si="16"/>
        <v>323593.37485257658</v>
      </c>
      <c r="R35" s="731">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29">
        <f t="shared" si="16"/>
        <v>407474.79468737578</v>
      </c>
      <c r="L36" s="730">
        <f t="shared" si="16"/>
        <v>360682.48912301363</v>
      </c>
      <c r="M36" s="730">
        <f t="shared" si="16"/>
        <v>351716.16664973373</v>
      </c>
      <c r="N36" s="730">
        <f t="shared" si="16"/>
        <v>342749.84417645383</v>
      </c>
      <c r="O36" s="730">
        <f t="shared" si="16"/>
        <v>343826.71405733895</v>
      </c>
      <c r="P36" s="730">
        <f t="shared" si="16"/>
        <v>344903.58393822401</v>
      </c>
      <c r="Q36" s="730">
        <f t="shared" si="16"/>
        <v>344657.44346707332</v>
      </c>
      <c r="R36" s="731">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29">
        <f t="shared" si="16"/>
        <v>496559.73718594579</v>
      </c>
      <c r="L37" s="730">
        <f t="shared" si="16"/>
        <v>378588.95630492171</v>
      </c>
      <c r="M37" s="730">
        <f t="shared" si="16"/>
        <v>360727.4622038473</v>
      </c>
      <c r="N37" s="730">
        <f t="shared" si="16"/>
        <v>342865.96810277284</v>
      </c>
      <c r="O37" s="730">
        <f t="shared" si="16"/>
        <v>342470.67215617938</v>
      </c>
      <c r="P37" s="730">
        <f t="shared" si="16"/>
        <v>342075.37620958587</v>
      </c>
      <c r="Q37" s="730">
        <f t="shared" si="16"/>
        <v>340639.12087968597</v>
      </c>
      <c r="R37" s="731">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29">
        <f t="shared" si="16"/>
        <v>511492.56089864328</v>
      </c>
      <c r="L38" s="730">
        <f t="shared" si="16"/>
        <v>395813.38161575678</v>
      </c>
      <c r="M38" s="730">
        <f t="shared" si="16"/>
        <v>377420.10669636662</v>
      </c>
      <c r="N38" s="730">
        <f t="shared" si="16"/>
        <v>359026.83177697641</v>
      </c>
      <c r="O38" s="730">
        <f t="shared" si="16"/>
        <v>358837.88940596086</v>
      </c>
      <c r="P38" s="730">
        <f t="shared" si="16"/>
        <v>358648.94703494536</v>
      </c>
      <c r="Q38" s="730">
        <f t="shared" si="16"/>
        <v>357250.33415845298</v>
      </c>
      <c r="R38" s="731">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v>1.1636030437253695</v>
      </c>
      <c r="AL38" s="466"/>
      <c r="AM38" s="465"/>
      <c r="AN38" s="465"/>
      <c r="AO38" s="465"/>
    </row>
    <row r="39" spans="1:43" ht="15" x14ac:dyDescent="0.2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29">
        <f t="shared" si="16"/>
        <v>687128.15488599741</v>
      </c>
      <c r="L39" s="730">
        <f t="shared" si="16"/>
        <v>469949.59053506178</v>
      </c>
      <c r="M39" s="730">
        <f t="shared" si="16"/>
        <v>432380.94769067498</v>
      </c>
      <c r="N39" s="730">
        <f t="shared" si="16"/>
        <v>394812.30484628811</v>
      </c>
      <c r="O39" s="730">
        <f t="shared" si="16"/>
        <v>398727.68873224943</v>
      </c>
      <c r="P39" s="730">
        <f t="shared" si="16"/>
        <v>402643.07261821086</v>
      </c>
      <c r="Q39" s="730">
        <f t="shared" si="16"/>
        <v>404655.09436187055</v>
      </c>
      <c r="R39" s="731">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v>2015</v>
      </c>
      <c r="AL39" s="466"/>
      <c r="AM39" s="465"/>
      <c r="AN39" s="465"/>
      <c r="AO39" s="465"/>
    </row>
    <row r="40" spans="1:43" ht="15" x14ac:dyDescent="0.2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29">
        <f t="shared" si="16"/>
        <v>2029535.5581229187</v>
      </c>
      <c r="L40" s="730">
        <f t="shared" si="16"/>
        <v>811440.95954608021</v>
      </c>
      <c r="M40" s="730">
        <f t="shared" si="16"/>
        <v>622919.2856946364</v>
      </c>
      <c r="N40" s="730">
        <f t="shared" si="16"/>
        <v>434397.61184319266</v>
      </c>
      <c r="O40" s="730">
        <f t="shared" si="16"/>
        <v>413664.79392003053</v>
      </c>
      <c r="P40" s="730">
        <f t="shared" si="16"/>
        <v>392931.97599686834</v>
      </c>
      <c r="Q40" s="730">
        <f t="shared" si="16"/>
        <v>387589.42716879566</v>
      </c>
      <c r="R40" s="731">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29">
        <f t="shared" si="16"/>
        <v>2114672.9625383778</v>
      </c>
      <c r="L41" s="730">
        <f t="shared" si="16"/>
        <v>850128.3240129943</v>
      </c>
      <c r="M41" s="730">
        <f t="shared" si="16"/>
        <v>655524.58181147499</v>
      </c>
      <c r="N41" s="730">
        <f t="shared" si="16"/>
        <v>460920.8396099559</v>
      </c>
      <c r="O41" s="730">
        <f t="shared" si="16"/>
        <v>439117.74429542525</v>
      </c>
      <c r="P41" s="730">
        <f t="shared" si="16"/>
        <v>417314.64898089459</v>
      </c>
      <c r="Q41" s="730">
        <f t="shared" si="16"/>
        <v>410990.01008050452</v>
      </c>
      <c r="R41" s="731">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29">
        <f t="shared" si="16"/>
        <v>1450504.470819857</v>
      </c>
      <c r="L42" s="730">
        <f t="shared" si="16"/>
        <v>654484.66361127386</v>
      </c>
      <c r="M42" s="730">
        <f t="shared" si="16"/>
        <v>534980.27749698469</v>
      </c>
      <c r="N42" s="730">
        <f t="shared" si="16"/>
        <v>415475.89138269558</v>
      </c>
      <c r="O42" s="730">
        <f t="shared" si="16"/>
        <v>402645.7854288643</v>
      </c>
      <c r="P42" s="730">
        <f t="shared" si="16"/>
        <v>389815.67947503307</v>
      </c>
      <c r="Q42" s="730">
        <f t="shared" si="16"/>
        <v>384665.56853580126</v>
      </c>
      <c r="R42" s="731">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29">
        <f t="shared" si="16"/>
        <v>299496.70074222406</v>
      </c>
      <c r="L43" s="730">
        <f t="shared" si="16"/>
        <v>314789.02729539643</v>
      </c>
      <c r="M43" s="730">
        <f t="shared" si="16"/>
        <v>318102.56056284037</v>
      </c>
      <c r="N43" s="730">
        <f t="shared" si="16"/>
        <v>321416.09383028437</v>
      </c>
      <c r="O43" s="730">
        <f t="shared" si="16"/>
        <v>326165.12299253611</v>
      </c>
      <c r="P43" s="730">
        <f t="shared" si="16"/>
        <v>330914.15215478779</v>
      </c>
      <c r="Q43" s="730">
        <f t="shared" si="16"/>
        <v>332996.62735681463</v>
      </c>
      <c r="R43" s="731">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2"/>
        <v xml:space="preserve">Van / LCV </v>
      </c>
      <c r="B44" s="259"/>
      <c r="C44" s="457"/>
      <c r="D44" s="457"/>
      <c r="E44" s="458"/>
      <c r="F44" s="457"/>
      <c r="G44" s="457"/>
      <c r="H44" s="457"/>
      <c r="I44" s="457"/>
      <c r="J44" s="457"/>
      <c r="K44" s="732"/>
      <c r="L44" s="457"/>
      <c r="M44" s="457"/>
      <c r="N44" s="457"/>
      <c r="O44" s="457"/>
      <c r="P44" s="457"/>
      <c r="Q44" s="457"/>
      <c r="R44" s="733"/>
      <c r="AB44" s="464"/>
      <c r="AE44" s="463"/>
      <c r="AF44" s="463"/>
    </row>
    <row r="45" spans="1:43" x14ac:dyDescent="0.2">
      <c r="A45" s="322" t="str">
        <f t="shared" si="12"/>
        <v xml:space="preserve">Van / LCV </v>
      </c>
      <c r="B45" s="452" t="s">
        <v>832</v>
      </c>
      <c r="C45" s="456" t="s">
        <v>831</v>
      </c>
      <c r="D45" s="455">
        <v>0.08</v>
      </c>
      <c r="E45" s="454"/>
      <c r="F45" s="453"/>
      <c r="G45" s="453"/>
      <c r="H45" s="453"/>
      <c r="I45" s="453"/>
      <c r="J45" s="453"/>
      <c r="K45" s="738"/>
      <c r="L45" s="453"/>
      <c r="M45" s="453"/>
      <c r="N45" s="453"/>
      <c r="O45" s="453"/>
      <c r="P45" s="453"/>
      <c r="Q45" s="453"/>
      <c r="R45" s="739"/>
      <c r="AB45" s="452" t="s">
        <v>816</v>
      </c>
      <c r="AC45" s="322" t="s">
        <v>834</v>
      </c>
      <c r="AE45" s="463"/>
      <c r="AF45" s="463"/>
    </row>
    <row r="46" spans="1:43" x14ac:dyDescent="0.2">
      <c r="A46" s="322" t="str">
        <f>B46</f>
        <v>Small Rigid Truck</v>
      </c>
      <c r="B46" s="351" t="s">
        <v>725</v>
      </c>
      <c r="C46" s="351">
        <v>2010</v>
      </c>
      <c r="D46" s="351">
        <v>2020</v>
      </c>
      <c r="E46" s="354"/>
      <c r="F46" s="351">
        <v>2030</v>
      </c>
      <c r="G46" s="351"/>
      <c r="H46" s="351">
        <v>2040</v>
      </c>
      <c r="I46" s="351"/>
      <c r="J46" s="351">
        <v>2050</v>
      </c>
      <c r="K46" s="734">
        <f>C46</f>
        <v>2010</v>
      </c>
      <c r="L46" s="353">
        <f>D46</f>
        <v>2020</v>
      </c>
      <c r="M46" s="353"/>
      <c r="N46" s="353">
        <f>F46</f>
        <v>2030</v>
      </c>
      <c r="O46" s="353"/>
      <c r="P46" s="353">
        <f>H46</f>
        <v>2040</v>
      </c>
      <c r="Q46" s="353"/>
      <c r="R46" s="735">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447" t="s">
        <v>791</v>
      </c>
      <c r="C47" s="448" t="s">
        <v>193</v>
      </c>
      <c r="D47" s="448" t="s">
        <v>193</v>
      </c>
      <c r="E47" s="462"/>
      <c r="F47" s="448" t="s">
        <v>193</v>
      </c>
      <c r="G47" s="448"/>
      <c r="H47" s="448" t="s">
        <v>193</v>
      </c>
      <c r="I47" s="448"/>
      <c r="J47" s="448" t="s">
        <v>193</v>
      </c>
      <c r="K47" s="736" t="s">
        <v>1287</v>
      </c>
      <c r="L47" s="322" t="s">
        <v>1287</v>
      </c>
      <c r="N47" s="322" t="s">
        <v>1287</v>
      </c>
      <c r="P47" s="322" t="s">
        <v>1287</v>
      </c>
      <c r="R47" s="737" t="s">
        <v>1287</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29">
        <f t="shared" ref="K48:R56" si="18">C48*$B$2*$K$3</f>
        <v>665630.86833121476</v>
      </c>
      <c r="L48" s="730">
        <f t="shared" si="18"/>
        <v>800945.7513197927</v>
      </c>
      <c r="M48" s="730">
        <f t="shared" si="18"/>
        <v>826287.49318747991</v>
      </c>
      <c r="N48" s="730">
        <f t="shared" si="18"/>
        <v>851629.23505516711</v>
      </c>
      <c r="O48" s="730">
        <f t="shared" si="18"/>
        <v>874323.18709736317</v>
      </c>
      <c r="P48" s="730">
        <f t="shared" si="18"/>
        <v>897017.13913955924</v>
      </c>
      <c r="Q48" s="730">
        <f t="shared" si="18"/>
        <v>911917.84375750553</v>
      </c>
      <c r="R48" s="731">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461"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442" t="e">
        <f>J48*'Vehicle eff data 2023'!#REF!</f>
        <v>#REF!</v>
      </c>
      <c r="K49" s="729" t="e">
        <f t="shared" si="18"/>
        <v>#REF!</v>
      </c>
      <c r="L49" s="730" t="e">
        <f t="shared" si="18"/>
        <v>#REF!</v>
      </c>
      <c r="M49" s="730" t="e">
        <f t="shared" si="18"/>
        <v>#REF!</v>
      </c>
      <c r="N49" s="730" t="e">
        <f t="shared" si="18"/>
        <v>#REF!</v>
      </c>
      <c r="O49" s="730" t="e">
        <f t="shared" si="18"/>
        <v>#REF!</v>
      </c>
      <c r="P49" s="730" t="e">
        <f t="shared" si="18"/>
        <v>#REF!</v>
      </c>
      <c r="Q49" s="730" t="e">
        <f t="shared" si="18"/>
        <v>#REF!</v>
      </c>
      <c r="R49" s="731" t="e">
        <f t="shared" si="18"/>
        <v>#REF!</v>
      </c>
      <c r="S49" s="330" t="e">
        <f t="shared" si="19"/>
        <v>#REF!</v>
      </c>
      <c r="T49" s="330" t="e">
        <f t="shared" si="19"/>
        <v>#REF!</v>
      </c>
      <c r="U49" s="330" t="e">
        <f t="shared" si="19"/>
        <v>#REF!</v>
      </c>
      <c r="V49" s="330" t="e">
        <f t="shared" si="19"/>
        <v>#REF!</v>
      </c>
      <c r="W49" s="330" t="e">
        <f t="shared" si="19"/>
        <v>#REF!</v>
      </c>
      <c r="X49" s="330" t="e">
        <f t="shared" si="19"/>
        <v>#REF!</v>
      </c>
      <c r="Y49" s="330" t="e">
        <f t="shared" si="19"/>
        <v>#REF!</v>
      </c>
      <c r="Z49" s="330" t="e">
        <f t="shared" si="19"/>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5" x14ac:dyDescent="0.2">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29">
        <f t="shared" si="18"/>
        <v>809781.47955487901</v>
      </c>
      <c r="L50" s="730">
        <f t="shared" si="18"/>
        <v>905485.27878454118</v>
      </c>
      <c r="M50" s="730">
        <f t="shared" si="18"/>
        <v>913269.92469678773</v>
      </c>
      <c r="N50" s="730">
        <f t="shared" si="18"/>
        <v>921054.57060903416</v>
      </c>
      <c r="O50" s="730">
        <f t="shared" si="18"/>
        <v>935029.30465434329</v>
      </c>
      <c r="P50" s="730">
        <f t="shared" si="18"/>
        <v>949004.03869965253</v>
      </c>
      <c r="Q50" s="730">
        <f t="shared" si="18"/>
        <v>958231.93363923894</v>
      </c>
      <c r="R50" s="731">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29">
        <f t="shared" si="18"/>
        <v>822054.4421285463</v>
      </c>
      <c r="L51" s="730">
        <f t="shared" si="18"/>
        <v>867855.65580572386</v>
      </c>
      <c r="M51" s="730">
        <f t="shared" si="18"/>
        <v>883566.63350437384</v>
      </c>
      <c r="N51" s="730">
        <f t="shared" si="18"/>
        <v>899277.61120302393</v>
      </c>
      <c r="O51" s="730">
        <f t="shared" si="18"/>
        <v>919122.33011158789</v>
      </c>
      <c r="P51" s="730">
        <f t="shared" si="18"/>
        <v>938967.04902015161</v>
      </c>
      <c r="Q51" s="730">
        <f t="shared" si="18"/>
        <v>949220.9609977334</v>
      </c>
      <c r="R51" s="731">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29">
        <f t="shared" si="18"/>
        <v>843813.12099593447</v>
      </c>
      <c r="L52" s="730">
        <f t="shared" si="18"/>
        <v>885377.7159720764</v>
      </c>
      <c r="M52" s="730">
        <f t="shared" si="18"/>
        <v>887934.07694784389</v>
      </c>
      <c r="N52" s="730">
        <f t="shared" si="18"/>
        <v>890490.43792361103</v>
      </c>
      <c r="O52" s="730">
        <f t="shared" si="18"/>
        <v>897019.22104842484</v>
      </c>
      <c r="P52" s="730">
        <f t="shared" si="18"/>
        <v>903548.00417323865</v>
      </c>
      <c r="Q52" s="730">
        <f t="shared" si="18"/>
        <v>910472.04174300213</v>
      </c>
      <c r="R52" s="731">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29">
        <f t="shared" si="18"/>
        <v>2230718.2521627168</v>
      </c>
      <c r="L53" s="730">
        <f t="shared" si="18"/>
        <v>1464212.0349055484</v>
      </c>
      <c r="M53" s="730">
        <f t="shared" si="18"/>
        <v>1329574.4709027691</v>
      </c>
      <c r="N53" s="730">
        <f t="shared" si="18"/>
        <v>1194936.9068999893</v>
      </c>
      <c r="O53" s="730">
        <f t="shared" si="18"/>
        <v>1204521.7652840337</v>
      </c>
      <c r="P53" s="730">
        <f t="shared" si="18"/>
        <v>1214106.6236680776</v>
      </c>
      <c r="Q53" s="730">
        <f t="shared" si="18"/>
        <v>1217089.6391281676</v>
      </c>
      <c r="R53" s="731">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29">
        <f t="shared" si="18"/>
        <v>4238674.4146435475</v>
      </c>
      <c r="L54" s="730">
        <f t="shared" si="18"/>
        <v>1816072.504069217</v>
      </c>
      <c r="M54" s="730">
        <f t="shared" si="18"/>
        <v>1430827.4184126148</v>
      </c>
      <c r="N54" s="730">
        <f t="shared" si="18"/>
        <v>1045582.3327560129</v>
      </c>
      <c r="O54" s="730">
        <f t="shared" si="18"/>
        <v>997862.38106442767</v>
      </c>
      <c r="P54" s="730">
        <f t="shared" si="18"/>
        <v>950142.42937284242</v>
      </c>
      <c r="Q54" s="730">
        <f t="shared" si="18"/>
        <v>933225.19539688097</v>
      </c>
      <c r="R54" s="731">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29">
        <f t="shared" si="18"/>
        <v>1051516.7511577115</v>
      </c>
      <c r="L55" s="730">
        <f t="shared" si="18"/>
        <v>1031864.0418883342</v>
      </c>
      <c r="M55" s="730">
        <f t="shared" si="18"/>
        <v>1035882.9494916156</v>
      </c>
      <c r="N55" s="730">
        <f t="shared" si="18"/>
        <v>1039901.8570948968</v>
      </c>
      <c r="O55" s="730">
        <f t="shared" si="18"/>
        <v>1050748.8162426385</v>
      </c>
      <c r="P55" s="730">
        <f t="shared" si="18"/>
        <v>1061595.7753903801</v>
      </c>
      <c r="Q55" s="730">
        <f t="shared" si="18"/>
        <v>1069132.5628851603</v>
      </c>
      <c r="R55" s="731">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29">
        <f t="shared" si="18"/>
        <v>1005171.5263628296</v>
      </c>
      <c r="L56" s="730">
        <f t="shared" si="18"/>
        <v>989516.39816888212</v>
      </c>
      <c r="M56" s="730">
        <f t="shared" si="18"/>
        <v>992950.77775874839</v>
      </c>
      <c r="N56" s="730">
        <f t="shared" si="18"/>
        <v>996385.15734861477</v>
      </c>
      <c r="O56" s="730">
        <f t="shared" si="18"/>
        <v>1007345.0964593297</v>
      </c>
      <c r="P56" s="730">
        <f t="shared" si="18"/>
        <v>1018305.0355700447</v>
      </c>
      <c r="Q56" s="730">
        <f t="shared" si="18"/>
        <v>1025944.9247305429</v>
      </c>
      <c r="R56" s="731">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23"/>
        <v>Small Rigid Truck</v>
      </c>
      <c r="B57" s="259"/>
      <c r="C57" s="457"/>
      <c r="D57" s="457"/>
      <c r="E57" s="458"/>
      <c r="F57" s="457"/>
      <c r="G57" s="457"/>
      <c r="H57" s="457"/>
      <c r="I57" s="457"/>
      <c r="J57" s="457"/>
      <c r="K57" s="732"/>
      <c r="L57" s="457"/>
      <c r="M57" s="457"/>
      <c r="N57" s="457"/>
      <c r="O57" s="457"/>
      <c r="P57" s="457"/>
      <c r="Q57" s="457"/>
      <c r="R57" s="733"/>
    </row>
    <row r="58" spans="1:33" x14ac:dyDescent="0.2">
      <c r="A58" s="322" t="str">
        <f t="shared" si="23"/>
        <v>Small Rigid Truck</v>
      </c>
      <c r="B58" s="452" t="s">
        <v>832</v>
      </c>
      <c r="C58" s="456" t="s">
        <v>831</v>
      </c>
      <c r="D58" s="455">
        <v>0.08</v>
      </c>
      <c r="E58" s="454"/>
      <c r="F58" s="453"/>
      <c r="G58" s="453"/>
      <c r="H58" s="453"/>
      <c r="I58" s="453"/>
      <c r="J58" s="453"/>
      <c r="K58" s="738"/>
      <c r="L58" s="453"/>
      <c r="M58" s="453"/>
      <c r="N58" s="453"/>
      <c r="O58" s="453"/>
      <c r="P58" s="453"/>
      <c r="Q58" s="453"/>
      <c r="R58" s="739"/>
      <c r="T58" s="453"/>
      <c r="U58" s="453"/>
      <c r="V58" s="453"/>
      <c r="W58" s="453"/>
      <c r="X58" s="453"/>
      <c r="Y58" s="453"/>
      <c r="Z58" s="453"/>
      <c r="AA58" s="453"/>
      <c r="AB58" s="452" t="s">
        <v>816</v>
      </c>
      <c r="AC58" s="322" t="s">
        <v>834</v>
      </c>
    </row>
    <row r="59" spans="1:33" x14ac:dyDescent="0.2">
      <c r="A59" s="322" t="str">
        <f>B59</f>
        <v>Large Rigid Truck</v>
      </c>
      <c r="B59" s="351" t="s">
        <v>735</v>
      </c>
      <c r="C59" s="351">
        <v>2010</v>
      </c>
      <c r="D59" s="351">
        <v>2020</v>
      </c>
      <c r="E59" s="354"/>
      <c r="F59" s="351">
        <v>2030</v>
      </c>
      <c r="G59" s="351"/>
      <c r="H59" s="351">
        <v>2040</v>
      </c>
      <c r="I59" s="351"/>
      <c r="J59" s="351">
        <v>2050</v>
      </c>
      <c r="K59" s="734">
        <f>C59</f>
        <v>2010</v>
      </c>
      <c r="L59" s="353">
        <f>D59</f>
        <v>2020</v>
      </c>
      <c r="M59" s="353"/>
      <c r="N59" s="353">
        <f>F59</f>
        <v>2030</v>
      </c>
      <c r="O59" s="353"/>
      <c r="P59" s="353">
        <f>H59</f>
        <v>2040</v>
      </c>
      <c r="Q59" s="353"/>
      <c r="R59" s="735">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24">A59</f>
        <v>Large Rigid Truck</v>
      </c>
      <c r="B60" s="447" t="s">
        <v>791</v>
      </c>
      <c r="C60" s="448" t="s">
        <v>193</v>
      </c>
      <c r="D60" s="449"/>
      <c r="E60" s="450"/>
      <c r="F60" s="449"/>
      <c r="G60" s="449"/>
      <c r="H60" s="449"/>
      <c r="I60" s="448"/>
      <c r="J60" s="448" t="s">
        <v>193</v>
      </c>
      <c r="K60" s="736" t="s">
        <v>1287</v>
      </c>
      <c r="L60" s="322" t="s">
        <v>1287</v>
      </c>
      <c r="N60" s="322" t="s">
        <v>1287</v>
      </c>
      <c r="P60" s="322" t="s">
        <v>1287</v>
      </c>
      <c r="R60" s="737" t="s">
        <v>1287</v>
      </c>
      <c r="AB60" s="447" t="s">
        <v>659</v>
      </c>
      <c r="AC60" s="446" t="s">
        <v>663</v>
      </c>
      <c r="AD60" s="446" t="s">
        <v>663</v>
      </c>
      <c r="AE60" s="446" t="s">
        <v>663</v>
      </c>
      <c r="AF60" s="446" t="s">
        <v>663</v>
      </c>
      <c r="AG60" s="446" t="s">
        <v>663</v>
      </c>
    </row>
    <row r="61" spans="1:33" ht="15" x14ac:dyDescent="0.2">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29">
        <f t="shared" ref="K61:R68" si="25">C61*$B$2*$K$3</f>
        <v>1089930.327527541</v>
      </c>
      <c r="L61" s="730">
        <f t="shared" si="25"/>
        <v>1315389.054772544</v>
      </c>
      <c r="M61" s="730">
        <f t="shared" si="25"/>
        <v>1357929.7395903205</v>
      </c>
      <c r="N61" s="730">
        <f t="shared" si="25"/>
        <v>1400470.4244080975</v>
      </c>
      <c r="O61" s="730">
        <f t="shared" si="25"/>
        <v>1427774.4170071429</v>
      </c>
      <c r="P61" s="730">
        <f t="shared" si="25"/>
        <v>1455078.4096061881</v>
      </c>
      <c r="Q61" s="730">
        <f t="shared" si="25"/>
        <v>1478587.2547298784</v>
      </c>
      <c r="R61" s="731">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5" x14ac:dyDescent="0.2">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29">
        <f t="shared" si="25"/>
        <v>1251184.4931443066</v>
      </c>
      <c r="L62" s="730">
        <f t="shared" si="25"/>
        <v>1438328.6388271647</v>
      </c>
      <c r="M62" s="730">
        <f t="shared" si="25"/>
        <v>1457758.3583193333</v>
      </c>
      <c r="N62" s="730">
        <f t="shared" si="25"/>
        <v>1477188.0778115019</v>
      </c>
      <c r="O62" s="730">
        <f t="shared" si="25"/>
        <v>1493178.5248990091</v>
      </c>
      <c r="P62" s="730">
        <f t="shared" si="25"/>
        <v>1509168.9719865166</v>
      </c>
      <c r="Q62" s="730">
        <f t="shared" si="25"/>
        <v>1525317.1010085675</v>
      </c>
      <c r="R62" s="731">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29">
        <f t="shared" si="25"/>
        <v>1222376.4895484564</v>
      </c>
      <c r="L63" s="730">
        <f t="shared" si="25"/>
        <v>1372038.5110622062</v>
      </c>
      <c r="M63" s="730">
        <f t="shared" si="25"/>
        <v>1403655.9464542887</v>
      </c>
      <c r="N63" s="730">
        <f t="shared" si="25"/>
        <v>1435273.3818463711</v>
      </c>
      <c r="O63" s="730">
        <f t="shared" si="25"/>
        <v>1464654.7994727818</v>
      </c>
      <c r="P63" s="730">
        <f t="shared" si="25"/>
        <v>1494036.2170991923</v>
      </c>
      <c r="Q63" s="730">
        <f t="shared" si="25"/>
        <v>1512239.1151073836</v>
      </c>
      <c r="R63" s="731">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29">
        <f t="shared" si="25"/>
        <v>1374599.6336241232</v>
      </c>
      <c r="L64" s="730">
        <f t="shared" si="25"/>
        <v>1464573.7294294063</v>
      </c>
      <c r="M64" s="730">
        <f t="shared" si="25"/>
        <v>1471747.0120627852</v>
      </c>
      <c r="N64" s="730">
        <f t="shared" si="25"/>
        <v>1478920.2946961639</v>
      </c>
      <c r="O64" s="730">
        <f t="shared" si="25"/>
        <v>1490612.6270692046</v>
      </c>
      <c r="P64" s="730">
        <f t="shared" si="25"/>
        <v>1502304.9594422451</v>
      </c>
      <c r="Q64" s="730">
        <f t="shared" si="25"/>
        <v>1512718.513444247</v>
      </c>
      <c r="R64" s="731">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24"/>
        <v>Large Rigid Truck</v>
      </c>
      <c r="B65" s="255" t="s">
        <v>692</v>
      </c>
      <c r="C65" s="444"/>
      <c r="D65" s="444"/>
      <c r="E65" s="445"/>
      <c r="F65" s="444"/>
      <c r="G65" s="444"/>
      <c r="H65" s="444"/>
      <c r="I65" s="444"/>
      <c r="J65" s="444"/>
      <c r="K65" s="729">
        <f t="shared" si="25"/>
        <v>0</v>
      </c>
      <c r="L65" s="730">
        <f t="shared" si="25"/>
        <v>0</v>
      </c>
      <c r="M65" s="730">
        <f t="shared" si="25"/>
        <v>0</v>
      </c>
      <c r="N65" s="730">
        <f t="shared" si="25"/>
        <v>0</v>
      </c>
      <c r="O65" s="730">
        <f t="shared" si="25"/>
        <v>0</v>
      </c>
      <c r="P65" s="730">
        <f t="shared" si="25"/>
        <v>0</v>
      </c>
      <c r="Q65" s="730">
        <f t="shared" si="25"/>
        <v>0</v>
      </c>
      <c r="R65" s="731">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5" x14ac:dyDescent="0.2">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29">
        <f t="shared" si="25"/>
        <v>6644860.7955950676</v>
      </c>
      <c r="L66" s="730">
        <f t="shared" si="25"/>
        <v>2881312.2182852593</v>
      </c>
      <c r="M66" s="730">
        <f t="shared" si="25"/>
        <v>2283873.3934198092</v>
      </c>
      <c r="N66" s="730">
        <f t="shared" si="25"/>
        <v>1686434.5685543588</v>
      </c>
      <c r="O66" s="730">
        <f t="shared" si="25"/>
        <v>1608198.73521888</v>
      </c>
      <c r="P66" s="730">
        <f t="shared" si="25"/>
        <v>1529962.9018834007</v>
      </c>
      <c r="Q66" s="730">
        <f t="shared" si="25"/>
        <v>1501349.5276454913</v>
      </c>
      <c r="R66" s="731">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29">
        <f t="shared" si="25"/>
        <v>1562141.1336075412</v>
      </c>
      <c r="L67" s="730">
        <f t="shared" si="25"/>
        <v>1591595.5728002738</v>
      </c>
      <c r="M67" s="730">
        <f t="shared" si="25"/>
        <v>1602100.4306893663</v>
      </c>
      <c r="N67" s="730">
        <f t="shared" si="25"/>
        <v>1612605.2885784588</v>
      </c>
      <c r="O67" s="730">
        <f t="shared" si="25"/>
        <v>1624721.9307912919</v>
      </c>
      <c r="P67" s="730">
        <f t="shared" si="25"/>
        <v>1636838.5730041252</v>
      </c>
      <c r="Q67" s="730">
        <f t="shared" si="25"/>
        <v>1650435.1852328968</v>
      </c>
      <c r="R67" s="731">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29">
        <f t="shared" si="25"/>
        <v>1486783.2282106197</v>
      </c>
      <c r="L68" s="730">
        <f t="shared" si="25"/>
        <v>1519091.0625229813</v>
      </c>
      <c r="M68" s="730">
        <f t="shared" si="25"/>
        <v>1527837.0652034522</v>
      </c>
      <c r="N68" s="730">
        <f t="shared" si="25"/>
        <v>1536583.0678839239</v>
      </c>
      <c r="O68" s="730">
        <f t="shared" si="25"/>
        <v>1548848.7797205006</v>
      </c>
      <c r="P68" s="730">
        <f t="shared" si="25"/>
        <v>1561114.491557077</v>
      </c>
      <c r="Q68" s="730">
        <f t="shared" si="25"/>
        <v>1574767.0644580827</v>
      </c>
      <c r="R68" s="731">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24"/>
        <v>Large Rigid Truck</v>
      </c>
      <c r="E69" s="332"/>
      <c r="K69" s="736"/>
      <c r="R69" s="737"/>
      <c r="Z69" s="422"/>
      <c r="AA69" s="422"/>
    </row>
    <row r="70" spans="1:33" ht="15" x14ac:dyDescent="0.2">
      <c r="A70" s="322" t="str">
        <f t="shared" si="24"/>
        <v>Large Rigid Truck</v>
      </c>
      <c r="B70" s="438" t="s">
        <v>832</v>
      </c>
      <c r="C70" s="359" t="s">
        <v>831</v>
      </c>
      <c r="D70" s="358">
        <v>0.08</v>
      </c>
      <c r="E70" s="357"/>
      <c r="K70" s="736"/>
      <c r="R70" s="737"/>
      <c r="Z70" s="422"/>
      <c r="AA70" s="422"/>
      <c r="AB70" s="437" t="s">
        <v>816</v>
      </c>
    </row>
    <row r="71" spans="1:33" ht="15" x14ac:dyDescent="0.2">
      <c r="A71" s="322" t="str">
        <f>B71</f>
        <v>Articulated Truck</v>
      </c>
      <c r="B71" s="436" t="s">
        <v>747</v>
      </c>
      <c r="C71" s="351">
        <v>2010</v>
      </c>
      <c r="D71" s="351">
        <v>2020</v>
      </c>
      <c r="E71" s="354"/>
      <c r="F71" s="351">
        <v>2030</v>
      </c>
      <c r="G71" s="351"/>
      <c r="H71" s="351">
        <v>2040</v>
      </c>
      <c r="I71" s="351"/>
      <c r="J71" s="351">
        <v>2050</v>
      </c>
      <c r="K71" s="734">
        <f>C71</f>
        <v>2010</v>
      </c>
      <c r="L71" s="353">
        <f>D71</f>
        <v>2020</v>
      </c>
      <c r="M71" s="353"/>
      <c r="N71" s="353">
        <f>F71</f>
        <v>2030</v>
      </c>
      <c r="O71" s="353"/>
      <c r="P71" s="353">
        <f>H71</f>
        <v>2040</v>
      </c>
      <c r="Q71" s="353"/>
      <c r="R71" s="735">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7">A71</f>
        <v>Articulated Truck</v>
      </c>
      <c r="B72" s="434" t="s">
        <v>791</v>
      </c>
      <c r="C72" s="433" t="s">
        <v>193</v>
      </c>
      <c r="D72" s="432" t="s">
        <v>193</v>
      </c>
      <c r="E72" s="431"/>
      <c r="F72" s="430" t="s">
        <v>193</v>
      </c>
      <c r="G72" s="430"/>
      <c r="H72" s="429" t="s">
        <v>193</v>
      </c>
      <c r="I72" s="429"/>
      <c r="J72" s="428" t="s">
        <v>193</v>
      </c>
      <c r="K72" s="736" t="s">
        <v>1287</v>
      </c>
      <c r="L72" s="322" t="s">
        <v>1287</v>
      </c>
      <c r="N72" s="322" t="s">
        <v>1287</v>
      </c>
      <c r="P72" s="322" t="s">
        <v>1287</v>
      </c>
      <c r="R72" s="737" t="s">
        <v>1287</v>
      </c>
      <c r="Z72" s="422"/>
      <c r="AA72" s="422"/>
      <c r="AB72" s="427" t="s">
        <v>659</v>
      </c>
      <c r="AC72" s="426" t="s">
        <v>663</v>
      </c>
      <c r="AD72" s="425" t="s">
        <v>663</v>
      </c>
      <c r="AE72" s="425" t="s">
        <v>663</v>
      </c>
      <c r="AF72" s="424" t="s">
        <v>663</v>
      </c>
      <c r="AG72" s="423" t="s">
        <v>663</v>
      </c>
    </row>
    <row r="73" spans="1:33" ht="15" x14ac:dyDescent="0.2">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29">
        <f t="shared" ref="K73:R80" si="28">C73*$B$2*$K$3</f>
        <v>1394803.006015125</v>
      </c>
      <c r="L73" s="730">
        <f t="shared" si="28"/>
        <v>1729683.6457722846</v>
      </c>
      <c r="M73" s="730">
        <f t="shared" si="28"/>
        <v>1774391.33913615</v>
      </c>
      <c r="N73" s="730">
        <f t="shared" si="28"/>
        <v>1819099.0325000153</v>
      </c>
      <c r="O73" s="730">
        <f t="shared" si="28"/>
        <v>1853992.6191889104</v>
      </c>
      <c r="P73" s="730">
        <f t="shared" si="28"/>
        <v>1888886.2058778054</v>
      </c>
      <c r="Q73" s="730">
        <f t="shared" si="28"/>
        <v>1910564.3362565318</v>
      </c>
      <c r="R73" s="731">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29">
        <f t="shared" si="28"/>
        <v>1623656.3943534463</v>
      </c>
      <c r="L74" s="730">
        <f t="shared" si="28"/>
        <v>1881307.4022600672</v>
      </c>
      <c r="M74" s="730">
        <f t="shared" si="28"/>
        <v>1896865.6479296605</v>
      </c>
      <c r="N74" s="730">
        <f t="shared" si="28"/>
        <v>1912423.8935992543</v>
      </c>
      <c r="O74" s="730">
        <f t="shared" si="28"/>
        <v>1933172.1213173277</v>
      </c>
      <c r="P74" s="730">
        <f t="shared" si="28"/>
        <v>1953920.3490354014</v>
      </c>
      <c r="Q74" s="730">
        <f t="shared" si="28"/>
        <v>1966451.5529619923</v>
      </c>
      <c r="R74" s="731">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29">
        <f t="shared" si="28"/>
        <v>1644345.102691914</v>
      </c>
      <c r="L75" s="730">
        <f t="shared" si="28"/>
        <v>1830898.431238617</v>
      </c>
      <c r="M75" s="730">
        <f t="shared" si="28"/>
        <v>1857526.1820196833</v>
      </c>
      <c r="N75" s="730">
        <f t="shared" si="28"/>
        <v>1884153.93280075</v>
      </c>
      <c r="O75" s="730">
        <f t="shared" si="28"/>
        <v>1913327.2564421173</v>
      </c>
      <c r="P75" s="730">
        <f t="shared" si="28"/>
        <v>1942500.5800834852</v>
      </c>
      <c r="Q75" s="730">
        <f t="shared" si="28"/>
        <v>1956760.1309602302</v>
      </c>
      <c r="R75" s="731">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29">
        <f t="shared" si="28"/>
        <v>1783475.1840649548</v>
      </c>
      <c r="L76" s="730">
        <f t="shared" si="28"/>
        <v>1896564.6673059126</v>
      </c>
      <c r="M76" s="730">
        <f t="shared" si="28"/>
        <v>1902507.9210785097</v>
      </c>
      <c r="N76" s="730">
        <f t="shared" si="28"/>
        <v>1908451.1748511069</v>
      </c>
      <c r="O76" s="730">
        <f t="shared" si="28"/>
        <v>1922319.7681714082</v>
      </c>
      <c r="P76" s="730">
        <f t="shared" si="28"/>
        <v>1936188.3614917099</v>
      </c>
      <c r="Q76" s="730">
        <f t="shared" si="28"/>
        <v>1947352.6226984155</v>
      </c>
      <c r="R76" s="731">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7"/>
        <v>Articulated Truck</v>
      </c>
      <c r="B77" s="410" t="s">
        <v>692</v>
      </c>
      <c r="C77" s="421"/>
      <c r="D77" s="420"/>
      <c r="E77" s="419"/>
      <c r="F77" s="418"/>
      <c r="G77" s="418"/>
      <c r="H77" s="417"/>
      <c r="I77" s="417"/>
      <c r="J77" s="416"/>
      <c r="K77" s="729">
        <f t="shared" si="28"/>
        <v>0</v>
      </c>
      <c r="L77" s="730">
        <f t="shared" si="28"/>
        <v>0</v>
      </c>
      <c r="M77" s="730">
        <f t="shared" si="28"/>
        <v>0</v>
      </c>
      <c r="N77" s="730">
        <f t="shared" si="28"/>
        <v>0</v>
      </c>
      <c r="O77" s="730">
        <f t="shared" si="28"/>
        <v>0</v>
      </c>
      <c r="P77" s="730">
        <f t="shared" si="28"/>
        <v>0</v>
      </c>
      <c r="Q77" s="730">
        <f t="shared" si="28"/>
        <v>0</v>
      </c>
      <c r="R77" s="731">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5" x14ac:dyDescent="0.2">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29">
        <f t="shared" si="28"/>
        <v>9333066.2203088477</v>
      </c>
      <c r="L78" s="730">
        <f t="shared" si="28"/>
        <v>3916456.1540345564</v>
      </c>
      <c r="M78" s="730">
        <f t="shared" si="28"/>
        <v>3067405.1292542205</v>
      </c>
      <c r="N78" s="730">
        <f t="shared" si="28"/>
        <v>2218354.1044738842</v>
      </c>
      <c r="O78" s="730">
        <f t="shared" si="28"/>
        <v>2106680.0881784153</v>
      </c>
      <c r="P78" s="730">
        <f t="shared" si="28"/>
        <v>1995006.0718829464</v>
      </c>
      <c r="Q78" s="730">
        <f t="shared" si="28"/>
        <v>1956907.2936069358</v>
      </c>
      <c r="R78" s="731">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29">
        <f t="shared" si="28"/>
        <v>2046079.6933285356</v>
      </c>
      <c r="L79" s="730">
        <f t="shared" si="28"/>
        <v>2108333.6144666532</v>
      </c>
      <c r="M79" s="730">
        <f t="shared" si="28"/>
        <v>2105849.3538714363</v>
      </c>
      <c r="N79" s="730">
        <f t="shared" si="28"/>
        <v>2103365.0932762185</v>
      </c>
      <c r="O79" s="730">
        <f t="shared" si="28"/>
        <v>2118312.1801417214</v>
      </c>
      <c r="P79" s="730">
        <f t="shared" si="28"/>
        <v>2133259.2670072243</v>
      </c>
      <c r="Q79" s="730">
        <f t="shared" si="28"/>
        <v>2142083.1737169772</v>
      </c>
      <c r="R79" s="731">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29">
        <f t="shared" si="28"/>
        <v>1933800.165050887</v>
      </c>
      <c r="L80" s="730">
        <f t="shared" si="28"/>
        <v>2005955.6428487513</v>
      </c>
      <c r="M80" s="730">
        <f t="shared" si="28"/>
        <v>2000166.9362324402</v>
      </c>
      <c r="N80" s="730">
        <f t="shared" si="28"/>
        <v>1994378.2296161293</v>
      </c>
      <c r="O80" s="730">
        <f t="shared" si="28"/>
        <v>2009358.1927547844</v>
      </c>
      <c r="P80" s="730">
        <f t="shared" si="28"/>
        <v>2024338.1558934394</v>
      </c>
      <c r="Q80" s="730">
        <f t="shared" si="28"/>
        <v>2033149.3307904822</v>
      </c>
      <c r="R80" s="731">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7"/>
        <v>Articulated Truck</v>
      </c>
      <c r="E81" s="322"/>
      <c r="K81" s="736"/>
      <c r="R81" s="737"/>
      <c r="T81" s="330"/>
      <c r="U81" s="330"/>
      <c r="V81" s="330"/>
      <c r="W81" s="330"/>
      <c r="X81" s="330"/>
      <c r="Y81" s="330"/>
      <c r="Z81" s="330"/>
    </row>
    <row r="82" spans="1:33" x14ac:dyDescent="0.2">
      <c r="A82" s="322" t="str">
        <f t="shared" si="27"/>
        <v>Articulated Truck</v>
      </c>
      <c r="B82" s="398" t="s">
        <v>832</v>
      </c>
      <c r="C82" s="359" t="s">
        <v>831</v>
      </c>
      <c r="D82" s="358">
        <v>0.08</v>
      </c>
      <c r="E82" s="357"/>
      <c r="K82" s="736"/>
      <c r="R82" s="737"/>
      <c r="AB82" s="356" t="s">
        <v>816</v>
      </c>
    </row>
    <row r="83" spans="1:33" x14ac:dyDescent="0.2">
      <c r="A83" s="322" t="str">
        <f>B83</f>
        <v>Construction Truck</v>
      </c>
      <c r="B83" s="397" t="s">
        <v>733</v>
      </c>
      <c r="C83" s="351">
        <v>2010</v>
      </c>
      <c r="D83" s="351">
        <v>2020</v>
      </c>
      <c r="E83" s="354"/>
      <c r="F83" s="351">
        <v>2030</v>
      </c>
      <c r="G83" s="351"/>
      <c r="H83" s="351">
        <v>2040</v>
      </c>
      <c r="I83" s="351"/>
      <c r="J83" s="351">
        <v>2050</v>
      </c>
      <c r="K83" s="734">
        <f>C83</f>
        <v>2010</v>
      </c>
      <c r="L83" s="353">
        <f>D83</f>
        <v>2020</v>
      </c>
      <c r="M83" s="353"/>
      <c r="N83" s="353">
        <f>F83</f>
        <v>2030</v>
      </c>
      <c r="O83" s="353"/>
      <c r="P83" s="353">
        <f>H83</f>
        <v>2040</v>
      </c>
      <c r="Q83" s="353"/>
      <c r="R83" s="735">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30">A83</f>
        <v>Construction Truck</v>
      </c>
      <c r="B84" s="396" t="s">
        <v>791</v>
      </c>
      <c r="C84" s="395" t="s">
        <v>193</v>
      </c>
      <c r="D84" s="394" t="s">
        <v>193</v>
      </c>
      <c r="E84" s="393"/>
      <c r="F84" s="392" t="s">
        <v>193</v>
      </c>
      <c r="G84" s="392"/>
      <c r="H84" s="391" t="s">
        <v>193</v>
      </c>
      <c r="I84" s="391"/>
      <c r="J84" s="390" t="s">
        <v>193</v>
      </c>
      <c r="K84" s="736" t="s">
        <v>1287</v>
      </c>
      <c r="L84" s="322" t="s">
        <v>1287</v>
      </c>
      <c r="N84" s="322" t="s">
        <v>1287</v>
      </c>
      <c r="P84" s="322" t="s">
        <v>1287</v>
      </c>
      <c r="R84" s="737" t="s">
        <v>1287</v>
      </c>
      <c r="AB84" s="389" t="s">
        <v>659</v>
      </c>
      <c r="AC84" s="388" t="s">
        <v>663</v>
      </c>
      <c r="AD84" s="387" t="s">
        <v>663</v>
      </c>
      <c r="AE84" s="386" t="s">
        <v>663</v>
      </c>
      <c r="AF84" s="385" t="s">
        <v>663</v>
      </c>
      <c r="AG84" s="384" t="s">
        <v>663</v>
      </c>
    </row>
    <row r="85" spans="1:33" ht="15" x14ac:dyDescent="0.2">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29">
        <f t="shared" ref="K85:R92" si="31">C85*$B$2*$K$3</f>
        <v>1137344.8503307651</v>
      </c>
      <c r="L85" s="730">
        <f t="shared" si="31"/>
        <v>1383611.7088645061</v>
      </c>
      <c r="M85" s="730">
        <f t="shared" si="31"/>
        <v>1421742.7272348688</v>
      </c>
      <c r="N85" s="730">
        <f t="shared" si="31"/>
        <v>1459873.7456052315</v>
      </c>
      <c r="O85" s="730">
        <f t="shared" si="31"/>
        <v>1490827.5195919413</v>
      </c>
      <c r="P85" s="730">
        <f t="shared" si="31"/>
        <v>1521781.2935786508</v>
      </c>
      <c r="Q85" s="730">
        <f t="shared" si="31"/>
        <v>1550292.485324691</v>
      </c>
      <c r="R85" s="731">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5" x14ac:dyDescent="0.2">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29">
        <f t="shared" si="31"/>
        <v>1346309.0076455197</v>
      </c>
      <c r="L86" s="730">
        <f t="shared" si="31"/>
        <v>1554634.2240061136</v>
      </c>
      <c r="M86" s="730">
        <f t="shared" si="31"/>
        <v>1564774.0762279797</v>
      </c>
      <c r="N86" s="730">
        <f t="shared" si="31"/>
        <v>1574913.9284498463</v>
      </c>
      <c r="O86" s="730">
        <f t="shared" si="31"/>
        <v>1591873.0744862277</v>
      </c>
      <c r="P86" s="730">
        <f t="shared" si="31"/>
        <v>1608832.2205226088</v>
      </c>
      <c r="Q86" s="730">
        <f t="shared" si="31"/>
        <v>1628335.4060461875</v>
      </c>
      <c r="R86" s="731">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29">
        <f t="shared" si="31"/>
        <v>1342249.3600168284</v>
      </c>
      <c r="L87" s="730">
        <f t="shared" si="31"/>
        <v>1491260.0402134496</v>
      </c>
      <c r="M87" s="730">
        <f t="shared" si="31"/>
        <v>1513798.9961644816</v>
      </c>
      <c r="N87" s="730">
        <f t="shared" si="31"/>
        <v>1536337.9521155139</v>
      </c>
      <c r="O87" s="730">
        <f t="shared" si="31"/>
        <v>1582717.2948413345</v>
      </c>
      <c r="P87" s="730">
        <f t="shared" si="31"/>
        <v>1629096.6375671551</v>
      </c>
      <c r="Q87" s="730">
        <f t="shared" si="31"/>
        <v>1680935.4116440627</v>
      </c>
      <c r="R87" s="731">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29">
        <f t="shared" si="31"/>
        <v>1413868.2874237234</v>
      </c>
      <c r="L88" s="730">
        <f t="shared" si="31"/>
        <v>1502505.4928576599</v>
      </c>
      <c r="M88" s="730">
        <f t="shared" si="31"/>
        <v>1511523.7795690347</v>
      </c>
      <c r="N88" s="730">
        <f t="shared" si="31"/>
        <v>1520542.066280409</v>
      </c>
      <c r="O88" s="730">
        <f t="shared" si="31"/>
        <v>1555267.1003705533</v>
      </c>
      <c r="P88" s="730">
        <f t="shared" si="31"/>
        <v>1589992.1344606976</v>
      </c>
      <c r="Q88" s="730">
        <f t="shared" si="31"/>
        <v>1635802.1933410501</v>
      </c>
      <c r="R88" s="731">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30"/>
        <v>Construction Truck</v>
      </c>
      <c r="B89" s="372" t="s">
        <v>692</v>
      </c>
      <c r="C89" s="383"/>
      <c r="D89" s="382"/>
      <c r="E89" s="381"/>
      <c r="F89" s="380"/>
      <c r="G89" s="380"/>
      <c r="H89" s="379"/>
      <c r="I89" s="379"/>
      <c r="J89" s="378"/>
      <c r="K89" s="729">
        <f t="shared" si="31"/>
        <v>0</v>
      </c>
      <c r="L89" s="730">
        <f t="shared" si="31"/>
        <v>0</v>
      </c>
      <c r="M89" s="730">
        <f t="shared" si="31"/>
        <v>0</v>
      </c>
      <c r="N89" s="730">
        <f t="shared" si="31"/>
        <v>0</v>
      </c>
      <c r="O89" s="730">
        <f t="shared" si="31"/>
        <v>0</v>
      </c>
      <c r="P89" s="730">
        <f t="shared" si="31"/>
        <v>0</v>
      </c>
      <c r="Q89" s="730">
        <f t="shared" si="31"/>
        <v>0</v>
      </c>
      <c r="R89" s="731">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5" x14ac:dyDescent="0.2">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29">
        <f t="shared" si="31"/>
        <v>6360106.1214327365</v>
      </c>
      <c r="L90" s="730">
        <f t="shared" si="31"/>
        <v>2830881.8939991225</v>
      </c>
      <c r="M90" s="730">
        <f t="shared" si="31"/>
        <v>2272344.3366048341</v>
      </c>
      <c r="N90" s="730">
        <f t="shared" si="31"/>
        <v>1713806.7792105449</v>
      </c>
      <c r="O90" s="730">
        <f t="shared" si="31"/>
        <v>1666904.5825543196</v>
      </c>
      <c r="P90" s="730">
        <f t="shared" si="31"/>
        <v>1620002.3858980946</v>
      </c>
      <c r="Q90" s="730">
        <f t="shared" si="31"/>
        <v>1632911.0815388313</v>
      </c>
      <c r="R90" s="731">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29">
        <f t="shared" si="31"/>
        <v>1695854.156363609</v>
      </c>
      <c r="L91" s="730">
        <f t="shared" si="31"/>
        <v>1732356.5987769766</v>
      </c>
      <c r="M91" s="730">
        <f t="shared" si="31"/>
        <v>1736897.2929585287</v>
      </c>
      <c r="N91" s="730">
        <f t="shared" si="31"/>
        <v>1741437.9871400804</v>
      </c>
      <c r="O91" s="730">
        <f t="shared" si="31"/>
        <v>1754044.2259131225</v>
      </c>
      <c r="P91" s="730">
        <f t="shared" si="31"/>
        <v>1766650.4646861646</v>
      </c>
      <c r="Q91" s="730">
        <f t="shared" si="31"/>
        <v>1783125.9660776728</v>
      </c>
      <c r="R91" s="731">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29">
        <f t="shared" si="31"/>
        <v>1624779.2570494437</v>
      </c>
      <c r="L92" s="730">
        <f t="shared" si="31"/>
        <v>1664860.6987788989</v>
      </c>
      <c r="M92" s="730">
        <f t="shared" si="31"/>
        <v>1668630.0219125191</v>
      </c>
      <c r="N92" s="730">
        <f t="shared" si="31"/>
        <v>1672399.3450461391</v>
      </c>
      <c r="O92" s="730">
        <f t="shared" si="31"/>
        <v>1685256.2227432285</v>
      </c>
      <c r="P92" s="730">
        <f t="shared" si="31"/>
        <v>1698113.1004403182</v>
      </c>
      <c r="Q92" s="730">
        <f t="shared" si="31"/>
        <v>1714703.5720855389</v>
      </c>
      <c r="R92" s="731">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30"/>
        <v>Construction Truck</v>
      </c>
      <c r="K93" s="736"/>
      <c r="R93" s="737"/>
    </row>
    <row r="94" spans="1:33" x14ac:dyDescent="0.2">
      <c r="A94" s="322" t="str">
        <f t="shared" si="30"/>
        <v>Construction Truck</v>
      </c>
      <c r="B94" s="360" t="s">
        <v>832</v>
      </c>
      <c r="C94" s="359" t="s">
        <v>831</v>
      </c>
      <c r="D94" s="358">
        <v>0.08</v>
      </c>
      <c r="E94" s="357"/>
      <c r="K94" s="736"/>
      <c r="R94" s="737"/>
      <c r="AB94" s="356" t="s">
        <v>816</v>
      </c>
    </row>
    <row r="95" spans="1:33" x14ac:dyDescent="0.2">
      <c r="A95" s="322" t="str">
        <f>B95</f>
        <v>Bus</v>
      </c>
      <c r="B95" s="355" t="s">
        <v>60</v>
      </c>
      <c r="C95" s="351">
        <v>2010</v>
      </c>
      <c r="D95" s="351">
        <v>2020</v>
      </c>
      <c r="E95" s="354"/>
      <c r="F95" s="351">
        <v>2030</v>
      </c>
      <c r="G95" s="351"/>
      <c r="H95" s="351">
        <v>2040</v>
      </c>
      <c r="I95" s="351"/>
      <c r="J95" s="351">
        <v>2050</v>
      </c>
      <c r="K95" s="734">
        <f>C95</f>
        <v>2010</v>
      </c>
      <c r="L95" s="353">
        <f>D95</f>
        <v>2020</v>
      </c>
      <c r="M95" s="353"/>
      <c r="N95" s="353">
        <f>F95</f>
        <v>2030</v>
      </c>
      <c r="O95" s="353"/>
      <c r="P95" s="353">
        <f>H95</f>
        <v>2040</v>
      </c>
      <c r="Q95" s="353"/>
      <c r="R95" s="735">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33">A95</f>
        <v>Bus</v>
      </c>
      <c r="B96" s="350" t="s">
        <v>791</v>
      </c>
      <c r="C96" s="349" t="s">
        <v>193</v>
      </c>
      <c r="D96" s="348" t="s">
        <v>193</v>
      </c>
      <c r="E96" s="347"/>
      <c r="F96" s="346" t="s">
        <v>193</v>
      </c>
      <c r="G96" s="346"/>
      <c r="H96" s="345" t="s">
        <v>193</v>
      </c>
      <c r="I96" s="345"/>
      <c r="J96" s="344" t="s">
        <v>193</v>
      </c>
      <c r="K96" s="736" t="s">
        <v>1287</v>
      </c>
      <c r="L96" s="322" t="s">
        <v>1287</v>
      </c>
      <c r="N96" s="322" t="s">
        <v>1287</v>
      </c>
      <c r="P96" s="322" t="s">
        <v>1287</v>
      </c>
      <c r="R96" s="737" t="s">
        <v>1287</v>
      </c>
      <c r="AB96" s="343" t="s">
        <v>659</v>
      </c>
      <c r="AC96" s="342" t="s">
        <v>663</v>
      </c>
      <c r="AD96" s="341" t="s">
        <v>663</v>
      </c>
      <c r="AE96" s="340" t="s">
        <v>663</v>
      </c>
      <c r="AF96" s="339" t="s">
        <v>663</v>
      </c>
      <c r="AG96" s="338" t="s">
        <v>663</v>
      </c>
    </row>
    <row r="97" spans="1:33" ht="15" x14ac:dyDescent="0.2">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29">
        <f t="shared" ref="K97:R104" si="37">C97*$B$2*$K$3</f>
        <v>2374350.3925985522</v>
      </c>
      <c r="L97" s="730">
        <f t="shared" si="37"/>
        <v>2567125.8296431107</v>
      </c>
      <c r="M97" s="730">
        <f t="shared" si="37"/>
        <v>2615057.9469287945</v>
      </c>
      <c r="N97" s="730">
        <f t="shared" si="37"/>
        <v>2662990.0642144778</v>
      </c>
      <c r="O97" s="730">
        <f t="shared" si="37"/>
        <v>2693807.5488051251</v>
      </c>
      <c r="P97" s="730">
        <f t="shared" si="37"/>
        <v>2724625.0333957719</v>
      </c>
      <c r="Q97" s="730">
        <f t="shared" si="37"/>
        <v>2759805.6112657399</v>
      </c>
      <c r="R97" s="731">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5" x14ac:dyDescent="0.2">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29">
        <f t="shared" si="37"/>
        <v>2560421.0522702299</v>
      </c>
      <c r="L98" s="730">
        <f t="shared" si="37"/>
        <v>2720742.9699179786</v>
      </c>
      <c r="M98" s="730">
        <f t="shared" si="37"/>
        <v>2745447.8014628761</v>
      </c>
      <c r="N98" s="730">
        <f t="shared" si="37"/>
        <v>2770152.6330077737</v>
      </c>
      <c r="O98" s="730">
        <f t="shared" si="37"/>
        <v>2789432.1408442678</v>
      </c>
      <c r="P98" s="730">
        <f t="shared" si="37"/>
        <v>2808711.648680761</v>
      </c>
      <c r="Q98" s="730">
        <f t="shared" si="37"/>
        <v>2836383.7094969568</v>
      </c>
      <c r="R98" s="731">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29">
        <f t="shared" si="37"/>
        <v>2575439.5481723119</v>
      </c>
      <c r="L99" s="730">
        <f t="shared" si="37"/>
        <v>2670939.3077800749</v>
      </c>
      <c r="M99" s="730">
        <f t="shared" si="37"/>
        <v>2701135.5750137344</v>
      </c>
      <c r="N99" s="730">
        <f t="shared" si="37"/>
        <v>2731331.8422473934</v>
      </c>
      <c r="O99" s="730">
        <f t="shared" si="37"/>
        <v>2753508.3296443988</v>
      </c>
      <c r="P99" s="730">
        <f t="shared" si="37"/>
        <v>2775684.8170414036</v>
      </c>
      <c r="Q99" s="730">
        <f t="shared" si="37"/>
        <v>2805241.7779716766</v>
      </c>
      <c r="R99" s="731">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29">
        <f t="shared" si="37"/>
        <v>2641461.6254828833</v>
      </c>
      <c r="L100" s="730">
        <f t="shared" si="37"/>
        <v>2710157.9792400058</v>
      </c>
      <c r="M100" s="730">
        <f t="shared" si="37"/>
        <v>2720247.4357094248</v>
      </c>
      <c r="N100" s="730">
        <f t="shared" si="37"/>
        <v>2730336.8921788437</v>
      </c>
      <c r="O100" s="730">
        <f t="shared" si="37"/>
        <v>2741428.0124211079</v>
      </c>
      <c r="P100" s="730">
        <f t="shared" si="37"/>
        <v>2752519.1326633729</v>
      </c>
      <c r="Q100" s="730">
        <f t="shared" si="37"/>
        <v>2775952.6087589604</v>
      </c>
      <c r="R100" s="731">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29">
        <f t="shared" si="37"/>
        <v>4768239.6435325667</v>
      </c>
      <c r="L101" s="730">
        <f t="shared" si="37"/>
        <v>3635729.2317425008</v>
      </c>
      <c r="M101" s="730">
        <f t="shared" si="37"/>
        <v>3447769.0113726826</v>
      </c>
      <c r="N101" s="730">
        <f t="shared" si="37"/>
        <v>3259808.7910028636</v>
      </c>
      <c r="O101" s="730">
        <f t="shared" si="37"/>
        <v>3281975.7365715932</v>
      </c>
      <c r="P101" s="730">
        <f t="shared" si="37"/>
        <v>3304142.6821403229</v>
      </c>
      <c r="Q101" s="730">
        <f t="shared" si="37"/>
        <v>3325180.0884120665</v>
      </c>
      <c r="R101" s="731">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29">
        <f t="shared" si="37"/>
        <v>6296317.3270356311</v>
      </c>
      <c r="L102" s="730">
        <f t="shared" si="37"/>
        <v>3689559.6792311268</v>
      </c>
      <c r="M102" s="730">
        <f t="shared" si="37"/>
        <v>3288765.9792292048</v>
      </c>
      <c r="N102" s="730">
        <f t="shared" si="37"/>
        <v>2887972.2792272815</v>
      </c>
      <c r="O102" s="730">
        <f t="shared" si="37"/>
        <v>2842515.1832835502</v>
      </c>
      <c r="P102" s="730">
        <f t="shared" si="37"/>
        <v>2797058.087339818</v>
      </c>
      <c r="Q102" s="730">
        <f t="shared" si="37"/>
        <v>2791553.3982090442</v>
      </c>
      <c r="R102" s="731">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29">
        <f t="shared" si="37"/>
        <v>2695816.9798145522</v>
      </c>
      <c r="L103" s="730">
        <f t="shared" si="37"/>
        <v>2769263.9792806837</v>
      </c>
      <c r="M103" s="730">
        <f t="shared" si="37"/>
        <v>2798446.5773164597</v>
      </c>
      <c r="N103" s="730">
        <f t="shared" si="37"/>
        <v>2827629.1753522358</v>
      </c>
      <c r="O103" s="730">
        <f t="shared" si="37"/>
        <v>2850356.1751044323</v>
      </c>
      <c r="P103" s="730">
        <f t="shared" si="37"/>
        <v>2873083.1748566288</v>
      </c>
      <c r="Q103" s="730">
        <f t="shared" si="37"/>
        <v>2902681.9370413837</v>
      </c>
      <c r="R103" s="731">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29">
        <f t="shared" si="37"/>
        <v>2642700.4378444701</v>
      </c>
      <c r="L104" s="730">
        <f t="shared" si="37"/>
        <v>2721902.5560658015</v>
      </c>
      <c r="M104" s="730">
        <f t="shared" si="37"/>
        <v>2750502.7102799211</v>
      </c>
      <c r="N104" s="730">
        <f t="shared" si="37"/>
        <v>2779102.8644940415</v>
      </c>
      <c r="O104" s="730">
        <f t="shared" si="37"/>
        <v>2802275.2782397773</v>
      </c>
      <c r="P104" s="730">
        <f t="shared" si="37"/>
        <v>2825447.6919855122</v>
      </c>
      <c r="Q104" s="730">
        <f t="shared" si="37"/>
        <v>2855254.6164271832</v>
      </c>
      <c r="R104" s="731">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25">
      <c r="K105" s="736"/>
      <c r="R105" s="737"/>
    </row>
    <row r="106" spans="1:33" ht="13.5" thickBot="1" x14ac:dyDescent="0.3">
      <c r="K106" s="740"/>
      <c r="L106" s="741"/>
      <c r="M106" s="741"/>
      <c r="N106" s="741"/>
      <c r="O106" s="741"/>
      <c r="P106" s="741"/>
      <c r="Q106" s="741"/>
      <c r="R106" s="742"/>
    </row>
  </sheetData>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tabColor theme="1" tint="0.14999847407452621"/>
  </sheetPr>
  <dimension ref="A5:Y106"/>
  <sheetViews>
    <sheetView workbookViewId="0"/>
  </sheetViews>
  <sheetFormatPr defaultColWidth="9.140625" defaultRowHeight="15" x14ac:dyDescent="0.25"/>
  <cols>
    <col min="1" max="1" width="41.5703125" style="522" customWidth="1"/>
    <col min="2" max="2" width="12" style="522" bestFit="1" customWidth="1"/>
    <col min="3" max="3" width="9.140625" style="522"/>
    <col min="4" max="4" width="13.42578125" style="522" bestFit="1" customWidth="1"/>
    <col min="5" max="5" width="13.85546875" style="522" customWidth="1"/>
    <col min="6" max="11" width="9.140625" style="522"/>
    <col min="12" max="12" width="3.85546875" style="523" customWidth="1"/>
    <col min="13" max="13" width="10" style="524" customWidth="1"/>
    <col min="14" max="14" width="23.5703125" style="524" customWidth="1"/>
    <col min="15" max="23" width="9.140625" style="524"/>
    <col min="24" max="24" width="5.42578125" style="524" customWidth="1"/>
    <col min="25" max="25" width="4.42578125" style="523" customWidth="1"/>
    <col min="26" max="29" width="9.140625" style="522"/>
    <col min="30" max="30" width="8.5703125" style="522" bestFit="1" customWidth="1"/>
    <col min="31" max="31" width="9" style="522" bestFit="1" customWidth="1"/>
    <col min="32" max="16384" width="9.140625" style="522"/>
  </cols>
  <sheetData>
    <row r="5" spans="1:24" ht="18.75" x14ac:dyDescent="0.3">
      <c r="A5" s="533" t="s">
        <v>480</v>
      </c>
      <c r="B5" s="532"/>
      <c r="C5" s="532"/>
      <c r="D5" s="532"/>
      <c r="E5" s="532"/>
      <c r="F5" s="532"/>
      <c r="G5" s="532"/>
      <c r="H5" s="532"/>
      <c r="I5" s="532"/>
      <c r="J5" s="532"/>
      <c r="K5" s="532"/>
      <c r="M5" s="601" t="s">
        <v>993</v>
      </c>
      <c r="N5" s="600"/>
      <c r="O5" s="600"/>
      <c r="P5" s="600"/>
      <c r="Q5" s="600"/>
      <c r="R5" s="600"/>
      <c r="S5" s="600"/>
      <c r="T5" s="600"/>
      <c r="U5" s="600"/>
    </row>
    <row r="7" spans="1:24" ht="15.75" x14ac:dyDescent="0.25">
      <c r="A7" s="599" t="s">
        <v>992</v>
      </c>
      <c r="F7" s="522">
        <f>(1/AVERAGE(F12,F14))/(1/AVERAGE(F16:F17))</f>
        <v>1.7492579635426257</v>
      </c>
    </row>
    <row r="8" spans="1:24" ht="15.75" thickBot="1" x14ac:dyDescent="0.3"/>
    <row r="9" spans="1:24" ht="38.25" x14ac:dyDescent="0.25">
      <c r="A9" s="1014" t="s">
        <v>991</v>
      </c>
      <c r="B9" s="1016" t="s">
        <v>990</v>
      </c>
      <c r="C9" s="1018" t="s">
        <v>941</v>
      </c>
      <c r="D9" s="1018" t="s">
        <v>989</v>
      </c>
      <c r="E9" s="1018" t="s">
        <v>988</v>
      </c>
      <c r="F9" s="1020" t="s">
        <v>987</v>
      </c>
      <c r="G9" s="598" t="s">
        <v>986</v>
      </c>
      <c r="H9" s="598" t="s">
        <v>985</v>
      </c>
      <c r="I9" s="597" t="s">
        <v>984</v>
      </c>
      <c r="J9" s="597" t="s">
        <v>983</v>
      </c>
      <c r="M9" s="592" t="s">
        <v>982</v>
      </c>
      <c r="N9" s="592"/>
      <c r="O9" s="592"/>
      <c r="P9" s="592"/>
      <c r="Q9" s="592"/>
      <c r="R9" s="592"/>
      <c r="S9" s="592"/>
      <c r="T9" s="592"/>
      <c r="U9" s="592"/>
      <c r="V9" s="592"/>
      <c r="W9" s="592"/>
      <c r="X9" s="592"/>
    </row>
    <row r="10" spans="1:24" ht="15.75" thickBot="1" x14ac:dyDescent="0.3">
      <c r="A10" s="1015"/>
      <c r="B10" s="1017"/>
      <c r="C10" s="1019"/>
      <c r="D10" s="1019"/>
      <c r="E10" s="1019"/>
      <c r="F10" s="1021"/>
      <c r="G10" s="595" t="s">
        <v>981</v>
      </c>
      <c r="H10" s="595" t="s">
        <v>981</v>
      </c>
      <c r="I10" s="596"/>
      <c r="J10" s="596"/>
      <c r="M10" s="592" t="s">
        <v>980</v>
      </c>
      <c r="N10" s="592"/>
      <c r="O10" s="592"/>
      <c r="P10" s="592"/>
      <c r="Q10" s="592"/>
      <c r="R10" s="592"/>
      <c r="S10" s="592"/>
      <c r="T10" s="592"/>
      <c r="U10" s="592"/>
      <c r="V10" s="592"/>
      <c r="W10" s="592"/>
      <c r="X10" s="592"/>
    </row>
    <row r="11" spans="1:24" ht="28.5" thickBot="1" x14ac:dyDescent="0.3">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75" thickBot="1" x14ac:dyDescent="0.3">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 thickBot="1" x14ac:dyDescent="0.3">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75" thickBot="1" x14ac:dyDescent="0.3">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 thickBot="1" x14ac:dyDescent="0.3">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25" thickBot="1" x14ac:dyDescent="0.3">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75" thickBot="1" x14ac:dyDescent="0.3">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 thickBot="1" x14ac:dyDescent="0.3">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25" thickBot="1" x14ac:dyDescent="0.3">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 thickBot="1" x14ac:dyDescent="0.3">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25" thickBot="1" x14ac:dyDescent="0.3">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25" thickBot="1" x14ac:dyDescent="0.3">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 thickBot="1" x14ac:dyDescent="0.3">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25" thickBot="1" x14ac:dyDescent="0.3">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25" thickBot="1" x14ac:dyDescent="0.3">
      <c r="A25" s="582" t="s">
        <v>951</v>
      </c>
      <c r="B25" s="581" t="s">
        <v>948</v>
      </c>
      <c r="C25" s="580">
        <v>619</v>
      </c>
      <c r="D25" s="580" t="s">
        <v>950</v>
      </c>
      <c r="E25" s="580"/>
      <c r="F25" s="580">
        <v>11.2</v>
      </c>
      <c r="G25" s="580">
        <v>13.3</v>
      </c>
      <c r="H25" s="580">
        <v>9.1999999999999993</v>
      </c>
      <c r="I25" s="580">
        <v>0.44</v>
      </c>
      <c r="J25" s="580">
        <v>0.32</v>
      </c>
    </row>
    <row r="26" spans="1:24" ht="26.25" thickBot="1" x14ac:dyDescent="0.3">
      <c r="A26" s="582" t="s">
        <v>949</v>
      </c>
      <c r="B26" s="581" t="s">
        <v>948</v>
      </c>
      <c r="C26" s="580">
        <v>365</v>
      </c>
      <c r="D26" s="580" t="s">
        <v>947</v>
      </c>
      <c r="E26" s="580"/>
      <c r="F26" s="580">
        <v>15.2</v>
      </c>
      <c r="G26" s="580">
        <v>17.7</v>
      </c>
      <c r="H26" s="580">
        <v>11.9</v>
      </c>
      <c r="I26" s="580">
        <v>0.5</v>
      </c>
      <c r="J26" s="580">
        <v>0.79</v>
      </c>
    </row>
    <row r="27" spans="1:24" ht="25.5" x14ac:dyDescent="0.25">
      <c r="A27" s="579" t="s">
        <v>946</v>
      </c>
      <c r="M27" s="545" t="s">
        <v>945</v>
      </c>
      <c r="N27" s="545"/>
      <c r="O27" s="545"/>
      <c r="P27" s="545"/>
      <c r="Q27" s="545"/>
      <c r="R27" s="545"/>
      <c r="S27" s="545"/>
      <c r="T27" s="545"/>
      <c r="U27" s="545"/>
      <c r="V27" s="545"/>
      <c r="W27" s="545"/>
      <c r="X27" s="545"/>
    </row>
    <row r="28" spans="1:24" x14ac:dyDescent="0.25">
      <c r="M28" s="545" t="s">
        <v>944</v>
      </c>
      <c r="N28" s="545"/>
      <c r="O28" s="545"/>
      <c r="P28" s="545"/>
      <c r="Q28" s="545"/>
      <c r="R28" s="545"/>
      <c r="S28" s="545"/>
      <c r="T28" s="545"/>
      <c r="U28" s="545"/>
      <c r="V28" s="545"/>
      <c r="W28" s="545"/>
      <c r="X28" s="545"/>
    </row>
    <row r="29" spans="1:24" ht="15.75" thickBot="1" x14ac:dyDescent="0.3">
      <c r="M29" s="578" t="s">
        <v>943</v>
      </c>
      <c r="N29" s="577"/>
      <c r="O29" s="577"/>
      <c r="P29" s="577"/>
      <c r="Q29" s="577"/>
      <c r="R29" s="577"/>
      <c r="S29" s="577"/>
      <c r="T29" s="577"/>
      <c r="U29" s="577"/>
      <c r="V29" s="577"/>
      <c r="W29" s="576"/>
    </row>
    <row r="30" spans="1:24" ht="30.75" thickBot="1" x14ac:dyDescent="0.3">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75" thickBot="1" x14ac:dyDescent="0.3">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75" thickBot="1" x14ac:dyDescent="0.3">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75" thickBot="1" x14ac:dyDescent="0.3">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75" thickBot="1" x14ac:dyDescent="0.3">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75" thickBot="1" x14ac:dyDescent="0.3">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75" thickBot="1" x14ac:dyDescent="0.3">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25">
      <c r="M37" s="566">
        <v>2030</v>
      </c>
      <c r="N37" s="564">
        <v>0.45</v>
      </c>
      <c r="O37" s="564">
        <v>0.54</v>
      </c>
      <c r="P37" s="565">
        <v>0.8</v>
      </c>
      <c r="Q37" s="564">
        <v>0.85</v>
      </c>
      <c r="R37" s="564">
        <v>1.1599999999999999</v>
      </c>
      <c r="S37" s="564">
        <v>1.22</v>
      </c>
      <c r="T37" s="564">
        <v>0.91</v>
      </c>
      <c r="U37" s="564">
        <v>1.01</v>
      </c>
      <c r="V37" s="564">
        <v>1.32</v>
      </c>
      <c r="W37" s="564">
        <v>1.75</v>
      </c>
    </row>
    <row r="38" spans="1:25" x14ac:dyDescent="0.25">
      <c r="M38" s="566">
        <v>2035</v>
      </c>
      <c r="N38" s="564">
        <v>0.46</v>
      </c>
      <c r="O38" s="564">
        <v>0.55000000000000004</v>
      </c>
      <c r="P38" s="565">
        <v>0.82</v>
      </c>
      <c r="Q38" s="564">
        <v>0.87</v>
      </c>
      <c r="R38" s="564">
        <v>1.18</v>
      </c>
      <c r="S38" s="564">
        <v>1.25</v>
      </c>
      <c r="T38" s="564">
        <v>0.94</v>
      </c>
      <c r="U38" s="564">
        <v>1.05</v>
      </c>
      <c r="V38" s="564">
        <v>1.36</v>
      </c>
      <c r="W38" s="564">
        <v>1.79</v>
      </c>
    </row>
    <row r="39" spans="1:25" x14ac:dyDescent="0.2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2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2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2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2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25">
      <c r="A44" s="527" t="s">
        <v>857</v>
      </c>
      <c r="B44" s="560">
        <v>3.57</v>
      </c>
      <c r="C44" s="560">
        <v>3.57</v>
      </c>
      <c r="D44" s="560">
        <v>3.57</v>
      </c>
      <c r="E44" s="560">
        <v>3.57</v>
      </c>
      <c r="F44" s="560">
        <v>3.57</v>
      </c>
      <c r="G44" s="522" t="s">
        <v>918</v>
      </c>
    </row>
    <row r="45" spans="1:25" x14ac:dyDescent="0.2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1" x14ac:dyDescent="0.25">
      <c r="M46" s="558" t="s">
        <v>916</v>
      </c>
      <c r="N46" s="558"/>
      <c r="O46" s="558"/>
      <c r="P46" s="558"/>
      <c r="Q46" s="558"/>
      <c r="R46" s="558"/>
      <c r="S46" s="558"/>
      <c r="T46" s="558"/>
      <c r="U46" s="558"/>
      <c r="V46" s="558"/>
      <c r="W46" s="558"/>
      <c r="X46" s="558"/>
      <c r="Y46" s="557"/>
    </row>
    <row r="47" spans="1:25" ht="25.5" x14ac:dyDescent="0.2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2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2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2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2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25">
      <c r="M52" s="547">
        <v>2020</v>
      </c>
      <c r="N52" s="546">
        <v>84</v>
      </c>
      <c r="O52" s="546">
        <v>86</v>
      </c>
      <c r="P52" s="546">
        <v>86</v>
      </c>
      <c r="Q52" s="546">
        <v>87</v>
      </c>
      <c r="R52" s="546">
        <v>94</v>
      </c>
      <c r="S52" s="546">
        <v>87</v>
      </c>
      <c r="T52" s="546">
        <v>95</v>
      </c>
      <c r="U52" s="546">
        <v>94</v>
      </c>
      <c r="V52" s="546">
        <v>97</v>
      </c>
      <c r="W52" s="546">
        <v>95</v>
      </c>
    </row>
    <row r="53" spans="1:23" x14ac:dyDescent="0.25">
      <c r="M53" s="547">
        <v>2025</v>
      </c>
      <c r="N53" s="546">
        <v>84</v>
      </c>
      <c r="O53" s="546">
        <v>86</v>
      </c>
      <c r="P53" s="546">
        <v>86</v>
      </c>
      <c r="Q53" s="546">
        <v>87</v>
      </c>
      <c r="R53" s="546">
        <v>93</v>
      </c>
      <c r="S53" s="546">
        <v>86</v>
      </c>
      <c r="T53" s="546">
        <v>93</v>
      </c>
      <c r="U53" s="546">
        <v>92</v>
      </c>
      <c r="V53" s="546">
        <v>95</v>
      </c>
      <c r="W53" s="546">
        <v>93</v>
      </c>
    </row>
    <row r="54" spans="1:23" x14ac:dyDescent="0.25">
      <c r="M54" s="547">
        <v>2030</v>
      </c>
      <c r="N54" s="546">
        <v>85</v>
      </c>
      <c r="O54" s="546">
        <v>87</v>
      </c>
      <c r="P54" s="546">
        <v>86</v>
      </c>
      <c r="Q54" s="546">
        <v>88</v>
      </c>
      <c r="R54" s="546">
        <v>93</v>
      </c>
      <c r="S54" s="546">
        <v>86</v>
      </c>
      <c r="T54" s="546">
        <v>91</v>
      </c>
      <c r="U54" s="546">
        <v>90</v>
      </c>
      <c r="V54" s="546">
        <v>92</v>
      </c>
      <c r="W54" s="546">
        <v>91</v>
      </c>
    </row>
    <row r="55" spans="1:23" x14ac:dyDescent="0.25">
      <c r="M55" s="547">
        <v>2035</v>
      </c>
      <c r="N55" s="546">
        <v>85</v>
      </c>
      <c r="O55" s="546">
        <v>87</v>
      </c>
      <c r="P55" s="546">
        <v>86</v>
      </c>
      <c r="Q55" s="546">
        <v>87</v>
      </c>
      <c r="R55" s="546">
        <v>92</v>
      </c>
      <c r="S55" s="546">
        <v>85</v>
      </c>
      <c r="T55" s="546">
        <v>89</v>
      </c>
      <c r="U55" s="546">
        <v>88</v>
      </c>
      <c r="V55" s="546">
        <v>90</v>
      </c>
      <c r="W55" s="546">
        <v>89</v>
      </c>
    </row>
    <row r="56" spans="1:23" x14ac:dyDescent="0.25">
      <c r="M56" s="547">
        <v>2040</v>
      </c>
      <c r="N56" s="546">
        <v>85</v>
      </c>
      <c r="O56" s="546">
        <v>87</v>
      </c>
      <c r="P56" s="546">
        <v>86</v>
      </c>
      <c r="Q56" s="546">
        <v>87</v>
      </c>
      <c r="R56" s="546">
        <v>91</v>
      </c>
      <c r="S56" s="546">
        <v>84</v>
      </c>
      <c r="T56" s="546">
        <v>87</v>
      </c>
      <c r="U56" s="546">
        <v>86</v>
      </c>
      <c r="V56" s="546">
        <v>88</v>
      </c>
      <c r="W56" s="546">
        <v>87</v>
      </c>
    </row>
    <row r="57" spans="1:23" x14ac:dyDescent="0.25">
      <c r="M57" s="547">
        <v>2045</v>
      </c>
      <c r="N57" s="546">
        <v>85</v>
      </c>
      <c r="O57" s="546">
        <v>87</v>
      </c>
      <c r="P57" s="546">
        <v>85</v>
      </c>
      <c r="Q57" s="546">
        <v>87</v>
      </c>
      <c r="R57" s="546">
        <v>91</v>
      </c>
      <c r="S57" s="546">
        <v>84</v>
      </c>
      <c r="T57" s="546">
        <v>84</v>
      </c>
      <c r="U57" s="546">
        <v>84</v>
      </c>
      <c r="V57" s="546">
        <v>86</v>
      </c>
      <c r="W57" s="546">
        <v>85</v>
      </c>
    </row>
    <row r="58" spans="1:23" x14ac:dyDescent="0.25">
      <c r="M58" s="547">
        <v>2050</v>
      </c>
      <c r="N58" s="546">
        <v>85</v>
      </c>
      <c r="O58" s="546">
        <v>87</v>
      </c>
      <c r="P58" s="546">
        <v>85</v>
      </c>
      <c r="Q58" s="546">
        <v>87</v>
      </c>
      <c r="R58" s="546">
        <v>90</v>
      </c>
      <c r="S58" s="546">
        <v>83</v>
      </c>
      <c r="T58" s="546">
        <v>82</v>
      </c>
      <c r="U58" s="546">
        <v>82</v>
      </c>
      <c r="V58" s="546">
        <v>84</v>
      </c>
      <c r="W58" s="546">
        <v>83</v>
      </c>
    </row>
    <row r="60" spans="1:23" x14ac:dyDescent="0.25">
      <c r="M60" s="524" t="s">
        <v>900</v>
      </c>
    </row>
    <row r="61" spans="1:23" x14ac:dyDescent="0.25">
      <c r="M61" s="524" t="s">
        <v>899</v>
      </c>
    </row>
    <row r="62" spans="1:23" x14ac:dyDescent="0.25">
      <c r="M62" s="524" t="s">
        <v>898</v>
      </c>
    </row>
    <row r="63" spans="1:23" x14ac:dyDescent="0.25">
      <c r="M63" s="524" t="s">
        <v>897</v>
      </c>
    </row>
    <row r="65" spans="1:19" x14ac:dyDescent="0.25">
      <c r="M65" s="545" t="s">
        <v>896</v>
      </c>
      <c r="N65" s="545"/>
      <c r="O65" s="544"/>
      <c r="P65" s="544"/>
      <c r="Q65" s="544"/>
      <c r="R65" s="544"/>
      <c r="S65" s="544"/>
    </row>
    <row r="66" spans="1:19" ht="38.25" x14ac:dyDescent="0.25">
      <c r="M66" s="538" t="s">
        <v>895</v>
      </c>
      <c r="N66" s="538" t="s">
        <v>894</v>
      </c>
      <c r="O66" s="542" t="s">
        <v>893</v>
      </c>
      <c r="P66" s="542" t="s">
        <v>892</v>
      </c>
      <c r="Q66" s="543" t="s">
        <v>891</v>
      </c>
      <c r="R66" s="542" t="s">
        <v>890</v>
      </c>
      <c r="S66" s="542" t="s">
        <v>889</v>
      </c>
    </row>
    <row r="67" spans="1:19" x14ac:dyDescent="0.25">
      <c r="M67" s="537"/>
      <c r="N67" s="537"/>
      <c r="O67" s="541" t="s">
        <v>887</v>
      </c>
      <c r="P67" s="541" t="s">
        <v>887</v>
      </c>
      <c r="Q67" s="541" t="s">
        <v>888</v>
      </c>
      <c r="R67" s="541" t="s">
        <v>887</v>
      </c>
      <c r="S67" s="541" t="s">
        <v>887</v>
      </c>
    </row>
    <row r="68" spans="1:19" ht="25.5" x14ac:dyDescent="0.25">
      <c r="M68" s="537" t="s">
        <v>886</v>
      </c>
      <c r="N68" s="537" t="s">
        <v>885</v>
      </c>
      <c r="O68" s="539">
        <v>78</v>
      </c>
      <c r="P68" s="539">
        <v>0</v>
      </c>
      <c r="Q68" s="539">
        <v>0</v>
      </c>
      <c r="R68" s="539">
        <v>78</v>
      </c>
      <c r="S68" s="539">
        <v>0</v>
      </c>
    </row>
    <row r="69" spans="1:19" ht="25.5" x14ac:dyDescent="0.25">
      <c r="M69" s="537" t="s">
        <v>884</v>
      </c>
      <c r="N69" s="537" t="s">
        <v>883</v>
      </c>
      <c r="O69" s="539">
        <v>74</v>
      </c>
      <c r="P69" s="539">
        <v>0</v>
      </c>
      <c r="Q69" s="539">
        <v>0</v>
      </c>
      <c r="R69" s="539">
        <v>75</v>
      </c>
      <c r="S69" s="539">
        <v>0</v>
      </c>
    </row>
    <row r="70" spans="1:19" x14ac:dyDescent="0.25">
      <c r="M70" s="537" t="s">
        <v>882</v>
      </c>
      <c r="N70" s="537" t="s">
        <v>881</v>
      </c>
      <c r="O70" s="539">
        <v>75</v>
      </c>
      <c r="P70" s="539">
        <v>20</v>
      </c>
      <c r="Q70" s="539">
        <v>1</v>
      </c>
      <c r="R70" s="539">
        <v>55</v>
      </c>
      <c r="S70" s="539">
        <v>0</v>
      </c>
    </row>
    <row r="71" spans="1:19" x14ac:dyDescent="0.25">
      <c r="M71" s="537" t="s">
        <v>880</v>
      </c>
      <c r="N71" s="537" t="s">
        <v>879</v>
      </c>
      <c r="O71" s="539">
        <v>75</v>
      </c>
      <c r="P71" s="539">
        <v>20</v>
      </c>
      <c r="Q71" s="539">
        <v>1</v>
      </c>
      <c r="R71" s="539">
        <v>55</v>
      </c>
      <c r="S71" s="539">
        <v>0</v>
      </c>
    </row>
    <row r="72" spans="1:19" ht="38.25" x14ac:dyDescent="0.25">
      <c r="M72" s="538" t="s">
        <v>878</v>
      </c>
      <c r="N72" s="537" t="s">
        <v>877</v>
      </c>
      <c r="O72" s="536">
        <v>78</v>
      </c>
      <c r="P72" s="536">
        <v>47</v>
      </c>
      <c r="Q72" s="536">
        <v>8</v>
      </c>
      <c r="R72" s="536">
        <v>58</v>
      </c>
      <c r="S72" s="536">
        <v>0</v>
      </c>
    </row>
    <row r="73" spans="1:19" ht="38.25" x14ac:dyDescent="0.25">
      <c r="M73" s="538" t="s">
        <v>876</v>
      </c>
      <c r="N73" s="537" t="s">
        <v>875</v>
      </c>
      <c r="O73" s="536">
        <v>78</v>
      </c>
      <c r="P73" s="536">
        <v>47</v>
      </c>
      <c r="Q73" s="536">
        <v>8</v>
      </c>
      <c r="R73" s="536">
        <v>58</v>
      </c>
      <c r="S73" s="536">
        <v>0</v>
      </c>
    </row>
    <row r="74" spans="1:19" x14ac:dyDescent="0.25">
      <c r="M74" s="537" t="s">
        <v>874</v>
      </c>
      <c r="N74" s="537" t="s">
        <v>873</v>
      </c>
      <c r="O74" s="539">
        <v>75</v>
      </c>
      <c r="P74" s="539">
        <v>75</v>
      </c>
      <c r="Q74" s="539">
        <v>0</v>
      </c>
      <c r="R74" s="539">
        <v>0</v>
      </c>
      <c r="S74" s="539">
        <v>75</v>
      </c>
    </row>
    <row r="75" spans="1:19" ht="38.25" x14ac:dyDescent="0.2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25">
      <c r="M76" s="537" t="s">
        <v>870</v>
      </c>
      <c r="N76" s="537" t="s">
        <v>869</v>
      </c>
      <c r="O76" s="539">
        <v>77</v>
      </c>
      <c r="P76" s="539">
        <v>77</v>
      </c>
      <c r="Q76" s="539">
        <v>8</v>
      </c>
      <c r="R76" s="539">
        <v>0</v>
      </c>
      <c r="S76" s="539">
        <v>51</v>
      </c>
    </row>
    <row r="77" spans="1:19" ht="25.5" x14ac:dyDescent="0.25">
      <c r="A77" s="531" t="s">
        <v>854</v>
      </c>
      <c r="M77" s="538" t="s">
        <v>868</v>
      </c>
      <c r="N77" s="537" t="s">
        <v>867</v>
      </c>
      <c r="O77" s="536">
        <v>75</v>
      </c>
      <c r="P77" s="536">
        <v>75</v>
      </c>
      <c r="Q77" s="540">
        <v>29.7</v>
      </c>
      <c r="R77" s="536">
        <v>0</v>
      </c>
      <c r="S77" s="536">
        <v>0</v>
      </c>
    </row>
    <row r="78" spans="1:19" x14ac:dyDescent="0.2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5.5" x14ac:dyDescent="0.2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2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5.5" x14ac:dyDescent="0.25">
      <c r="M81" s="538" t="s">
        <v>860</v>
      </c>
      <c r="N81" s="537" t="s">
        <v>859</v>
      </c>
      <c r="O81" s="536">
        <v>78</v>
      </c>
      <c r="P81" s="536">
        <v>0</v>
      </c>
      <c r="Q81" s="536">
        <v>0</v>
      </c>
      <c r="R81" s="536">
        <v>78</v>
      </c>
      <c r="S81" s="536">
        <v>0</v>
      </c>
    </row>
    <row r="82" spans="1:19" x14ac:dyDescent="0.25">
      <c r="A82" s="531" t="s">
        <v>853</v>
      </c>
    </row>
    <row r="83" spans="1:19" x14ac:dyDescent="0.25">
      <c r="A83" s="530"/>
      <c r="B83" s="528">
        <v>2006</v>
      </c>
      <c r="C83" s="528">
        <v>2010</v>
      </c>
      <c r="D83" s="528">
        <v>2020</v>
      </c>
      <c r="E83" s="528">
        <v>2030</v>
      </c>
      <c r="F83" s="528">
        <v>2040</v>
      </c>
      <c r="G83" s="528">
        <v>2050</v>
      </c>
    </row>
    <row r="84" spans="1:19" x14ac:dyDescent="0.2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25">
      <c r="B85" s="522" t="s">
        <v>858</v>
      </c>
    </row>
    <row r="86" spans="1:19" x14ac:dyDescent="0.25">
      <c r="A86" s="531" t="s">
        <v>852</v>
      </c>
    </row>
    <row r="87" spans="1:19" x14ac:dyDescent="0.25">
      <c r="A87" s="530"/>
      <c r="B87" s="528">
        <v>2006</v>
      </c>
      <c r="C87" s="529" t="s">
        <v>851</v>
      </c>
      <c r="D87" s="528">
        <v>2020</v>
      </c>
      <c r="E87" s="528">
        <v>2030</v>
      </c>
      <c r="F87" s="528">
        <v>2040</v>
      </c>
      <c r="G87" s="528">
        <v>2050</v>
      </c>
    </row>
    <row r="88" spans="1:19" x14ac:dyDescent="0.25">
      <c r="A88" s="527" t="s">
        <v>857</v>
      </c>
      <c r="B88" s="525" t="e">
        <f>Analytica!AJ66/Analytica!AJ67</f>
        <v>#DIV/0!</v>
      </c>
      <c r="C88" s="526"/>
      <c r="D88" s="525" t="e">
        <f>Analytica!AL66/Analytica!AL67</f>
        <v>#DIV/0!</v>
      </c>
      <c r="E88" s="525" t="e">
        <f>Analytica!AN66/Analytica!AN67</f>
        <v>#DIV/0!</v>
      </c>
      <c r="F88" s="525" t="e">
        <f>Analytica!AP66/Analytica!AP67</f>
        <v>#DIV/0!</v>
      </c>
      <c r="G88" s="525" t="e">
        <f>Analytica!AQ66/Analytica!AQ67</f>
        <v>#DIV/0!</v>
      </c>
    </row>
    <row r="89" spans="1:19" x14ac:dyDescent="0.2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25">
      <c r="A90" s="527" t="s">
        <v>856</v>
      </c>
      <c r="B90" s="526"/>
      <c r="C90" s="525">
        <f>AVERAGE(D18:E18)/AVERAGE(D20:E20)</f>
        <v>1.2082391358955036</v>
      </c>
      <c r="D90" s="526"/>
      <c r="E90" s="526"/>
      <c r="F90" s="526"/>
      <c r="G90" s="526"/>
    </row>
    <row r="93" spans="1:19" ht="18.75" x14ac:dyDescent="0.25">
      <c r="A93" s="533" t="s">
        <v>855</v>
      </c>
      <c r="B93" s="532"/>
      <c r="C93" s="532"/>
      <c r="D93" s="532"/>
      <c r="E93" s="532"/>
      <c r="F93" s="532"/>
      <c r="G93" s="532"/>
      <c r="H93" s="532"/>
      <c r="I93" s="532"/>
    </row>
    <row r="96" spans="1:19" x14ac:dyDescent="0.25">
      <c r="A96" s="531" t="s">
        <v>854</v>
      </c>
    </row>
    <row r="97" spans="1:7" x14ac:dyDescent="0.25">
      <c r="A97" s="530"/>
      <c r="B97" s="528">
        <v>2006</v>
      </c>
      <c r="C97" s="528">
        <v>2010</v>
      </c>
      <c r="D97" s="528">
        <v>2020</v>
      </c>
      <c r="E97" s="528">
        <v>2030</v>
      </c>
      <c r="F97" s="528">
        <v>2040</v>
      </c>
      <c r="G97" s="528">
        <v>2050</v>
      </c>
    </row>
    <row r="98" spans="1:7" x14ac:dyDescent="0.25">
      <c r="A98" s="527" t="s">
        <v>850</v>
      </c>
      <c r="C98" s="526">
        <f>W50/N50</f>
        <v>1.9642857142857142</v>
      </c>
      <c r="D98" s="525">
        <f>W52/N52</f>
        <v>1.1309523809523809</v>
      </c>
      <c r="E98" s="525">
        <f>W54/N54</f>
        <v>1.0705882352941176</v>
      </c>
      <c r="F98" s="525">
        <f>W56/N56</f>
        <v>1.0235294117647058</v>
      </c>
      <c r="G98" s="525">
        <f>W58/N58</f>
        <v>0.97647058823529409</v>
      </c>
    </row>
    <row r="100" spans="1:7" x14ac:dyDescent="0.25">
      <c r="A100" s="531" t="s">
        <v>853</v>
      </c>
    </row>
    <row r="101" spans="1:7" x14ac:dyDescent="0.25">
      <c r="A101" s="530"/>
      <c r="B101" s="528">
        <v>2006</v>
      </c>
      <c r="C101" s="528">
        <v>2010</v>
      </c>
      <c r="D101" s="528">
        <v>2020</v>
      </c>
      <c r="E101" s="528">
        <v>2030</v>
      </c>
      <c r="F101" s="528">
        <v>2040</v>
      </c>
      <c r="G101" s="528">
        <v>2050</v>
      </c>
    </row>
    <row r="102" spans="1:7" x14ac:dyDescent="0.2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25">
      <c r="A104" s="531" t="s">
        <v>852</v>
      </c>
    </row>
    <row r="105" spans="1:7" x14ac:dyDescent="0.25">
      <c r="A105" s="530"/>
      <c r="B105" s="528">
        <v>2006</v>
      </c>
      <c r="C105" s="529" t="s">
        <v>851</v>
      </c>
      <c r="D105" s="528">
        <v>2020</v>
      </c>
      <c r="E105" s="528">
        <v>2030</v>
      </c>
      <c r="F105" s="528">
        <v>2040</v>
      </c>
      <c r="G105" s="528">
        <v>2050</v>
      </c>
    </row>
    <row r="106" spans="1:7" x14ac:dyDescent="0.2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1" tint="0.14999847407452621"/>
  </sheetPr>
  <dimension ref="A1:BA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t="s">
        <v>658</v>
      </c>
      <c r="W15" s="65"/>
      <c r="X15" s="65"/>
      <c r="Y15" s="61">
        <f>AEA2012_ZAR2022!L3</f>
        <v>0</v>
      </c>
      <c r="AD15" s="65" t="s">
        <v>659</v>
      </c>
      <c r="AF15" s="65"/>
      <c r="AL15" s="65" t="s">
        <v>660</v>
      </c>
      <c r="AR15" s="236" t="s">
        <v>661</v>
      </c>
    </row>
    <row r="16" spans="5:44" x14ac:dyDescent="0.2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25">
      <c r="R17" s="65"/>
      <c r="U17" s="65" t="s">
        <v>662</v>
      </c>
      <c r="V17" s="243">
        <v>0</v>
      </c>
      <c r="W17" s="244">
        <v>0</v>
      </c>
      <c r="X17" s="244">
        <v>0</v>
      </c>
      <c r="Y17" s="244">
        <v>1</v>
      </c>
      <c r="Z17" s="244">
        <v>0</v>
      </c>
      <c r="AA17" s="244">
        <v>0</v>
      </c>
      <c r="AB17" s="244">
        <v>0</v>
      </c>
      <c r="AD17" s="245"/>
      <c r="AE17" s="245"/>
      <c r="AF17" s="245"/>
      <c r="AG17" s="245"/>
      <c r="AH17" s="245"/>
    </row>
    <row r="18" spans="5:48" x14ac:dyDescent="0.2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
        <v>682</v>
      </c>
      <c r="AD20" s="67">
        <f>1/INDEX(Analytica!$AA$17:$AE$48,MATCH($AC20,Analytica!$A$17:$A$48,0),MATCH(AD$16,Analytica!$AA$16:$AE$16,0))</f>
        <v>2.802205701073782</v>
      </c>
      <c r="AE20" s="67">
        <f t="array" ref="AE20">IF($W$1,AD20*(1+INDEX(AE$1:AE$2,MATCH($O20,$AA$1:$AA$2,0)))^(AE$16-AD$16),INDEX(AEA2012_ZAR2022!$AC$6:$AG$104,MATCH($T20&amp;$U20,AEA2012_ZAR2022!$A$6:$A$104&amp;AEA2012_ZAR2022!$B$6:$B$104,0),MATCH(AE$16,AEA2012_ZAR2022!$AC$4:$AG$4,0)))</f>
        <v>2.760382430709543</v>
      </c>
      <c r="AF20" s="67">
        <f t="array" ref="AF20">IF($W$1,AE20*(1+INDEX(AF$1:AF$2,MATCH($O20,$AA$1:$AA$2,0)))^(AF$16-AE$16),INDEX(AEA2012_ZAR2022!$AC$6:$AG$104,MATCH($T20&amp;$U20,AEA2012_ZAR2022!$A$6:$A$104&amp;AEA2012_ZAR2022!$B$6:$B$104,0),MATCH(AF$16,AEA2012_ZAR2022!$AC$4:$AG$4,0)))</f>
        <v>2.5602030398136666</v>
      </c>
      <c r="AG20" s="67">
        <f t="array" ref="AG20">IF($W$1,AF20*(1+INDEX(AG$1:AG$2,MATCH($O20,$AA$1:$AA$2,0)))^(AG$16-AF$16),INDEX(AEA2012_ZAR2022!$AC$6:$AG$104,MATCH($T20&amp;$U20,AEA2012_ZAR2022!$A$6:$A$104&amp;AEA2012_ZAR2022!$B$6:$B$104,0),MATCH(AG$16,AEA2012_ZAR2022!$AC$4:$AG$4,0)))</f>
        <v>2.3154017375905322</v>
      </c>
      <c r="AH20" s="67">
        <f t="array" ref="AH20">IF($W$1,AG20*(1+INDEX(AH$1:AH$2,MATCH($O20,$AA$1:$AA$2,0)))^(AH$16-AG$16),INDEX(AEA2012_ZAR2022!$AC$6:$AG$104,MATCH($T20&amp;$U20,AEA2012_ZAR2022!$A$6:$A$104&amp;AEA2012_ZAR2022!$B$6:$B$104,0),MATCH(AH$16,AEA2012_ZAR2022!$AC$4:$AG$4,0)))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IF($W$1,AD21*(1+INDEX(AE$1:AE$2,MATCH($O21,$AA$1:$AA$2,0)))^(AE$16-AD$16),INDEX(AEA2012_ZAR2022!$AC$6:$AG$104,MATCH($T21&amp;$U21,AEA2012_ZAR2022!$A$6:$A$104&amp;AEA2012_ZAR2022!$B$6:$B$104,0),MATCH(AE$16,AEA2012_ZAR2022!$AC$4:$AG$4,0)))</f>
        <v>2.760382430709543</v>
      </c>
      <c r="AF21" s="67">
        <f t="array" ref="AF21">IF($W$1,AE21*(1+INDEX(AF$1:AF$2,MATCH($O21,$AA$1:$AA$2,0)))^(AF$16-AE$16),INDEX(AEA2012_ZAR2022!$AC$6:$AG$104,MATCH($T21&amp;$U21,AEA2012_ZAR2022!$A$6:$A$104&amp;AEA2012_ZAR2022!$B$6:$B$104,0),MATCH(AF$16,AEA2012_ZAR2022!$AC$4:$AG$4,0)))</f>
        <v>2.5602030398136666</v>
      </c>
      <c r="AG21" s="67">
        <f t="array" ref="AG21">IF($W$1,AF21*(1+INDEX(AG$1:AG$2,MATCH($O21,$AA$1:$AA$2,0)))^(AG$16-AF$16),INDEX(AEA2012_ZAR2022!$AC$6:$AG$104,MATCH($T21&amp;$U21,AEA2012_ZAR2022!$A$6:$A$104&amp;AEA2012_ZAR2022!$B$6:$B$104,0),MATCH(AG$16,AEA2012_ZAR2022!$AC$4:$AG$4,0)))</f>
        <v>2.3154017375905322</v>
      </c>
      <c r="AH21" s="67">
        <f t="array" ref="AH21">IF($W$1,AG21*(1+INDEX(AH$1:AH$2,MATCH($O21,$AA$1:$AA$2,0)))^(AH$16-AG$16),INDEX(AEA2012_ZAR2022!$AC$6:$AG$104,MATCH($T21&amp;$U21,AEA2012_ZAR2022!$A$6:$A$104&amp;AEA2012_ZAR2022!$B$6:$B$104,0),MATCH(AH$16,AEA2012_ZAR2022!$AC$4:$AG$4,0)))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7"/>
        <v>CARODS</v>
      </c>
      <c r="AD22" s="67">
        <f>1/INDEX(Analytica!$AA$17:$AE$48,MATCH($AC22,Analytica!$A$17:$A$48,0),MATCH(AD$16,Analytica!$AA$16:$AE$16,0))</f>
        <v>3.0120320555337368</v>
      </c>
      <c r="AE22" s="67">
        <f t="array" ref="AE22">IF($W$1,AD22*(1+INDEX(AE$1:AE$2,MATCH($O22,$AA$1:$AA$2,0)))^(AE$16-AD$16),INDEX(AEA2012_ZAR2022!$AC$6:$AG$104,MATCH($T22&amp;$U22,AEA2012_ZAR2022!$A$6:$A$104&amp;AEA2012_ZAR2022!$B$6:$B$104,0),MATCH(AE$16,AEA2012_ZAR2022!$AC$4:$AG$4,0)))</f>
        <v>2.9670771006008887</v>
      </c>
      <c r="AF22" s="67">
        <f t="array" ref="AF22">IF($W$1,AE22*(1+INDEX(AF$1:AF$2,MATCH($O22,$AA$1:$AA$2,0)))^(AF$16-AE$16),INDEX(AEA2012_ZAR2022!$AC$6:$AG$104,MATCH($T22&amp;$U22,AEA2012_ZAR2022!$A$6:$A$104&amp;AEA2012_ZAR2022!$B$6:$B$104,0),MATCH(AF$16,AEA2012_ZAR2022!$AC$4:$AG$4,0)))</f>
        <v>2.7519084775392222</v>
      </c>
      <c r="AG22" s="67">
        <f t="array" ref="AG22">IF($W$1,AF22*(1+INDEX(AG$1:AG$2,MATCH($O22,$AA$1:$AA$2,0)))^(AG$16-AF$16),INDEX(AEA2012_ZAR2022!$AC$6:$AG$104,MATCH($T22&amp;$U22,AEA2012_ZAR2022!$A$6:$A$104&amp;AEA2012_ZAR2022!$B$6:$B$104,0),MATCH(AG$16,AEA2012_ZAR2022!$AC$4:$AG$4,0)))</f>
        <v>2.4887766991512414</v>
      </c>
      <c r="AH22" s="67">
        <f t="array" ref="AH22">IF($W$1,AG22*(1+INDEX(AH$1:AH$2,MATCH($O22,$AA$1:$AA$2,0)))^(AH$16-AG$16),INDEX(AEA2012_ZAR2022!$AC$6:$AG$104,MATCH($T22&amp;$U22,AEA2012_ZAR2022!$A$6:$A$104&amp;AEA2012_ZAR2022!$B$6:$B$104,0),MATCH(AH$16,AEA2012_ZAR2022!$AC$4:$AG$4,0)))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IF($W$1,AD23*(1+INDEX(AE$1:AE$2,MATCH($O23,$AA$1:$AA$2,0)))^(AE$16-AD$16),INDEX(AEA2012_ZAR2022!$AC$6:$AG$104,MATCH($T23&amp;$U23,AEA2012_ZAR2022!$A$6:$A$104&amp;AEA2012_ZAR2022!$B$6:$B$104,0),MATCH(AE$16,AEA2012_ZAR2022!$AC$4:$AG$4,0)))</f>
        <v>2.1091953319464904</v>
      </c>
      <c r="AF23" s="67">
        <f t="array" ref="AF23">IF($W$1,AE23*(1+INDEX(AF$1:AF$2,MATCH($O23,$AA$1:$AA$2,0)))^(AF$16-AE$16),INDEX(AEA2012_ZAR2022!$AC$6:$AG$104,MATCH($T23&amp;$U23,AEA2012_ZAR2022!$A$6:$A$104&amp;AEA2012_ZAR2022!$B$6:$B$104,0),MATCH(AF$16,AEA2012_ZAR2022!$AC$4:$AG$4,0)))</f>
        <v>1.9562391936475862</v>
      </c>
      <c r="AG23" s="67">
        <f t="array" ref="AG23">IF($W$1,AF23*(1+INDEX(AG$1:AG$2,MATCH($O23,$AA$1:$AA$2,0)))^(AG$16-AF$16),INDEX(AEA2012_ZAR2022!$AC$6:$AG$104,MATCH($T23&amp;$U23,AEA2012_ZAR2022!$A$6:$A$104&amp;AEA2012_ZAR2022!$B$6:$B$104,0),MATCH(AG$16,AEA2012_ZAR2022!$AC$4:$AG$4,0)))</f>
        <v>1.7691876611645543</v>
      </c>
      <c r="AH23" s="67">
        <f t="array" ref="AH23">IF($W$1,AG23*(1+INDEX(AH$1:AH$2,MATCH($O23,$AA$1:$AA$2,0)))^(AH$16-AG$16),INDEX(AEA2012_ZAR2022!$AC$6:$AG$104,MATCH($T23&amp;$U23,AEA2012_ZAR2022!$A$6:$A$104&amp;AEA2012_ZAR2022!$B$6:$B$104,0),MATCH(AH$16,AEA2012_ZAR2022!$AC$4:$AG$4,0)))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IF($W$1,AD24*(1+INDEX(AE$1:AE$2,MATCH($O24,$AA$1:$AA$2,0)))^(AE$16-AD$16),INDEX(AEA2012_ZAR2022!$AC$6:$AG$104,MATCH($T24&amp;$U24,AEA2012_ZAR2022!$A$6:$A$104&amp;AEA2012_ZAR2022!$B$6:$B$104,0),MATCH(AE$16,AEA2012_ZAR2022!$AC$4:$AG$4,0)))</f>
        <v>1.7611503546535743</v>
      </c>
      <c r="AF24" s="67">
        <f t="array" ref="AF24">IF($W$1,AE24*(1+INDEX(AF$1:AF$2,MATCH($O24,$AA$1:$AA$2,0)))^(AF$16-AE$16),INDEX(AEA2012_ZAR2022!$AC$6:$AG$104,MATCH($T24&amp;$U24,AEA2012_ZAR2022!$A$6:$A$104&amp;AEA2012_ZAR2022!$B$6:$B$104,0),MATCH(AF$16,AEA2012_ZAR2022!$AC$4:$AG$4,0)))</f>
        <v>1.633433991388652</v>
      </c>
      <c r="AG24" s="67">
        <f t="array" ref="AG24">IF($W$1,AF24*(1+INDEX(AG$1:AG$2,MATCH($O24,$AA$1:$AA$2,0)))^(AG$16-AF$16),INDEX(AEA2012_ZAR2022!$AC$6:$AG$104,MATCH($T24&amp;$U24,AEA2012_ZAR2022!$A$6:$A$104&amp;AEA2012_ZAR2022!$B$6:$B$104,0),MATCH(AG$16,AEA2012_ZAR2022!$AC$4:$AG$4,0)))</f>
        <v>1.4772484225219824</v>
      </c>
      <c r="AH24" s="67">
        <f t="array" ref="AH24">IF($W$1,AG24*(1+INDEX(AH$1:AH$2,MATCH($O24,$AA$1:$AA$2,0)))^(AH$16-AG$16),INDEX(AEA2012_ZAR2022!$AC$6:$AG$104,MATCH($T24&amp;$U24,AEA2012_ZAR2022!$A$6:$A$104&amp;AEA2012_ZAR2022!$B$6:$B$104,0),MATCH(AH$16,AEA2012_ZAR2022!$AC$4:$AG$4,0)))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IF($W$1,AD25*(1+INDEX(AE$1:AE$2,MATCH($O25,$AA$1:$AA$2,0)))^(AE$16-AD$16),INDEX(AEA2012_ZAR2022!$AC$6:$AG$104,MATCH($T25&amp;$U25,AEA2012_ZAR2022!$A$6:$A$104&amp;AEA2012_ZAR2022!$B$6:$B$104,0),MATCH(AE$16,AEA2012_ZAR2022!$AC$4:$AG$4,0)))</f>
        <v>1.6766742214101411</v>
      </c>
      <c r="AF25" s="67">
        <f t="array" ref="AF25">IF($W$1,AE25*(1+INDEX(AF$1:AF$2,MATCH($O25,$AA$1:$AA$2,0)))^(AF$16-AE$16),INDEX(AEA2012_ZAR2022!$AC$6:$AG$104,MATCH($T25&amp;$U25,AEA2012_ZAR2022!$A$6:$A$104&amp;AEA2012_ZAR2022!$B$6:$B$104,0),MATCH(AF$16,AEA2012_ZAR2022!$AC$4:$AG$4,0)))</f>
        <v>1.5550839589020486</v>
      </c>
      <c r="AG25" s="67">
        <f t="array" ref="AG25">IF($W$1,AF25*(1+INDEX(AG$1:AG$2,MATCH($O25,$AA$1:$AA$2,0)))^(AG$16-AF$16),INDEX(AEA2012_ZAR2022!$AC$6:$AG$104,MATCH($T25&amp;$U25,AEA2012_ZAR2022!$A$6:$A$104&amp;AEA2012_ZAR2022!$B$6:$B$104,0),MATCH(AG$16,AEA2012_ZAR2022!$AC$4:$AG$4,0)))</f>
        <v>1.406390057564741</v>
      </c>
      <c r="AH25" s="67">
        <f t="array" ref="AH25">IF($W$1,AG25*(1+INDEX(AH$1:AH$2,MATCH($O25,$AA$1:$AA$2,0)))^(AH$16-AG$16),INDEX(AEA2012_ZAR2022!$AC$6:$AG$104,MATCH($T25&amp;$U25,AEA2012_ZAR2022!$A$6:$A$104&amp;AEA2012_ZAR2022!$B$6:$B$104,0),MATCH(AH$16,AEA2012_ZAR2022!$AC$4:$AG$4,0)))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IF($W$1,AD26*(1+INDEX(AE$1:AE$2,MATCH($O26,$AA$1:$AA$2,0)))^(AE$16-AD$16),INDEX(AEA2012_ZAR2022!$AC$6:$AG$104,MATCH($T26&amp;$U26,AEA2012_ZAR2022!$A$6:$A$104&amp;AEA2012_ZAR2022!$B$6:$B$104,0),MATCH(AE$16,AEA2012_ZAR2022!$AC$4:$AG$4,0)))</f>
        <v>1.4347778963018374</v>
      </c>
      <c r="AF26" s="67">
        <f t="array" ref="AF26">IF($W$1,AE26*(1+INDEX(AF$1:AF$2,MATCH($O26,$AA$1:$AA$2,0)))^(AF$16-AE$16),INDEX(AEA2012_ZAR2022!$AC$6:$AG$104,MATCH($T26&amp;$U26,AEA2012_ZAR2022!$A$6:$A$104&amp;AEA2012_ZAR2022!$B$6:$B$104,0),MATCH(AF$16,AEA2012_ZAR2022!$AC$4:$AG$4,0)))</f>
        <v>1.3307296448141832</v>
      </c>
      <c r="AG26" s="67">
        <f t="array" ref="AG26">IF($W$1,AF26*(1+INDEX(AG$1:AG$2,MATCH($O26,$AA$1:$AA$2,0)))^(AG$16-AF$16),INDEX(AEA2012_ZAR2022!$AC$6:$AG$104,MATCH($T26&amp;$U26,AEA2012_ZAR2022!$A$6:$A$104&amp;AEA2012_ZAR2022!$B$6:$B$104,0),MATCH(AG$16,AEA2012_ZAR2022!$AC$4:$AG$4,0)))</f>
        <v>1.2034880374527801</v>
      </c>
      <c r="AH26" s="67">
        <f t="array" ref="AH26">IF($W$1,AG26*(1+INDEX(AH$1:AH$2,MATCH($O26,$AA$1:$AA$2,0)))^(AH$16-AG$16),INDEX(AEA2012_ZAR2022!$AC$6:$AG$104,MATCH($T26&amp;$U26,AEA2012_ZAR2022!$A$6:$A$104&amp;AEA2012_ZAR2022!$B$6:$B$104,0),MATCH(AH$16,AEA2012_ZAR2022!$AC$4:$AG$4,0)))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94">
        <f>15.8*3.6/100</f>
        <v>0.56879999999999997</v>
      </c>
      <c r="AD27" s="67">
        <f>AC27</f>
        <v>0.56879999999999997</v>
      </c>
      <c r="AE27" s="67">
        <f t="array" ref="AE27">IF($W$1,AD27*(1+INDEX(AE$1:AE$2,MATCH($O27,$AA$1:$AA$2,0)))^(AE$16-AD$16),INDEX(AEA2012_ZAR2022!$AC$6:$AG$104,MATCH($T27&amp;$U27,AEA2012_ZAR2022!$A$6:$A$104&amp;AEA2012_ZAR2022!$B$6:$B$104,0),MATCH(AE$16,AEA2012_ZAR2022!$AC$4:$AG$4,0)))</f>
        <v>0.56031058889999996</v>
      </c>
      <c r="AF27" s="67">
        <f t="array" ref="AF27">IF($W$1,AE27*(1+INDEX(AF$1:AF$2,MATCH($O27,$AA$1:$AA$2,0)))^(AF$16-AE$16),INDEX(AEA2012_ZAR2022!$AC$6:$AG$104,MATCH($T27&amp;$U27,AEA2012_ZAR2022!$A$6:$A$104&amp;AEA2012_ZAR2022!$B$6:$B$104,0),MATCH(AF$16,AEA2012_ZAR2022!$AC$4:$AG$4,0)))</f>
        <v>0.51967758415736331</v>
      </c>
      <c r="AG27" s="67">
        <f t="array" ref="AG27">IF($W$1,AF27*(1+INDEX(AG$1:AG$2,MATCH($O27,$AA$1:$AA$2,0)))^(AG$16-AF$16),INDEX(AEA2012_ZAR2022!$AC$6:$AG$104,MATCH($T27&amp;$U27,AEA2012_ZAR2022!$A$6:$A$104&amp;AEA2012_ZAR2022!$B$6:$B$104,0),MATCH(AG$16,AEA2012_ZAR2022!$AC$4:$AG$4,0)))</f>
        <v>0.46998709189579874</v>
      </c>
      <c r="AH27" s="67">
        <f t="array" ref="AH27">IF($W$1,AG27*(1+INDEX(AH$1:AH$2,MATCH($O27,$AA$1:$AA$2,0)))^(AH$16-AG$16),INDEX(AEA2012_ZAR2022!$AC$6:$AG$104,MATCH($T27&amp;$U27,AEA2012_ZAR2022!$A$6:$A$104&amp;AEA2012_ZAR2022!$B$6:$B$104,0),MATCH(AH$16,AEA2012_ZAR2022!$AC$4:$AG$4,0)))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IF($W$1,AD28*(1+INDEX(AE$1:AE$2,MATCH($O28,$AA$1:$AA$2,0)))^(AE$16-AD$16),INDEX(AEA2012_ZAR2022!$AC$6:$AG$104,MATCH($T28&amp;$U28,AEA2012_ZAR2022!$A$6:$A$104&amp;AEA2012_ZAR2022!$B$6:$B$104,0),MATCH(AE$16,AEA2012_ZAR2022!$AC$4:$AG$4,0)))</f>
        <v>1.070273460927174</v>
      </c>
      <c r="AF28" s="67">
        <f t="array" ref="AF28">IF($W$1,AE28*(1+INDEX(AF$1:AF$2,MATCH($O28,$AA$1:$AA$2,0)))^(AF$16-AE$16),INDEX(AEA2012_ZAR2022!$AC$6:$AG$104,MATCH($T28&amp;$U28,AEA2012_ZAR2022!$A$6:$A$104&amp;AEA2012_ZAR2022!$B$6:$B$104,0),MATCH(AF$16,AEA2012_ZAR2022!$AC$4:$AG$4,0)))</f>
        <v>0.99265860324770672</v>
      </c>
      <c r="AG28" s="67">
        <f t="array" ref="AG28">IF($W$1,AF28*(1+INDEX(AG$1:AG$2,MATCH($O28,$AA$1:$AA$2,0)))^(AG$16-AF$16),INDEX(AEA2012_ZAR2022!$AC$6:$AG$104,MATCH($T28&amp;$U28,AEA2012_ZAR2022!$A$6:$A$104&amp;AEA2012_ZAR2022!$B$6:$B$104,0),MATCH(AG$16,AEA2012_ZAR2022!$AC$4:$AG$4,0)))</f>
        <v>0.89774264738050236</v>
      </c>
      <c r="AH28" s="67">
        <f t="array" ref="AH28">IF($W$1,AG28*(1+INDEX(AH$1:AH$2,MATCH($O28,$AA$1:$AA$2,0)))^(AH$16-AG$16),INDEX(AEA2012_ZAR2022!$AC$6:$AG$104,MATCH($T28&amp;$U28,AEA2012_ZAR2022!$A$6:$A$104&amp;AEA2012_ZAR2022!$B$6:$B$104,0),MATCH(AH$16,AEA2012_ZAR2022!$AC$4:$AG$4,0)))</f>
        <v>0.81190235826187607</v>
      </c>
      <c r="AJ28" s="256">
        <f t="shared" si="8"/>
        <v>-4.9750416666666337E-3</v>
      </c>
      <c r="AK28" s="256">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IF($W$1,AD29*(1+INDEX(AE$1:AE$2,MATCH($O29,$AA$1:$AA$2,0)))^(AE$16-AD$16),INDEX(AEA2012_ZAR2022!$AC$6:$AG$104,MATCH($T29&amp;$U29,AEA2012_ZAR2022!$A$6:$A$104&amp;AEA2012_ZAR2022!$B$6:$B$104,0),MATCH(AE$16,AEA2012_ZAR2022!$AC$4:$AG$4,0)))</f>
        <v>2.760382430709543</v>
      </c>
      <c r="AF29" s="67">
        <f t="array" ref="AF29">IF($W$1,AE29*(1+INDEX(AF$1:AF$2,MATCH($O29,$AA$1:$AA$2,0)))^(AF$16-AE$16),INDEX(AEA2012_ZAR2022!$AC$6:$AG$104,MATCH($T29&amp;$U29,AEA2012_ZAR2022!$A$6:$A$104&amp;AEA2012_ZAR2022!$B$6:$B$104,0),MATCH(AF$16,AEA2012_ZAR2022!$AC$4:$AG$4,0)))</f>
        <v>2.5602030398136666</v>
      </c>
      <c r="AG29" s="67">
        <f t="array" ref="AG29">IF($W$1,AF29*(1+INDEX(AG$1:AG$2,MATCH($O29,$AA$1:$AA$2,0)))^(AG$16-AF$16),INDEX(AEA2012_ZAR2022!$AC$6:$AG$104,MATCH($T29&amp;$U29,AEA2012_ZAR2022!$A$6:$A$104&amp;AEA2012_ZAR2022!$B$6:$B$104,0),MATCH(AG$16,AEA2012_ZAR2022!$AC$4:$AG$4,0)))</f>
        <v>2.3154017375905322</v>
      </c>
      <c r="AH29" s="67">
        <f t="array" ref="AH29">IF($W$1,AG29*(1+INDEX(AH$1:AH$2,MATCH($O29,$AA$1:$AA$2,0)))^(AH$16-AG$16),INDEX(AEA2012_ZAR2022!$AC$6:$AG$104,MATCH($T29&amp;$U29,AEA2012_ZAR2022!$A$6:$A$104&amp;AEA2012_ZAR2022!$B$6:$B$104,0),MATCH(AH$16,AEA2012_ZAR2022!$AC$4:$AG$4,0)))</f>
        <v>2.0940078279211165</v>
      </c>
      <c r="AJ29" s="256">
        <f t="shared" si="8"/>
        <v>-4.9750416666666797E-3</v>
      </c>
      <c r="AK29" s="256">
        <f t="shared" si="9"/>
        <v>-8.0468874575124021E-3</v>
      </c>
      <c r="AQ29" s="61" t="str">
        <f t="shared" si="10"/>
        <v>CAR-GAS</v>
      </c>
      <c r="AR29" s="80"/>
      <c r="AS29" s="80"/>
      <c r="AT29" s="80"/>
      <c r="AU29" s="80"/>
      <c r="AV29" s="80"/>
    </row>
    <row r="30" spans="5:48" x14ac:dyDescent="0.25">
      <c r="O30" s="61" t="s">
        <v>613</v>
      </c>
      <c r="Q30" s="61" t="str">
        <f t="shared" si="6"/>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11"/>
        <v/>
      </c>
      <c r="AD30" s="67" t="e">
        <f>1/INDEX(Analytica!$AA$17:$AE$48,MATCH($AC30,Analytica!$A$17:$A$48,0),MATCH(AD$16,Analytica!$AA$16:$AE$16,0))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J30" s="256" t="e">
        <f t="shared" si="8"/>
        <v>#N/A</v>
      </c>
      <c r="AK30" s="256"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11"/>
        <v>SUVOGS</v>
      </c>
      <c r="AD31" s="67">
        <f>1/INDEX(Analytica!$AA$17:$AE$48,MATCH($AC31,Analytica!$A$17:$A$48,0),MATCH(AD$16,Analytica!$AA$16:$AE$16,0))</f>
        <v>2.3386728682586129</v>
      </c>
      <c r="AE31" s="67">
        <f t="array" ref="AE31">IF($W$1,AD31*(1+INDEX(AE$1:AE$2,MATCH($O31,$AA$1:$AA$2,0)))^(AE$16-AD$16),INDEX(AEA2012_ZAR2022!$AC$6:$AG$104,MATCH($T31&amp;$U31,AEA2012_ZAR2022!$A$6:$A$104&amp;AEA2012_ZAR2022!$B$6:$B$104,0),MATCH(AE$16,AEA2012_ZAR2022!$AC$4:$AG$4,0)))</f>
        <v>2.3037678833657447</v>
      </c>
      <c r="AF31" s="67">
        <f t="array" ref="AF31">IF($W$1,AE31*(1+INDEX(AF$1:AF$2,MATCH($O31,$AA$1:$AA$2,0)))^(AF$16-AE$16),INDEX(AEA2012_ZAR2022!$AC$6:$AG$104,MATCH($T31&amp;$U31,AEA2012_ZAR2022!$A$6:$A$104&amp;AEA2012_ZAR2022!$B$6:$B$104,0),MATCH(AF$16,AEA2012_ZAR2022!$AC$4:$AG$4,0)))</f>
        <v>2.136701593373783</v>
      </c>
      <c r="AG31" s="67">
        <f t="array" ref="AG31">IF($W$1,AF31*(1+INDEX(AG$1:AG$2,MATCH($O31,$AA$1:$AA$2,0)))^(AG$16-AF$16),INDEX(AEA2012_ZAR2022!$AC$6:$AG$104,MATCH($T31&amp;$U31,AEA2012_ZAR2022!$A$6:$A$104&amp;AEA2012_ZAR2022!$B$6:$B$104,0),MATCH(AG$16,AEA2012_ZAR2022!$AC$4:$AG$4,0)))</f>
        <v>1.9323946206900002</v>
      </c>
      <c r="AH31" s="67">
        <f t="array" ref="AH31">IF($W$1,AG31*(1+INDEX(AH$1:AH$2,MATCH($O31,$AA$1:$AA$2,0)))^(AH$16-AG$16),INDEX(AEA2012_ZAR2022!$AC$6:$AG$104,MATCH($T31&amp;$U31,AEA2012_ZAR2022!$A$6:$A$104&amp;AEA2012_ZAR2022!$B$6:$B$104,0),MATCH(AH$16,AEA2012_ZAR2022!$AC$4:$AG$4,0)))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IF($W$1,AD32*(1+INDEX(AE$1:AE$2,MATCH($O32,$AA$1:$AA$2,0)))^(AE$16-AD$16),INDEX(AEA2012_ZAR2022!$AC$6:$AG$104,MATCH($T32&amp;$U32,AEA2012_ZAR2022!$A$6:$A$104&amp;AEA2012_ZAR2022!$B$6:$B$104,0),MATCH(AE$16,AEA2012_ZAR2022!$AC$4:$AG$4,0)))</f>
        <v>1.7602982874493476</v>
      </c>
      <c r="AF32" s="67">
        <f t="array" ref="AF32">IF($W$1,AE32*(1+INDEX(AF$1:AF$2,MATCH($O32,$AA$1:$AA$2,0)))^(AF$16-AE$16),INDEX(AEA2012_ZAR2022!$AC$6:$AG$104,MATCH($T32&amp;$U32,AEA2012_ZAR2022!$A$6:$A$104&amp;AEA2012_ZAR2022!$B$6:$B$104,0),MATCH(AF$16,AEA2012_ZAR2022!$AC$4:$AG$4,0)))</f>
        <v>1.6326437150044388</v>
      </c>
      <c r="AG32" s="67">
        <f t="array" ref="AG32">IF($W$1,AF32*(1+INDEX(AG$1:AG$2,MATCH($O32,$AA$1:$AA$2,0)))^(AG$16-AF$16),INDEX(AEA2012_ZAR2022!$AC$6:$AG$104,MATCH($T32&amp;$U32,AEA2012_ZAR2022!$A$6:$A$104&amp;AEA2012_ZAR2022!$B$6:$B$104,0),MATCH(AG$16,AEA2012_ZAR2022!$AC$4:$AG$4,0)))</f>
        <v>1.4765337107257972</v>
      </c>
      <c r="AH32" s="67">
        <f t="array" ref="AH32">IF($W$1,AG32*(1+INDEX(AH$1:AH$2,MATCH($O32,$AA$1:$AA$2,0)))^(AH$16-AG$16),INDEX(AEA2012_ZAR2022!$AC$6:$AG$104,MATCH($T32&amp;$U32,AEA2012_ZAR2022!$A$6:$A$104&amp;AEA2012_ZAR2022!$B$6:$B$104,0),MATCH(AH$16,AEA2012_ZAR2022!$AC$4:$AG$4,0)))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IF($W$1,AD33*(1+INDEX(AE$1:AE$2,MATCH($O33,$AA$1:$AA$2,0)))^(AE$16-AD$16),INDEX(AEA2012_ZAR2022!$AC$6:$AG$104,MATCH($T33&amp;$U33,AEA2012_ZAR2022!$A$6:$A$104&amp;AEA2012_ZAR2022!$B$6:$B$104,0),MATCH(AE$16,AEA2012_ZAR2022!$AC$4:$AG$4,0)))</f>
        <v>2.3037678833657447</v>
      </c>
      <c r="AF33" s="67">
        <f t="array" ref="AF33">IF($W$1,AE33*(1+INDEX(AF$1:AF$2,MATCH($O33,$AA$1:$AA$2,0)))^(AF$16-AE$16),INDEX(AEA2012_ZAR2022!$AC$6:$AG$104,MATCH($T33&amp;$U33,AEA2012_ZAR2022!$A$6:$A$104&amp;AEA2012_ZAR2022!$B$6:$B$104,0),MATCH(AF$16,AEA2012_ZAR2022!$AC$4:$AG$4,0)))</f>
        <v>2.136701593373783</v>
      </c>
      <c r="AG33" s="67">
        <f t="array" ref="AG33">IF($W$1,AF33*(1+INDEX(AG$1:AG$2,MATCH($O33,$AA$1:$AA$2,0)))^(AG$16-AF$16),INDEX(AEA2012_ZAR2022!$AC$6:$AG$104,MATCH($T33&amp;$U33,AEA2012_ZAR2022!$A$6:$A$104&amp;AEA2012_ZAR2022!$B$6:$B$104,0),MATCH(AG$16,AEA2012_ZAR2022!$AC$4:$AG$4,0)))</f>
        <v>1.9323946206900002</v>
      </c>
      <c r="AH33" s="67">
        <f t="array" ref="AH33">IF($W$1,AG33*(1+INDEX(AH$1:AH$2,MATCH($O33,$AA$1:$AA$2,0)))^(AH$16-AG$16),INDEX(AEA2012_ZAR2022!$AC$6:$AG$104,MATCH($T33&amp;$U33,AEA2012_ZAR2022!$A$6:$A$104&amp;AEA2012_ZAR2022!$B$6:$B$104,0),MATCH(AH$16,AEA2012_ZAR2022!$AC$4:$AG$4,0)))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11"/>
        <v>SUVODS</v>
      </c>
      <c r="AD34" s="67">
        <f>1/INDEX(Analytica!$AA$17:$AE$48,MATCH($AC34,Analytica!$A$17:$A$48,0),MATCH(AD$16,Analytica!$AA$16:$AE$16,0))</f>
        <v>4.2907876409062018</v>
      </c>
      <c r="AE34" s="67">
        <f t="array" ref="AE34">IF($W$1,AD34*(1+INDEX(AE$1:AE$2,MATCH($O34,$AA$1:$AA$2,0)))^(AE$16-AD$16),INDEX(AEA2012_ZAR2022!$AC$6:$AG$104,MATCH($T34&amp;$U34,AEA2012_ZAR2022!$A$6:$A$104&amp;AEA2012_ZAR2022!$B$6:$B$104,0),MATCH(AE$16,AEA2012_ZAR2022!$AC$4:$AG$4,0)))</f>
        <v>4.2267470990172216</v>
      </c>
      <c r="AF34" s="67">
        <f t="array" ref="AF34">IF($W$1,AE34*(1+INDEX(AF$1:AF$2,MATCH($O34,$AA$1:$AA$2,0)))^(AF$16-AE$16),INDEX(AEA2012_ZAR2022!$AC$6:$AG$104,MATCH($T34&amp;$U34,AEA2012_ZAR2022!$A$6:$A$104&amp;AEA2012_ZAR2022!$B$6:$B$104,0),MATCH(AF$16,AEA2012_ZAR2022!$AC$4:$AG$4,0)))</f>
        <v>3.9202288244697736</v>
      </c>
      <c r="AG34" s="67">
        <f t="array" ref="AG34">IF($W$1,AF34*(1+INDEX(AG$1:AG$2,MATCH($O34,$AA$1:$AA$2,0)))^(AG$16-AF$16),INDEX(AEA2012_ZAR2022!$AC$6:$AG$104,MATCH($T34&amp;$U34,AEA2012_ZAR2022!$A$6:$A$104&amp;AEA2012_ZAR2022!$B$6:$B$104,0),MATCH(AG$16,AEA2012_ZAR2022!$AC$4:$AG$4,0)))</f>
        <v>3.5453846787832997</v>
      </c>
      <c r="AH34" s="67">
        <f t="array" ref="AH34">IF($W$1,AG34*(1+INDEX(AH$1:AH$2,MATCH($O34,$AA$1:$AA$2,0)))^(AH$16-AG$16),INDEX(AEA2012_ZAR2022!$AC$6:$AG$104,MATCH($T34&amp;$U34,AEA2012_ZAR2022!$A$6:$A$104&amp;AEA2012_ZAR2022!$B$6:$B$104,0),MATCH(AH$16,AEA2012_ZAR2022!$AC$4:$AG$4,0)))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4"/>
      <c r="N35" s="61" t="s">
        <v>521</v>
      </c>
      <c r="O35" s="61" t="s">
        <v>613</v>
      </c>
      <c r="P35" s="61" t="s">
        <v>460</v>
      </c>
      <c r="Q35" s="61" t="str">
        <f t="shared" si="6"/>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IF($W$1,AD35*(1+INDEX(AE$1:AE$2,MATCH($O35,$AA$1:$AA$2,0)))^(AE$16-AD$16),INDEX(AEA2012_ZAR2022!$AC$6:$AG$104,MATCH($T35&amp;$U35,AEA2012_ZAR2022!$A$6:$A$104&amp;AEA2012_ZAR2022!$B$6:$B$104,0),MATCH(AE$16,AEA2012_ZAR2022!$AC$4:$AG$4,0)))</f>
        <v>1.9636206079357112</v>
      </c>
      <c r="AF35" s="67">
        <f t="array" ref="AF35">IF($W$1,AE35*(1+INDEX(AF$1:AF$2,MATCH($O35,$AA$1:$AA$2,0)))^(AF$16-AE$16),INDEX(AEA2012_ZAR2022!$AC$6:$AG$104,MATCH($T35&amp;$U35,AEA2012_ZAR2022!$A$6:$A$104&amp;AEA2012_ZAR2022!$B$6:$B$104,0),MATCH(AF$16,AEA2012_ZAR2022!$AC$4:$AG$4,0)))</f>
        <v>1.8212213617754165</v>
      </c>
      <c r="AG35" s="67">
        <f t="array" ref="AG35">IF($W$1,AF35*(1+INDEX(AG$1:AG$2,MATCH($O35,$AA$1:$AA$2,0)))^(AG$16-AF$16),INDEX(AEA2012_ZAR2022!$AC$6:$AG$104,MATCH($T35&amp;$U35,AEA2012_ZAR2022!$A$6:$A$104&amp;AEA2012_ZAR2022!$B$6:$B$104,0),MATCH(AG$16,AEA2012_ZAR2022!$AC$4:$AG$4,0)))</f>
        <v>1.6470799542128114</v>
      </c>
      <c r="AH35" s="67">
        <f t="array" ref="AH35">IF($W$1,AG35*(1+INDEX(AH$1:AH$2,MATCH($O35,$AA$1:$AA$2,0)))^(AH$16-AG$16),INDEX(AEA2012_ZAR2022!$AC$6:$AG$104,MATCH($T35&amp;$U35,AEA2012_ZAR2022!$A$6:$A$104&amp;AEA2012_ZAR2022!$B$6:$B$104,0),MATCH(AH$16,AEA2012_ZAR2022!$AC$4:$AG$4,0)))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11"/>
        <v>SUVELC</v>
      </c>
      <c r="AD36" s="67">
        <f>1/INDEX(Analytica!$AA$17:$AE$48,MATCH($AC36,Analytica!$A$17:$A$48,0),MATCH(AD$16,Analytica!$AA$16:$AE$16,0))</f>
        <v>0.6770480704129993</v>
      </c>
      <c r="AE36" s="67">
        <f t="array" ref="AE36">IF($W$1,AD36*(1+INDEX(AE$1:AE$2,MATCH($O36,$AA$1:$AA$2,0)))^(AE$16-AD$16),INDEX(AEA2012_ZAR2022!$AC$6:$AG$104,MATCH($T36&amp;$U36,AEA2012_ZAR2022!$A$6:$A$104&amp;AEA2012_ZAR2022!$B$6:$B$104,0),MATCH(AE$16,AEA2012_ZAR2022!$AC$4:$AG$4,0)))</f>
        <v>0.66694304333107646</v>
      </c>
      <c r="AF36" s="67">
        <f t="array" ref="AF36">IF($W$1,AE36*(1+INDEX(AF$1:AF$2,MATCH($O36,$AA$1:$AA$2,0)))^(AF$16-AE$16),INDEX(AEA2012_ZAR2022!$AC$6:$AG$104,MATCH($T36&amp;$U36,AEA2012_ZAR2022!$A$6:$A$104&amp;AEA2012_ZAR2022!$B$6:$B$104,0),MATCH(AF$16,AEA2012_ZAR2022!$AC$4:$AG$4,0)))</f>
        <v>0.61857718985694776</v>
      </c>
      <c r="AG36" s="67">
        <f t="array" ref="AG36">IF($W$1,AF36*(1+INDEX(AG$1:AG$2,MATCH($O36,$AA$1:$AA$2,0)))^(AG$16-AF$16),INDEX(AEA2012_ZAR2022!$AC$6:$AG$104,MATCH($T36&amp;$U36,AEA2012_ZAR2022!$A$6:$A$104&amp;AEA2012_ZAR2022!$B$6:$B$104,0),MATCH(AG$16,AEA2012_ZAR2022!$AC$4:$AG$4,0)))</f>
        <v>0.55943012251594149</v>
      </c>
      <c r="AH36" s="67">
        <f t="array" ref="AH36">IF($W$1,AG36*(1+INDEX(AH$1:AH$2,MATCH($O36,$AA$1:$AA$2,0)))^(AH$16-AG$16),INDEX(AEA2012_ZAR2022!$AC$6:$AG$104,MATCH($T36&amp;$U36,AEA2012_ZAR2022!$A$6:$A$104&amp;AEA2012_ZAR2022!$B$6:$B$104,0),MATCH(AH$16,AEA2012_ZAR2022!$AC$4:$AG$4,0)))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IF($W$1,AD37*(1+INDEX(AE$1:AE$2,MATCH($O37,$AA$1:$AA$2,0)))^(AE$16-AD$16),INDEX(AEA2012_ZAR2022!$AC$6:$AG$104,MATCH($T37&amp;$U37,AEA2012_ZAR2022!$A$6:$A$104&amp;AEA2012_ZAR2022!$B$6:$B$104,0),MATCH(AE$16,AEA2012_ZAR2022!$AC$4:$AG$4,0)))</f>
        <v>1.1351066124445215</v>
      </c>
      <c r="AF37" s="67">
        <f t="array" ref="AF37">IF($W$1,AE37*(1+INDEX(AF$1:AF$2,MATCH($O37,$AA$1:$AA$2,0)))^(AF$16-AE$16),INDEX(AEA2012_ZAR2022!$AC$6:$AG$104,MATCH($T37&amp;$U37,AEA2012_ZAR2022!$A$6:$A$104&amp;AEA2012_ZAR2022!$B$6:$B$104,0),MATCH(AF$16,AEA2012_ZAR2022!$AC$4:$AG$4,0)))</f>
        <v>1.0527901378310316</v>
      </c>
      <c r="AG37" s="67">
        <f t="array" ref="AG37">IF($W$1,AF37*(1+INDEX(AG$1:AG$2,MATCH($O37,$AA$1:$AA$2,0)))^(AG$16-AF$16),INDEX(AEA2012_ZAR2022!$AC$6:$AG$104,MATCH($T37&amp;$U37,AEA2012_ZAR2022!$A$6:$A$104&amp;AEA2012_ZAR2022!$B$6:$B$104,0),MATCH(AG$16,AEA2012_ZAR2022!$AC$4:$AG$4,0)))</f>
        <v>0.95212452940043346</v>
      </c>
      <c r="AH37" s="67">
        <f t="array" ref="AH37">IF($W$1,AG37*(1+INDEX(AH$1:AH$2,MATCH($O37,$AA$1:$AA$2,0)))^(AH$16-AG$16),INDEX(AEA2012_ZAR2022!$AC$6:$AG$104,MATCH($T37&amp;$U37,AEA2012_ZAR2022!$A$6:$A$104&amp;AEA2012_ZAR2022!$B$6:$B$104,0),MATCH(AH$16,AEA2012_ZAR2022!$AC$4:$AG$4,0)))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IF($W$1,AD38*(1+INDEX(AE$1:AE$2,MATCH($O38,$AA$1:$AA$2,0)))^(AE$16-AD$16),INDEX(AEA2012_ZAR2022!$AC$6:$AG$104,MATCH($T38&amp;$U38,AEA2012_ZAR2022!$A$6:$A$104&amp;AEA2012_ZAR2022!$B$6:$B$104,0),MATCH(AE$16,AEA2012_ZAR2022!$AC$4:$AG$4,0)))</f>
        <v>2.7030575095656815</v>
      </c>
      <c r="AF38" s="67">
        <f t="array" ref="AF38">IF($W$1,AE38*(1+INDEX(AF$1:AF$2,MATCH($O38,$AA$1:$AA$2,0)))^(AF$16-AE$16),INDEX(AEA2012_ZAR2022!$AC$6:$AG$104,MATCH($T38&amp;$U38,AEA2012_ZAR2022!$A$6:$A$104&amp;AEA2012_ZAR2022!$B$6:$B$104,0),MATCH(AF$16,AEA2012_ZAR2022!$AC$4:$AG$4,0)))</f>
        <v>2.5070352483740335</v>
      </c>
      <c r="AG38" s="67">
        <f t="array" ref="AG38">IF($W$1,AF38*(1+INDEX(AG$1:AG$2,MATCH($O38,$AA$1:$AA$2,0)))^(AG$16-AF$16),INDEX(AEA2012_ZAR2022!$AC$6:$AG$104,MATCH($T38&amp;$U38,AEA2012_ZAR2022!$A$6:$A$104&amp;AEA2012_ZAR2022!$B$6:$B$104,0),MATCH(AG$16,AEA2012_ZAR2022!$AC$4:$AG$4,0)))</f>
        <v>2.2673177400447213</v>
      </c>
      <c r="AH38" s="67">
        <f t="array" ref="AH38">IF($W$1,AG38*(1+INDEX(AH$1:AH$2,MATCH($O38,$AA$1:$AA$2,0)))^(AH$16-AG$16),INDEX(AEA2012_ZAR2022!$AC$6:$AG$104,MATCH($T38&amp;$U38,AEA2012_ZAR2022!$A$6:$A$104&amp;AEA2012_ZAR2022!$B$6:$B$104,0),MATCH(AH$16,AEA2012_ZAR2022!$AC$4:$AG$4,0)))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11"/>
        <v/>
      </c>
      <c r="AD39" s="67" t="e">
        <f>1/INDEX(Analytica!$AA$17:$AE$48,MATCH($AC39,Analytica!$A$17:$A$48,0),MATCH(AD$16,Analytica!$AA$16:$AE$16,0))</f>
        <v>#N/A</v>
      </c>
      <c r="AE39" s="67" t="e">
        <f t="array" ref="AE39">IF($W$1,AD39*(1+INDEX(AE$1:AE$2,MATCH($O39,$AA$1:$AA$2,0)))^(AE$16-AD$16),INDEX(AEA2012_ZAR2022!$AC$6:$AG$104,MATCH($T39&amp;$U39,AEA2012_ZAR2022!$A$6:$A$104&amp;AEA2012_ZAR2022!$B$6:$B$104,0),MATCH(AE$16,AEA2012_ZAR2022!$AC$4:$AG$4,0)))</f>
        <v>#N/A</v>
      </c>
      <c r="AF39" s="67" t="e">
        <f t="array" ref="AF39">IF($W$1,AE39*(1+INDEX(AF$1:AF$2,MATCH($O39,$AA$1:$AA$2,0)))^(AF$16-AE$16),INDEX(AEA2012_ZAR2022!$AC$6:$AG$104,MATCH($T39&amp;$U39,AEA2012_ZAR2022!$A$6:$A$104&amp;AEA2012_ZAR2022!$B$6:$B$104,0),MATCH(AF$16,AEA2012_ZAR2022!$AC$4:$AG$4,0)))</f>
        <v>#N/A</v>
      </c>
      <c r="AG39" s="67" t="e">
        <f t="array" ref="AG39">IF($W$1,AF39*(1+INDEX(AG$1:AG$2,MATCH($O39,$AA$1:$AA$2,0)))^(AG$16-AF$16),INDEX(AEA2012_ZAR2022!$AC$6:$AG$104,MATCH($T39&amp;$U39,AEA2012_ZAR2022!$A$6:$A$104&amp;AEA2012_ZAR2022!$B$6:$B$104,0),MATCH(AG$16,AEA2012_ZAR2022!$AC$4:$AG$4,0)))</f>
        <v>#N/A</v>
      </c>
      <c r="AH39" s="67" t="e">
        <f t="array" ref="AH39">IF($W$1,AG39*(1+INDEX(AH$1:AH$2,MATCH($O39,$AA$1:$AA$2,0)))^(AH$16-AG$16),INDEX(AEA2012_ZAR2022!$AC$6:$AG$104,MATCH($T39&amp;$U39,AEA2012_ZAR2022!$A$6:$A$104&amp;AEA2012_ZAR2022!$B$6:$B$104,0),MATCH(AH$16,AEA2012_ZAR2022!$AC$4:$AG$4,0)))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11"/>
        <v>MBTOGS</v>
      </c>
      <c r="AD40" s="67">
        <f>1/INDEX(Analytica!$AA$17:$AE$48,MATCH($AC40,Analytica!$A$17:$A$48,0),MATCH(AD$16,Analytica!$AA$16:$AE$16,0))</f>
        <v>4.9810534104362922</v>
      </c>
      <c r="AE40" s="67">
        <f t="array" ref="AE40">IF($W$1,AD40*(1+INDEX(AE$1:AE$2,MATCH($O40,$AA$1:$AA$2,0)))^(AE$16-AD$16),INDEX(AEA2012_ZAR2022!$AC$6:$AG$104,MATCH($T40&amp;$U40,AEA2012_ZAR2022!$A$6:$A$104&amp;AEA2012_ZAR2022!$B$6:$B$104,0),MATCH(AE$16,AEA2012_ZAR2022!$AC$4:$AG$4,0)))</f>
        <v>4.9067105656538548</v>
      </c>
      <c r="AF40" s="67">
        <f t="array" ref="AF40">IF($W$1,AE40*(1+INDEX(AF$1:AF$2,MATCH($O40,$AA$1:$AA$2,0)))^(AF$16-AE$16),INDEX(AEA2012_ZAR2022!$AC$6:$AG$104,MATCH($T40&amp;$U40,AEA2012_ZAR2022!$A$6:$A$104&amp;AEA2012_ZAR2022!$B$6:$B$104,0),MATCH(AF$16,AEA2012_ZAR2022!$AC$4:$AG$4,0)))</f>
        <v>4.5508822132460063</v>
      </c>
      <c r="AG40" s="67">
        <f t="array" ref="AG40">IF($W$1,AF40*(1+INDEX(AG$1:AG$2,MATCH($O40,$AA$1:$AA$2,0)))^(AG$16-AF$16),INDEX(AEA2012_ZAR2022!$AC$6:$AG$104,MATCH($T40&amp;$U40,AEA2012_ZAR2022!$A$6:$A$104&amp;AEA2012_ZAR2022!$B$6:$B$104,0),MATCH(AG$16,AEA2012_ZAR2022!$AC$4:$AG$4,0)))</f>
        <v>4.1157362991360831</v>
      </c>
      <c r="AH40" s="67">
        <f t="array" ref="AH40">IF($W$1,AG40*(1+INDEX(AH$1:AH$2,MATCH($O40,$AA$1:$AA$2,0)))^(AH$16-AG$16),INDEX(AEA2012_ZAR2022!$AC$6:$AG$104,MATCH($T40&amp;$U40,AEA2012_ZAR2022!$A$6:$A$104&amp;AEA2012_ZAR2022!$B$6:$B$104,0),MATCH(AH$16,AEA2012_ZAR2022!$AC$4:$AG$4,0)))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IF($W$1,AD41*(1+INDEX(AE$1:AE$2,MATCH($O41,$AA$1:$AA$2,0)))^(AE$16-AD$16),INDEX(AEA2012_ZAR2022!$AC$6:$AG$104,MATCH($T41&amp;$U41,AEA2012_ZAR2022!$A$6:$A$104&amp;AEA2012_ZAR2022!$B$6:$B$104,0),MATCH(AE$16,AEA2012_ZAR2022!$AC$4:$AG$4,0)))</f>
        <v>4.9067105656538548</v>
      </c>
      <c r="AF41" s="67">
        <f t="array" ref="AF41">IF($W$1,AE41*(1+INDEX(AF$1:AF$2,MATCH($O41,$AA$1:$AA$2,0)))^(AF$16-AE$16),INDEX(AEA2012_ZAR2022!$AC$6:$AG$104,MATCH($T41&amp;$U41,AEA2012_ZAR2022!$A$6:$A$104&amp;AEA2012_ZAR2022!$B$6:$B$104,0),MATCH(AF$16,AEA2012_ZAR2022!$AC$4:$AG$4,0)))</f>
        <v>4.5508822132460063</v>
      </c>
      <c r="AG41" s="67">
        <f t="array" ref="AG41">IF($W$1,AF41*(1+INDEX(AG$1:AG$2,MATCH($O41,$AA$1:$AA$2,0)))^(AG$16-AF$16),INDEX(AEA2012_ZAR2022!$AC$6:$AG$104,MATCH($T41&amp;$U41,AEA2012_ZAR2022!$A$6:$A$104&amp;AEA2012_ZAR2022!$B$6:$B$104,0),MATCH(AG$16,AEA2012_ZAR2022!$AC$4:$AG$4,0)))</f>
        <v>4.1157362991360831</v>
      </c>
      <c r="AH41" s="67">
        <f t="array" ref="AH41">IF($W$1,AG41*(1+INDEX(AH$1:AH$2,MATCH($O41,$AA$1:$AA$2,0)))^(AH$16-AG$16),INDEX(AEA2012_ZAR2022!$AC$6:$AG$104,MATCH($T41&amp;$U41,AEA2012_ZAR2022!$A$6:$A$104&amp;AEA2012_ZAR2022!$B$6:$B$104,0),MATCH(AH$16,AEA2012_ZAR2022!$AC$4:$AG$4,0)))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11"/>
        <v>MBTODS</v>
      </c>
      <c r="AD42" s="67">
        <f>1/INDEX(Analytica!$AA$17:$AE$48,MATCH($AC42,Analytica!$A$17:$A$48,0),MATCH(AD$16,Analytica!$AA$16:$AE$16,0))</f>
        <v>4.2205316616343254</v>
      </c>
      <c r="AE42" s="67">
        <f t="array" ref="AE42">IF($W$1,AD42*(1+INDEX(AE$1:AE$2,MATCH($O42,$AA$1:$AA$2,0)))^(AE$16-AD$16),INDEX(AEA2012_ZAR2022!$AC$6:$AG$104,MATCH($T42&amp;$U42,AEA2012_ZAR2022!$A$6:$A$104&amp;AEA2012_ZAR2022!$B$6:$B$104,0),MATCH(AE$16,AEA2012_ZAR2022!$AC$4:$AG$4,0)))</f>
        <v>4.1575396990179758</v>
      </c>
      <c r="AF42" s="67">
        <f t="array" ref="AF42">IF($W$1,AE42*(1+INDEX(AF$1:AF$2,MATCH($O42,$AA$1:$AA$2,0)))^(AF$16-AE$16),INDEX(AEA2012_ZAR2022!$AC$6:$AG$104,MATCH($T42&amp;$U42,AEA2012_ZAR2022!$A$6:$A$104&amp;AEA2012_ZAR2022!$B$6:$B$104,0),MATCH(AF$16,AEA2012_ZAR2022!$AC$4:$AG$4,0)))</f>
        <v>3.8560402562900649</v>
      </c>
      <c r="AG42" s="67">
        <f t="array" ref="AG42">IF($W$1,AF42*(1+INDEX(AG$1:AG$2,MATCH($O42,$AA$1:$AA$2,0)))^(AG$16-AF$16),INDEX(AEA2012_ZAR2022!$AC$6:$AG$104,MATCH($T42&amp;$U42,AEA2012_ZAR2022!$A$6:$A$104&amp;AEA2012_ZAR2022!$B$6:$B$104,0),MATCH(AG$16,AEA2012_ZAR2022!$AC$4:$AG$4,0)))</f>
        <v>3.4873336883010904</v>
      </c>
      <c r="AH42" s="67">
        <f t="array" ref="AH42">IF($W$1,AG42*(1+INDEX(AH$1:AH$2,MATCH($O42,$AA$1:$AA$2,0)))^(AH$16-AG$16),INDEX(AEA2012_ZAR2022!$AC$6:$AG$104,MATCH($T42&amp;$U42,AEA2012_ZAR2022!$A$6:$A$104&amp;AEA2012_ZAR2022!$B$6:$B$104,0),MATCH(AH$16,AEA2012_ZAR2022!$AC$4:$AG$4,0)))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IF($W$1,AD43*(1+INDEX(AE$1:AE$2,MATCH($O43,$AA$1:$AA$2,0)))^(AE$16-AD$16),INDEX(AEA2012_ZAR2022!$AC$6:$AG$104,MATCH($T43&amp;$U43,AEA2012_ZAR2022!$A$6:$A$104&amp;AEA2012_ZAR2022!$B$6:$B$104,0),MATCH(AE$16,AEA2012_ZAR2022!$AC$4:$AG$4,0)))</f>
        <v>1.2278683912578481</v>
      </c>
      <c r="AF43" s="67">
        <f t="array" ref="AF43">IF($W$1,AE43*(1+INDEX(AF$1:AF$2,MATCH($O43,$AA$1:$AA$2,0)))^(AF$16-AE$16),INDEX(AEA2012_ZAR2022!$AC$6:$AG$104,MATCH($T43&amp;$U43,AEA2012_ZAR2022!$A$6:$A$104&amp;AEA2012_ZAR2022!$B$6:$B$104,0),MATCH(AF$16,AEA2012_ZAR2022!$AC$4:$AG$4,0)))</f>
        <v>1.1388249515055109</v>
      </c>
      <c r="AG43" s="67">
        <f t="array" ref="AG43">IF($W$1,AF43*(1+INDEX(AG$1:AG$2,MATCH($O43,$AA$1:$AA$2,0)))^(AG$16-AF$16),INDEX(AEA2012_ZAR2022!$AC$6:$AG$104,MATCH($T43&amp;$U43,AEA2012_ZAR2022!$A$6:$A$104&amp;AEA2012_ZAR2022!$B$6:$B$104,0),MATCH(AG$16,AEA2012_ZAR2022!$AC$4:$AG$4,0)))</f>
        <v>1.0299328727143549</v>
      </c>
      <c r="AH43" s="67">
        <f t="array" ref="AH43">IF($W$1,AG43*(1+INDEX(AH$1:AH$2,MATCH($O43,$AA$1:$AA$2,0)))^(AH$16-AG$16),INDEX(AEA2012_ZAR2022!$AC$6:$AG$104,MATCH($T43&amp;$U43,AEA2012_ZAR2022!$A$6:$A$104&amp;AEA2012_ZAR2022!$B$6:$B$104,0),MATCH(AH$16,AEA2012_ZAR2022!$AC$4:$AG$4,0)))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IF($W$1,AD44*(1+INDEX(AE$1:AE$2,MATCH($O44,$AA$1:$AA$2,0)))^(AE$16-AD$16),INDEX(AEA2012_ZAR2022!$AC$6:$AG$104,MATCH($T44&amp;$U44,AEA2012_ZAR2022!$A$6:$A$104&amp;AEA2012_ZAR2022!$B$6:$B$104,0),MATCH(AE$16,AEA2012_ZAR2022!$AC$4:$AG$4,0)))</f>
        <v>2.4176218657445605</v>
      </c>
      <c r="AF44" s="67">
        <f t="array" ref="AF44">IF($W$1,AE44*(1+INDEX(AF$1:AF$2,MATCH($O44,$AA$1:$AA$2,0)))^(AF$16-AE$16),INDEX(AEA2012_ZAR2022!$AC$6:$AG$104,MATCH($T44&amp;$U44,AEA2012_ZAR2022!$A$6:$A$104&amp;AEA2012_ZAR2022!$B$6:$B$104,0),MATCH(AF$16,AEA2012_ZAR2022!$AC$4:$AG$4,0)))</f>
        <v>2.2422990310832418</v>
      </c>
      <c r="AG44" s="67">
        <f t="array" ref="AG44">IF($W$1,AF44*(1+INDEX(AG$1:AG$2,MATCH($O44,$AA$1:$AA$2,0)))^(AG$16-AF$16),INDEX(AEA2012_ZAR2022!$AC$6:$AG$104,MATCH($T44&amp;$U44,AEA2012_ZAR2022!$A$6:$A$104&amp;AEA2012_ZAR2022!$B$6:$B$104,0),MATCH(AG$16,AEA2012_ZAR2022!$AC$4:$AG$4,0)))</f>
        <v>2.0278950505212934</v>
      </c>
      <c r="AH44" s="67">
        <f t="array" ref="AH44">IF($W$1,AG44*(1+INDEX(AH$1:AH$2,MATCH($O44,$AA$1:$AA$2,0)))^(AH$16-AG$16),INDEX(AEA2012_ZAR2022!$AC$6:$AG$104,MATCH($T44&amp;$U44,AEA2012_ZAR2022!$A$6:$A$104&amp;AEA2012_ZAR2022!$B$6:$B$104,0),MATCH(AH$16,AEA2012_ZAR2022!$AC$4:$AG$4,0)))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IF($W$1,AD45*(1+INDEX(AE$1:AE$2,MATCH($O45,$AA$1:$AA$2,0)))^(AE$16-AD$16),INDEX(AEA2012_ZAR2022!$AC$6:$AG$104,MATCH($T45&amp;$U45,AEA2012_ZAR2022!$A$6:$A$104&amp;AEA2012_ZAR2022!$B$6:$B$104,0),MATCH(AE$16,AEA2012_ZAR2022!$AC$4:$AG$4,0)))</f>
        <v>5.7571428690892477</v>
      </c>
      <c r="AF45" s="67">
        <f t="array" ref="AF45">IF($W$1,AE45*(1+INDEX(AF$1:AF$2,MATCH($O45,$AA$1:$AA$2,0)))^(AF$16-AE$16),INDEX(AEA2012_ZAR2022!$AC$6:$AG$104,MATCH($T45&amp;$U45,AEA2012_ZAR2022!$A$6:$A$104&amp;AEA2012_ZAR2022!$B$6:$B$104,0),MATCH(AF$16,AEA2012_ZAR2022!$AC$4:$AG$4,0)))</f>
        <v>5.3396422575748534</v>
      </c>
      <c r="AG45" s="67">
        <f t="array" ref="AG45">IF($W$1,AF45*(1+INDEX(AG$1:AG$2,MATCH($O45,$AA$1:$AA$2,0)))^(AG$16-AF$16),INDEX(AEA2012_ZAR2022!$AC$6:$AG$104,MATCH($T45&amp;$U45,AEA2012_ZAR2022!$A$6:$A$104&amp;AEA2012_ZAR2022!$B$6:$B$104,0),MATCH(AG$16,AEA2012_ZAR2022!$AC$4:$AG$4,0)))</f>
        <v>4.8290767447102425</v>
      </c>
      <c r="AH45" s="67">
        <f t="array" ref="AH45">IF($W$1,AG45*(1+INDEX(AH$1:AH$2,MATCH($O45,$AA$1:$AA$2,0)))^(AH$16-AG$16),INDEX(AEA2012_ZAR2022!$AC$6:$AG$104,MATCH($T45&amp;$U45,AEA2012_ZAR2022!$A$6:$A$104&amp;AEA2012_ZAR2022!$B$6:$B$104,0),MATCH(AH$16,AEA2012_ZAR2022!$AC$4:$AG$4,0)))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7" t="s">
        <v>704</v>
      </c>
      <c r="D46" s="61" t="s">
        <v>713</v>
      </c>
      <c r="E46" s="61" t="s">
        <v>706</v>
      </c>
      <c r="F46" s="61">
        <v>5840</v>
      </c>
      <c r="O46" s="61" t="s">
        <v>613</v>
      </c>
      <c r="Q46" s="61" t="str">
        <f t="shared" si="6"/>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11"/>
        <v/>
      </c>
      <c r="AD46" s="67" t="e">
        <f>1/INDEX(Analytica!$AA$17:$AE$48,MATCH($AC46,Analytica!$A$17:$A$48,0),MATCH(AD$16,Analytica!$AA$16:$AE$16,0))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11"/>
        <v>MOTOGS</v>
      </c>
      <c r="AD47" s="67">
        <f>1/INDEX(Analytica!$AA$17:$AE$48,MATCH($AC47,Analytica!$A$17:$A$48,0),MATCH(AD$16,Analytica!$AA$16:$AE$16,0))</f>
        <v>1.7098493444353202</v>
      </c>
      <c r="AE47" s="67">
        <f t="array" ref="AE47">IF($W$1,AD47*(1+INDEX(AE$1:AE$2,MATCH($O47,$AA$1:$AA$2,0)))^(AE$16-AD$16),INDEX(AEA2012_ZAR2022!$AC$6:$AG$104,MATCH($T47&amp;$U47,AEA2012_ZAR2022!$A$6:$A$104&amp;AEA2012_ZAR2022!$B$6:$B$104,0),MATCH(AE$16,AEA2012_ZAR2022!$AC$4:$AG$4,0)))</f>
        <v>1.6843296292384551</v>
      </c>
      <c r="AF47" s="67">
        <f t="array" ref="AF47">IF($W$1,AE47*(1+INDEX(AF$1:AF$2,MATCH($O47,$AA$1:$AA$2,0)))^(AF$16-AE$16),INDEX(AEA2012_ZAR2022!$AC$6:$AG$104,MATCH($T47&amp;$U47,AEA2012_ZAR2022!$A$6:$A$104&amp;AEA2012_ZAR2022!$B$6:$B$104,0),MATCH(AF$16,AEA2012_ZAR2022!$AC$4:$AG$4,0)))</f>
        <v>1.5621842063804479</v>
      </c>
      <c r="AG47" s="67">
        <f t="array" ref="AG47">IF($W$1,AF47*(1+INDEX(AG$1:AG$2,MATCH($O47,$AA$1:$AA$2,0)))^(AG$16-AF$16),INDEX(AEA2012_ZAR2022!$AC$6:$AG$104,MATCH($T47&amp;$U47,AEA2012_ZAR2022!$A$6:$A$104&amp;AEA2012_ZAR2022!$B$6:$B$104,0),MATCH(AG$16,AEA2012_ZAR2022!$AC$4:$AG$4,0)))</f>
        <v>1.4128113941123317</v>
      </c>
      <c r="AH47" s="67">
        <f t="array" ref="AH47">IF($W$1,AG47*(1+INDEX(AH$1:AH$2,MATCH($O47,$AA$1:$AA$2,0)))^(AH$16-AG$16),INDEX(AEA2012_ZAR2022!$AC$6:$AG$104,MATCH($T47&amp;$U47,AEA2012_ZAR2022!$A$6:$A$104&amp;AEA2012_ZAR2022!$B$6:$B$104,0),MATCH(AH$16,AEA2012_ZAR2022!$AC$4:$AG$4,0)))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IF($W$1,AD48*(1+INDEX(AE$1:AE$2,MATCH($O48,$AA$1:$AA$2,0)))^(AE$16-AD$16),INDEX(AEA2012_ZAR2022!$AC$6:$AG$104,MATCH($T48&amp;$U48,AEA2012_ZAR2022!$A$6:$A$104&amp;AEA2012_ZAR2022!$B$6:$B$104,0),MATCH(AE$16,AEA2012_ZAR2022!$AC$4:$AG$4,0)))</f>
        <v>1.2632472219288413</v>
      </c>
      <c r="AF48" s="67">
        <f t="array" ref="AF48">IF($W$1,AE48*(1+INDEX(AF$1:AF$2,MATCH($O48,$AA$1:$AA$2,0)))^(AF$16-AE$16),INDEX(AEA2012_ZAR2022!$AC$6:$AG$104,MATCH($T48&amp;$U48,AEA2012_ZAR2022!$A$6:$A$104&amp;AEA2012_ZAR2022!$B$6:$B$104,0),MATCH(AF$16,AEA2012_ZAR2022!$AC$4:$AG$4,0)))</f>
        <v>1.1716381547853358</v>
      </c>
      <c r="AG48" s="67">
        <f t="array" ref="AG48">IF($W$1,AF48*(1+INDEX(AG$1:AG$2,MATCH($O48,$AA$1:$AA$2,0)))^(AG$16-AF$16),INDEX(AEA2012_ZAR2022!$AC$6:$AG$104,MATCH($T48&amp;$U48,AEA2012_ZAR2022!$A$6:$A$104&amp;AEA2012_ZAR2022!$B$6:$B$104,0),MATCH(AG$16,AEA2012_ZAR2022!$AC$4:$AG$4,0)))</f>
        <v>1.0596085455842486</v>
      </c>
      <c r="AH48" s="67">
        <f t="array" ref="AH48">IF($W$1,AG48*(1+INDEX(AH$1:AH$2,MATCH($O48,$AA$1:$AA$2,0)))^(AH$16-AG$16),INDEX(AEA2012_ZAR2022!$AC$6:$AG$104,MATCH($T48&amp;$U48,AEA2012_ZAR2022!$A$6:$A$104&amp;AEA2012_ZAR2022!$B$6:$B$104,0),MATCH(AH$16,AEA2012_ZAR2022!$AC$4:$AG$4,0)))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7"/>
      <c r="N49" s="61" t="s">
        <v>501</v>
      </c>
      <c r="O49" s="61" t="s">
        <v>613</v>
      </c>
      <c r="P49" s="61" t="s">
        <v>714</v>
      </c>
      <c r="Q49" s="61" t="str">
        <f t="shared" si="6"/>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IF($W$1,AD49*(1+INDEX(AE$1:AE$2,MATCH($O49,$AA$1:$AA$2,0)))^(AE$16-AD$16),INDEX(AEA2012_ZAR2022!$AC$6:$AG$104,MATCH($T49&amp;$U49,AEA2012_ZAR2022!$A$6:$A$104&amp;AEA2012_ZAR2022!$B$6:$B$104,0),MATCH(AE$16,AEA2012_ZAR2022!$AC$4:$AG$4,0)))</f>
        <v>0.33960350609887252</v>
      </c>
      <c r="AF49" s="67">
        <f t="array" ref="AF49">IF($W$1,AE49*(1+INDEX(AF$1:AF$2,MATCH($O49,$AA$1:$AA$2,0)))^(AF$16-AE$16),INDEX(AEA2012_ZAR2022!$AC$6:$AG$104,MATCH($T49&amp;$U49,AEA2012_ZAR2022!$A$6:$A$104&amp;AEA2012_ZAR2022!$B$6:$B$104,0),MATCH(AF$16,AEA2012_ZAR2022!$AC$4:$AG$4,0)))</f>
        <v>0.31497589572116774</v>
      </c>
      <c r="AG49" s="67">
        <f t="array" ref="AG49">IF($W$1,AF49*(1+INDEX(AG$1:AG$2,MATCH($O49,$AA$1:$AA$2,0)))^(AG$16-AF$16),INDEX(AEA2012_ZAR2022!$AC$6:$AG$104,MATCH($T49&amp;$U49,AEA2012_ZAR2022!$A$6:$A$104&amp;AEA2012_ZAR2022!$B$6:$B$104,0),MATCH(AG$16,AEA2012_ZAR2022!$AC$4:$AG$4,0)))</f>
        <v>0.28485855415006645</v>
      </c>
      <c r="AH49" s="67">
        <f t="array" ref="AH49">IF($W$1,AG49*(1+INDEX(AH$1:AH$2,MATCH($O49,$AA$1:$AA$2,0)))^(AH$16-AG$16),INDEX(AEA2012_ZAR2022!$AC$6:$AG$104,MATCH($T49&amp;$U49,AEA2012_ZAR2022!$A$6:$A$104&amp;AEA2012_ZAR2022!$B$6:$B$104,0),MATCH(AH$16,AEA2012_ZAR2022!$AC$4:$AG$4,0)))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7"/>
      <c r="N50" s="61" t="s">
        <v>504</v>
      </c>
      <c r="O50" s="61" t="s">
        <v>613</v>
      </c>
      <c r="P50" s="61" t="s">
        <v>714</v>
      </c>
      <c r="Q50" s="61" t="str">
        <f t="shared" si="6"/>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IF($W$1,AD50*(1+INDEX(AE$1:AE$2,MATCH($O50,$AA$1:$AA$2,0)))^(AE$16-AD$16),INDEX(AEA2012_ZAR2022!$AC$6:$AG$104,MATCH($T50&amp;$U50,AEA2012_ZAR2022!$A$6:$A$104&amp;AEA2012_ZAR2022!$B$6:$B$104,0),MATCH(AE$16,AEA2012_ZAR2022!$AC$4:$AG$4,0)))</f>
        <v>0.74641080390032655</v>
      </c>
      <c r="AF50" s="67">
        <f t="array" ref="AF50">IF($W$1,AE50*(1+INDEX(AF$1:AF$2,MATCH($O50,$AA$1:$AA$2,0)))^(AF$16-AE$16),INDEX(AEA2012_ZAR2022!$AC$6:$AG$104,MATCH($T50&amp;$U50,AEA2012_ZAR2022!$A$6:$A$104&amp;AEA2012_ZAR2022!$B$6:$B$104,0),MATCH(AF$16,AEA2012_ZAR2022!$AC$4:$AG$4,0)))</f>
        <v>0.6922820504274021</v>
      </c>
      <c r="AG50" s="67">
        <f t="array" ref="AG50">IF($W$1,AF50*(1+INDEX(AG$1:AG$2,MATCH($O50,$AA$1:$AA$2,0)))^(AG$16-AF$16),INDEX(AEA2012_ZAR2022!$AC$6:$AG$104,MATCH($T50&amp;$U50,AEA2012_ZAR2022!$A$6:$A$104&amp;AEA2012_ZAR2022!$B$6:$B$104,0),MATCH(AG$16,AEA2012_ZAR2022!$AC$4:$AG$4,0)))</f>
        <v>0.62608747725688363</v>
      </c>
      <c r="AH50" s="67">
        <f t="array" ref="AH50">IF($W$1,AG50*(1+INDEX(AH$1:AH$2,MATCH($O50,$AA$1:$AA$2,0)))^(AH$16-AG$16),INDEX(AEA2012_ZAR2022!$AC$6:$AG$104,MATCH($T50&amp;$U50,AEA2012_ZAR2022!$A$6:$A$104&amp;AEA2012_ZAR2022!$B$6:$B$104,0),MATCH(AH$16,AEA2012_ZAR2022!$AC$4:$AG$4,0)))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7" t="s">
        <v>711</v>
      </c>
      <c r="D51" s="61" t="s">
        <v>713</v>
      </c>
      <c r="E51" s="61" t="s">
        <v>706</v>
      </c>
      <c r="F51" s="61">
        <v>8850</v>
      </c>
      <c r="O51" s="61" t="s">
        <v>613</v>
      </c>
      <c r="Q51" s="61" t="str">
        <f t="shared" si="6"/>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11"/>
        <v/>
      </c>
      <c r="AD51" s="67" t="e">
        <f>1/INDEX(Analytica!$AA$17:$AE$48,MATCH($AC51,Analytica!$A$17:$A$48,0),MATCH(AD$16,Analytica!$AA$16:$AE$16,0))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11"/>
        <v>BUSODS</v>
      </c>
      <c r="AD52" s="67">
        <f>1/INDEX(Analytica!$AA$17:$AE$48,MATCH($AC52,Analytica!$A$17:$A$48,0),MATCH(AD$16,Analytica!$AA$16:$AE$16,0))</f>
        <v>15.540416584459544</v>
      </c>
      <c r="AE52" s="67">
        <f t="array" ref="AE52">IF($W$1,AD52*(1+INDEX(AE$1:AE$2,MATCH($O52,$AA$1:$AA$2,0)))^(AE$16-AD$16),INDEX(AEA2012_ZAR2022!$AC$6:$AG$104,MATCH($T52&amp;$U52,AEA2012_ZAR2022!$A$6:$A$104&amp;AEA2012_ZAR2022!$B$6:$B$104,0),MATCH(AE$16,AEA2012_ZAR2022!$AC$4:$AG$4,0)))</f>
        <v>15.308473924384414</v>
      </c>
      <c r="AF52" s="67">
        <f t="array" ref="AF52">IF($W$1,AE52*(1+INDEX(AF$1:AF$2,MATCH($O52,$AA$1:$AA$2,0)))^(AF$16-AE$16),INDEX(AEA2012_ZAR2022!$AC$6:$AG$104,MATCH($T52&amp;$U52,AEA2012_ZAR2022!$A$6:$A$104&amp;AEA2012_ZAR2022!$B$6:$B$104,0),MATCH(AF$16,AEA2012_ZAR2022!$AC$4:$AG$4,0)))</f>
        <v>14.198323043971449</v>
      </c>
      <c r="AG52" s="67">
        <f t="array" ref="AG52">IF($W$1,AF52*(1+INDEX(AG$1:AG$2,MATCH($O52,$AA$1:$AA$2,0)))^(AG$16-AF$16),INDEX(AEA2012_ZAR2022!$AC$6:$AG$104,MATCH($T52&amp;$U52,AEA2012_ZAR2022!$A$6:$A$104&amp;AEA2012_ZAR2022!$B$6:$B$104,0),MATCH(AG$16,AEA2012_ZAR2022!$AC$4:$AG$4,0)))</f>
        <v>12.840708856152222</v>
      </c>
      <c r="AH52" s="67">
        <f t="array" ref="AH52">IF($W$1,AG52*(1+INDEX(AH$1:AH$2,MATCH($O52,$AA$1:$AA$2,0)))^(AH$16-AG$16),INDEX(AEA2012_ZAR2022!$AC$6:$AG$104,MATCH($T52&amp;$U52,AEA2012_ZAR2022!$A$6:$A$104&amp;AEA2012_ZAR2022!$B$6:$B$104,0),MATCH(AH$16,AEA2012_ZAR2022!$AC$4:$AG$4,0)))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7"/>
      <c r="N53" s="61" t="s">
        <v>506</v>
      </c>
      <c r="O53" s="61" t="s">
        <v>613</v>
      </c>
      <c r="P53" s="61" t="s">
        <v>563</v>
      </c>
      <c r="Q53" s="61" t="str">
        <f t="shared" si="6"/>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IF($W$1,AD53*(1+INDEX(AE$1:AE$2,MATCH($O53,$AA$1:$AA$2,0)))^(AE$16-AD$16),INDEX(AEA2012_ZAR2022!$AC$6:$AG$104,MATCH($T53&amp;$U53,AEA2012_ZAR2022!$A$6:$A$104&amp;AEA2012_ZAR2022!$B$6:$B$104,0),MATCH(AE$16,AEA2012_ZAR2022!$AC$4:$AG$4,0)))</f>
        <v>15.308473924384414</v>
      </c>
      <c r="AF53" s="67">
        <f t="array" ref="AF53">IF($W$1,AE53*(1+INDEX(AF$1:AF$2,MATCH($O53,$AA$1:$AA$2,0)))^(AF$16-AE$16),INDEX(AEA2012_ZAR2022!$AC$6:$AG$104,MATCH($T53&amp;$U53,AEA2012_ZAR2022!$A$6:$A$104&amp;AEA2012_ZAR2022!$B$6:$B$104,0),MATCH(AF$16,AEA2012_ZAR2022!$AC$4:$AG$4,0)))</f>
        <v>14.198323043971449</v>
      </c>
      <c r="AG53" s="67">
        <f t="array" ref="AG53">IF($W$1,AF53*(1+INDEX(AG$1:AG$2,MATCH($O53,$AA$1:$AA$2,0)))^(AG$16-AF$16),INDEX(AEA2012_ZAR2022!$AC$6:$AG$104,MATCH($T53&amp;$U53,AEA2012_ZAR2022!$A$6:$A$104&amp;AEA2012_ZAR2022!$B$6:$B$104,0),MATCH(AG$16,AEA2012_ZAR2022!$AC$4:$AG$4,0)))</f>
        <v>12.840708856152222</v>
      </c>
      <c r="AH53" s="67">
        <f t="array" ref="AH53">IF($W$1,AG53*(1+INDEX(AH$1:AH$2,MATCH($O53,$AA$1:$AA$2,0)))^(AH$16-AG$16),INDEX(AEA2012_ZAR2022!$AC$6:$AG$104,MATCH($T53&amp;$U53,AEA2012_ZAR2022!$A$6:$A$104&amp;AEA2012_ZAR2022!$B$6:$B$104,0),MATCH(AH$16,AEA2012_ZAR2022!$AC$4:$AG$4,0)))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IF($W$1,AD54*(1+INDEX(AE$1:AE$2,MATCH($O54,$AA$1:$AA$2,0)))^(AE$16-AD$16),INDEX(AEA2012_ZAR2022!$AC$6:$AG$104,MATCH($T54&amp;$U54,AEA2012_ZAR2022!$A$6:$A$104&amp;AEA2012_ZAR2022!$B$6:$B$104,0),MATCH(AE$16,AEA2012_ZAR2022!$AC$4:$AG$4,0)))</f>
        <v>4.7001706440703899</v>
      </c>
      <c r="AF54" s="67">
        <f t="array" ref="AF54">IF($W$1,AE54*(1+INDEX(AF$1:AF$2,MATCH($O54,$AA$1:$AA$2,0)))^(AF$16-AE$16),INDEX(AEA2012_ZAR2022!$AC$6:$AG$104,MATCH($T54&amp;$U54,AEA2012_ZAR2022!$A$6:$A$104&amp;AEA2012_ZAR2022!$B$6:$B$104,0),MATCH(AF$16,AEA2012_ZAR2022!$AC$4:$AG$4,0)))</f>
        <v>4.3593203016796647</v>
      </c>
      <c r="AG54" s="67">
        <f t="array" ref="AG54">IF($W$1,AF54*(1+INDEX(AG$1:AG$2,MATCH($O54,$AA$1:$AA$2,0)))^(AG$16-AF$16),INDEX(AEA2012_ZAR2022!$AC$6:$AG$104,MATCH($T54&amp;$U54,AEA2012_ZAR2022!$A$6:$A$104&amp;AEA2012_ZAR2022!$B$6:$B$104,0),MATCH(AG$16,AEA2012_ZAR2022!$AC$4:$AG$4,0)))</f>
        <v>3.9424911400610618</v>
      </c>
      <c r="AH54" s="67">
        <f t="array" ref="AH54">IF($W$1,AG54*(1+INDEX(AH$1:AH$2,MATCH($O54,$AA$1:$AA$2,0)))^(AH$16-AG$16),INDEX(AEA2012_ZAR2022!$AC$6:$AG$104,MATCH($T54&amp;$U54,AEA2012_ZAR2022!$A$6:$A$104&amp;AEA2012_ZAR2022!$B$6:$B$104,0),MATCH(AH$16,AEA2012_ZAR2022!$AC$4:$AG$4,0)))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4657878.9828369115</v>
      </c>
      <c r="X55" s="103">
        <f t="array" ref="X55">IF(X$18,INDEX(AEA2012_ZAR2022!$K$6:$R$104,MATCH($T55&amp;$R55,AEA2012_ZAR2022!$A$6:$A$104&amp;AEA2012_ZAR2022!$B$6:$B$104,0),MATCH(X$16,AEA2012_ZAR2022!$S$4:$Z$4,0)),INDEX(AEA2012_ZAR2022!$K$6:$R$104,MATCH($T55&amp;$U55,AEA2012_ZAR2022!$A$6:$A$104&amp;AEA2012_ZAR2022!$B$6:$B$104,0),MATCH(X$16,AEA2012_ZAR2022!$S$4:$Z$4,0)))</f>
        <v>4284563.3154619941</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IF($W$1,AD55*(1+INDEX(AE$1:AE$2,MATCH($O55,$AA$1:$AA$2,0)))^(AE$16-AD$16),INDEX(AEA2012_ZAR2022!$AC$6:$AG$104,MATCH($T55&amp;$U55,AEA2012_ZAR2022!$A$6:$A$104&amp;AEA2012_ZAR2022!$B$6:$B$104,0),MATCH(AE$16,AEA2012_ZAR2022!$AC$4:$AG$4,0)))</f>
        <v>7.2564038013718299</v>
      </c>
      <c r="AF55" s="67">
        <f t="array" ref="AF55">IF($W$1,AE55*(1+INDEX(AF$1:AF$2,MATCH($O55,$AA$1:$AA$2,0)))^(AF$16-AE$16),INDEX(AEA2012_ZAR2022!$AC$6:$AG$104,MATCH($T55&amp;$U55,AEA2012_ZAR2022!$A$6:$A$104&amp;AEA2012_ZAR2022!$B$6:$B$104,0),MATCH(AF$16,AEA2012_ZAR2022!$AC$4:$AG$4,0)))</f>
        <v>6.730178711365097</v>
      </c>
      <c r="AG55" s="67">
        <f t="array" ref="AG55">IF($W$1,AF55*(1+INDEX(AG$1:AG$2,MATCH($O55,$AA$1:$AA$2,0)))^(AG$16-AF$16),INDEX(AEA2012_ZAR2022!$AC$6:$AG$104,MATCH($T55&amp;$U55,AEA2012_ZAR2022!$A$6:$A$104&amp;AEA2012_ZAR2022!$B$6:$B$104,0),MATCH(AG$16,AEA2012_ZAR2022!$AC$4:$AG$4,0)))</f>
        <v>6.0866529881644471</v>
      </c>
      <c r="AH55" s="67">
        <f t="array" ref="AH55">IF($W$1,AG55*(1+INDEX(AH$1:AH$2,MATCH($O55,$AA$1:$AA$2,0)))^(AH$16-AG$16),INDEX(AEA2012_ZAR2022!$AC$6:$AG$104,MATCH($T55&amp;$U55,AEA2012_ZAR2022!$A$6:$A$104&amp;AEA2012_ZAR2022!$B$6:$B$104,0),MATCH(AH$16,AEA2012_ZAR2022!$AC$4:$AG$4,0)))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7"/>
      <c r="N56" s="61" t="s">
        <v>509</v>
      </c>
      <c r="O56" s="61" t="s">
        <v>613</v>
      </c>
      <c r="P56" s="61" t="s">
        <v>563</v>
      </c>
      <c r="Q56" s="61" t="str">
        <f t="shared" si="6"/>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IF($W$1,AD56*(1+INDEX(AE$1:AE$2,MATCH($O56,$AA$1:$AA$2,0)))^(AE$16-AD$16),INDEX(AEA2012_ZAR2022!$AC$6:$AG$104,MATCH($T56&amp;$U56,AEA2012_ZAR2022!$A$6:$A$104&amp;AEA2012_ZAR2022!$B$6:$B$104,0),MATCH(AE$16,AEA2012_ZAR2022!$AC$4:$AG$4,0)))</f>
        <v>17.604745013042074</v>
      </c>
      <c r="AF56" s="67">
        <f t="array" ref="AF56">IF($W$1,AE56*(1+INDEX(AF$1:AF$2,MATCH($O56,$AA$1:$AA$2,0)))^(AF$16-AE$16),INDEX(AEA2012_ZAR2022!$AC$6:$AG$104,MATCH($T56&amp;$U56,AEA2012_ZAR2022!$A$6:$A$104&amp;AEA2012_ZAR2022!$B$6:$B$104,0),MATCH(AF$16,AEA2012_ZAR2022!$AC$4:$AG$4,0)))</f>
        <v>16.328071500567166</v>
      </c>
      <c r="AG56" s="67">
        <f t="array" ref="AG56">IF($W$1,AF56*(1+INDEX(AG$1:AG$2,MATCH($O56,$AA$1:$AA$2,0)))^(AG$16-AF$16),INDEX(AEA2012_ZAR2022!$AC$6:$AG$104,MATCH($T56&amp;$U56,AEA2012_ZAR2022!$A$6:$A$104&amp;AEA2012_ZAR2022!$B$6:$B$104,0),MATCH(AG$16,AEA2012_ZAR2022!$AC$4:$AG$4,0)))</f>
        <v>14.766815184575055</v>
      </c>
      <c r="AH56" s="67">
        <f t="array" ref="AH56">IF($W$1,AG56*(1+INDEX(AH$1:AH$2,MATCH($O56,$AA$1:$AA$2,0)))^(AH$16-AG$16),INDEX(AEA2012_ZAR2022!$AC$6:$AG$104,MATCH($T56&amp;$U56,AEA2012_ZAR2022!$A$6:$A$104&amp;AEA2012_ZAR2022!$B$6:$B$104,0),MATCH(AH$16,AEA2012_ZAR2022!$AC$4:$AG$4,0)))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11"/>
        <v/>
      </c>
      <c r="AD57" s="67" t="e">
        <f>1/INDEX(Analytica!$AA$17:$AE$48,MATCH($AC57,Analytica!$A$17:$A$48,0),MATCH(AD$16,Analytica!$AA$16:$AE$16,0))</f>
        <v>#N/A</v>
      </c>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IF($W$1,AD58*(1+INDEX(AE$1:AE$2,MATCH($O58,$AA$1:$AA$2,0)))^(AE$16-AD$16),INDEX(AEA2012_ZAR2022!$AC$6:$AG$104,MATCH($T58&amp;$U58,AEA2012_ZAR2022!$A$6:$A$104&amp;AEA2012_ZAR2022!$B$6:$B$104,0),MATCH(AE$16,AEA2012_ZAR2022!$AC$4:$AG$4,0)))</f>
        <v>15.308473924384414</v>
      </c>
      <c r="AF58" s="67">
        <f t="array" ref="AF58">IF($W$1,AE58*(1+INDEX(AF$1:AF$2,MATCH($O58,$AA$1:$AA$2,0)))^(AF$16-AE$16),INDEX(AEA2012_ZAR2022!$AC$6:$AG$104,MATCH($T58&amp;$U58,AEA2012_ZAR2022!$A$6:$A$104&amp;AEA2012_ZAR2022!$B$6:$B$104,0),MATCH(AF$16,AEA2012_ZAR2022!$AC$4:$AG$4,0)))</f>
        <v>14.198323043971449</v>
      </c>
      <c r="AG58" s="67">
        <f t="array" ref="AG58">IF($W$1,AF58*(1+INDEX(AG$1:AG$2,MATCH($O58,$AA$1:$AA$2,0)))^(AG$16-AF$16),INDEX(AEA2012_ZAR2022!$AC$6:$AG$104,MATCH($T58&amp;$U58,AEA2012_ZAR2022!$A$6:$A$104&amp;AEA2012_ZAR2022!$B$6:$B$104,0),MATCH(AG$16,AEA2012_ZAR2022!$AC$4:$AG$4,0)))</f>
        <v>12.840708856152222</v>
      </c>
      <c r="AH58" s="67">
        <f t="array" ref="AH58">IF($W$1,AG58*(1+INDEX(AH$1:AH$2,MATCH($O58,$AA$1:$AA$2,0)))^(AH$16-AG$16),INDEX(AEA2012_ZAR2022!$AC$6:$AG$104,MATCH($T58&amp;$U58,AEA2012_ZAR2022!$A$6:$A$104&amp;AEA2012_ZAR2022!$B$6:$B$104,0),MATCH(AH$16,AEA2012_ZAR2022!$AC$4:$AG$4,0)))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IF($W$1,AD59*(1+INDEX(AE$1:AE$2,MATCH($O59,$AA$1:$AA$2,0)))^(AE$16-AD$16),INDEX(AEA2012_ZAR2022!$AC$6:$AG$104,MATCH($T59&amp;$U59,AEA2012_ZAR2022!$A$6:$A$104&amp;AEA2012_ZAR2022!$B$6:$B$104,0),MATCH(AE$16,AEA2012_ZAR2022!$AC$4:$AG$4,0)))</f>
        <v>15.308473924384414</v>
      </c>
      <c r="AF59" s="67">
        <f t="array" ref="AF59">IF($W$1,AE59*(1+INDEX(AF$1:AF$2,MATCH($O59,$AA$1:$AA$2,0)))^(AF$16-AE$16),INDEX(AEA2012_ZAR2022!$AC$6:$AG$104,MATCH($T59&amp;$U59,AEA2012_ZAR2022!$A$6:$A$104&amp;AEA2012_ZAR2022!$B$6:$B$104,0),MATCH(AF$16,AEA2012_ZAR2022!$AC$4:$AG$4,0)))</f>
        <v>14.198323043971449</v>
      </c>
      <c r="AG59" s="67">
        <f t="array" ref="AG59">IF($W$1,AF59*(1+INDEX(AG$1:AG$2,MATCH($O59,$AA$1:$AA$2,0)))^(AG$16-AF$16),INDEX(AEA2012_ZAR2022!$AC$6:$AG$104,MATCH($T59&amp;$U59,AEA2012_ZAR2022!$A$6:$A$104&amp;AEA2012_ZAR2022!$B$6:$B$104,0),MATCH(AG$16,AEA2012_ZAR2022!$AC$4:$AG$4,0)))</f>
        <v>12.840708856152222</v>
      </c>
      <c r="AH59" s="67">
        <f t="array" ref="AH59">IF($W$1,AG59*(1+INDEX(AH$1:AH$2,MATCH($O59,$AA$1:$AA$2,0)))^(AH$16-AG$16),INDEX(AEA2012_ZAR2022!$AC$6:$AG$104,MATCH($T59&amp;$U59,AEA2012_ZAR2022!$A$6:$A$104&amp;AEA2012_ZAR2022!$B$6:$B$104,0),MATCH(AH$16,AEA2012_ZAR2022!$AC$4:$AG$4,0)))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IF($W$1,AD60*(1+INDEX(AE$1:AE$2,MATCH($O60,$AA$1:$AA$2,0)))^(AE$16-AD$16),INDEX(AEA2012_ZAR2022!$AC$6:$AG$104,MATCH($T60&amp;$U60,AEA2012_ZAR2022!$A$6:$A$104&amp;AEA2012_ZAR2022!$B$6:$B$104,0),MATCH(AE$16,AEA2012_ZAR2022!$AC$4:$AG$4,0)))</f>
        <v>4.7001706440703899</v>
      </c>
      <c r="AF60" s="67">
        <f t="array" ref="AF60">IF($W$1,AE60*(1+INDEX(AF$1:AF$2,MATCH($O60,$AA$1:$AA$2,0)))^(AF$16-AE$16),INDEX(AEA2012_ZAR2022!$AC$6:$AG$104,MATCH($T60&amp;$U60,AEA2012_ZAR2022!$A$6:$A$104&amp;AEA2012_ZAR2022!$B$6:$B$104,0),MATCH(AF$16,AEA2012_ZAR2022!$AC$4:$AG$4,0)))</f>
        <v>4.3593203016796647</v>
      </c>
      <c r="AG60" s="67">
        <f t="array" ref="AG60">IF($W$1,AF60*(1+INDEX(AG$1:AG$2,MATCH($O60,$AA$1:$AA$2,0)))^(AG$16-AF$16),INDEX(AEA2012_ZAR2022!$AC$6:$AG$104,MATCH($T60&amp;$U60,AEA2012_ZAR2022!$A$6:$A$104&amp;AEA2012_ZAR2022!$B$6:$B$104,0),MATCH(AG$16,AEA2012_ZAR2022!$AC$4:$AG$4,0)))</f>
        <v>3.9424911400610618</v>
      </c>
      <c r="AH60" s="67">
        <f t="array" ref="AH60">IF($W$1,AG60*(1+INDEX(AH$1:AH$2,MATCH($O60,$AA$1:$AA$2,0)))^(AH$16-AG$16),INDEX(AEA2012_ZAR2022!$AC$6:$AG$104,MATCH($T60&amp;$U60,AEA2012_ZAR2022!$A$6:$A$104&amp;AEA2012_ZAR2022!$B$6:$B$104,0),MATCH(AH$16,AEA2012_ZAR2022!$AC$4:$AG$4,0)))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4657878.9828369115</v>
      </c>
      <c r="X61" s="103">
        <f t="array" ref="X61">IF(X$18,INDEX(AEA2012_ZAR2022!$K$6:$R$104,MATCH($T61&amp;$R61,AEA2012_ZAR2022!$A$6:$A$104&amp;AEA2012_ZAR2022!$B$6:$B$104,0),MATCH(X$16,AEA2012_ZAR2022!$S$4:$Z$4,0)),INDEX(AEA2012_ZAR2022!$K$6:$R$104,MATCH($T61&amp;$U61,AEA2012_ZAR2022!$A$6:$A$104&amp;AEA2012_ZAR2022!$B$6:$B$104,0),MATCH(X$16,AEA2012_ZAR2022!$S$4:$Z$4,0)))</f>
        <v>4284563.3154619941</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IF($W$1,AD61*(1+INDEX(AE$1:AE$2,MATCH($O61,$AA$1:$AA$2,0)))^(AE$16-AD$16),INDEX(AEA2012_ZAR2022!$AC$6:$AG$104,MATCH($T61&amp;$U61,AEA2012_ZAR2022!$A$6:$A$104&amp;AEA2012_ZAR2022!$B$6:$B$104,0),MATCH(AE$16,AEA2012_ZAR2022!$AC$4:$AG$4,0)))</f>
        <v>7.2564038013718299</v>
      </c>
      <c r="AF61" s="67">
        <f t="array" ref="AF61">IF($W$1,AE61*(1+INDEX(AF$1:AF$2,MATCH($O61,$AA$1:$AA$2,0)))^(AF$16-AE$16),INDEX(AEA2012_ZAR2022!$AC$6:$AG$104,MATCH($T61&amp;$U61,AEA2012_ZAR2022!$A$6:$A$104&amp;AEA2012_ZAR2022!$B$6:$B$104,0),MATCH(AF$16,AEA2012_ZAR2022!$AC$4:$AG$4,0)))</f>
        <v>6.730178711365097</v>
      </c>
      <c r="AG61" s="67">
        <f t="array" ref="AG61">IF($W$1,AF61*(1+INDEX(AG$1:AG$2,MATCH($O61,$AA$1:$AA$2,0)))^(AG$16-AF$16),INDEX(AEA2012_ZAR2022!$AC$6:$AG$104,MATCH($T61&amp;$U61,AEA2012_ZAR2022!$A$6:$A$104&amp;AEA2012_ZAR2022!$B$6:$B$104,0),MATCH(AG$16,AEA2012_ZAR2022!$AC$4:$AG$4,0)))</f>
        <v>6.0866529881644471</v>
      </c>
      <c r="AH61" s="67">
        <f t="array" ref="AH61">IF($W$1,AG61*(1+INDEX(AH$1:AH$2,MATCH($O61,$AA$1:$AA$2,0)))^(AH$16-AG$16),INDEX(AEA2012_ZAR2022!$AC$6:$AG$104,MATCH($T61&amp;$U61,AEA2012_ZAR2022!$A$6:$A$104&amp;AEA2012_ZAR2022!$B$6:$B$104,0),MATCH(AH$16,AEA2012_ZAR2022!$AC$4:$AG$4,0)))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IF($W$1,AD62*(1+INDEX(AE$1:AE$2,MATCH($O62,$AA$1:$AA$2,0)))^(AE$16-AD$16),INDEX(AEA2012_ZAR2022!$AC$6:$AG$104,MATCH($T62&amp;$U62,AEA2012_ZAR2022!$A$6:$A$104&amp;AEA2012_ZAR2022!$B$6:$B$104,0),MATCH(AE$16,AEA2012_ZAR2022!$AC$4:$AG$4,0)))</f>
        <v>17.604745013042074</v>
      </c>
      <c r="AF62" s="67">
        <f t="array" ref="AF62">IF($W$1,AE62*(1+INDEX(AF$1:AF$2,MATCH($O62,$AA$1:$AA$2,0)))^(AF$16-AE$16),INDEX(AEA2012_ZAR2022!$AC$6:$AG$104,MATCH($T62&amp;$U62,AEA2012_ZAR2022!$A$6:$A$104&amp;AEA2012_ZAR2022!$B$6:$B$104,0),MATCH(AF$16,AEA2012_ZAR2022!$AC$4:$AG$4,0)))</f>
        <v>16.328071500567166</v>
      </c>
      <c r="AG62" s="67">
        <f t="array" ref="AG62">IF($W$1,AF62*(1+INDEX(AG$1:AG$2,MATCH($O62,$AA$1:$AA$2,0)))^(AG$16-AF$16),INDEX(AEA2012_ZAR2022!$AC$6:$AG$104,MATCH($T62&amp;$U62,AEA2012_ZAR2022!$A$6:$A$104&amp;AEA2012_ZAR2022!$B$6:$B$104,0),MATCH(AG$16,AEA2012_ZAR2022!$AC$4:$AG$4,0)))</f>
        <v>14.766815184575055</v>
      </c>
      <c r="AH62" s="67">
        <f t="array" ref="AH62">IF($W$1,AG62*(1+INDEX(AH$1:AH$2,MATCH($O62,$AA$1:$AA$2,0)))^(AH$16-AG$16),INDEX(AEA2012_ZAR2022!$AC$6:$AG$104,MATCH($T62&amp;$U62,AEA2012_ZAR2022!$A$6:$A$104&amp;AEA2012_ZAR2022!$B$6:$B$104,0),MATCH(AH$16,AEA2012_ZAR2022!$AC$4:$AG$4,0)))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75" thickBot="1" x14ac:dyDescent="0.3">
      <c r="A63" s="262" t="s">
        <v>722</v>
      </c>
      <c r="C63" s="61">
        <v>2010</v>
      </c>
      <c r="Q63" s="61" t="str">
        <f t="shared" si="6"/>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11"/>
        <v/>
      </c>
      <c r="AD63" s="67" t="e">
        <f>1/INDEX(Analytica!$AA$17:$AE$48,MATCH($AC63,Analytica!$A$17:$A$48,0),MATCH(AD$16,Analytica!$AA$16:$AE$16,0))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75" thickBot="1" x14ac:dyDescent="0.3">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11"/>
        <v>LCVOGS</v>
      </c>
      <c r="AD64" s="67">
        <f>1/INDEX(Analytica!$AA$17:$AE$48,MATCH($AC64,Analytica!$A$17:$A$48,0),MATCH(AD$16,Analytica!$AA$16:$AE$16,0))</f>
        <v>4.8483852312768576</v>
      </c>
      <c r="AE64" s="67">
        <f t="array" ref="AE64">IF($W$1,AD64*(1+INDEX(AE$1:AE$2,MATCH($O64,$AA$1:$AA$2,0)))^(AE$16-AD$16),INDEX(AEA2012_ZAR2022!$AC$6:$AG$104,MATCH($T64&amp;$U64,AEA2012_ZAR2022!$A$6:$A$104&amp;AEA2012_ZAR2022!$B$6:$B$104,0),MATCH(AE$16,AEA2012_ZAR2022!$AC$4:$AG$4,0)))</f>
        <v>4.8338546158903357</v>
      </c>
      <c r="AF64" s="67">
        <f t="array" ref="AF64">IF($W$1,AE64*(1+INDEX(AF$1:AF$2,MATCH($O64,$AA$1:$AA$2,0)))^(AF$16-AE$16),INDEX(AEA2012_ZAR2022!$AC$6:$AG$104,MATCH($T64&amp;$U64,AEA2012_ZAR2022!$A$6:$A$104&amp;AEA2012_ZAR2022!$B$6:$B$104,0),MATCH(AF$16,AEA2012_ZAR2022!$AC$4:$AG$4,0)))</f>
        <v>4.5744771114907996</v>
      </c>
      <c r="AG64" s="67">
        <f t="array" ref="AG64">IF($W$1,AF64*(1+INDEX(AG$1:AG$2,MATCH($O64,$AA$1:$AA$2,0)))^(AG$16-AF$16),INDEX(AEA2012_ZAR2022!$AC$6:$AG$104,MATCH($T64&amp;$U64,AEA2012_ZAR2022!$A$6:$A$104&amp;AEA2012_ZAR2022!$B$6:$B$104,0),MATCH(AG$16,AEA2012_ZAR2022!$AC$4:$AG$4,0)))</f>
        <v>4.1370751021703311</v>
      </c>
      <c r="AH64" s="67">
        <f t="array" ref="AH64">IF($W$1,AG64*(1+INDEX(AH$1:AH$2,MATCH($O64,$AA$1:$AA$2,0)))^(AH$16-AG$16),INDEX(AEA2012_ZAR2022!$AC$6:$AG$104,MATCH($T64&amp;$U64,AEA2012_ZAR2022!$A$6:$A$104&amp;AEA2012_ZAR2022!$B$6:$B$104,0),MATCH(AH$16,AEA2012_ZAR2022!$AC$4:$AG$4,0)))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75" thickBot="1" x14ac:dyDescent="0.3">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IF($W$1,AD65*(1+INDEX(AE$1:AE$2,MATCH($O65,$AA$1:$AA$2,0)))^(AE$16-AD$16),INDEX(AEA2012_ZAR2022!$AC$6:$AG$104,MATCH($T65&amp;$U65,AEA2012_ZAR2022!$A$6:$A$104&amp;AEA2012_ZAR2022!$B$6:$B$104,0),MATCH(AE$16,AEA2012_ZAR2022!$AC$4:$AG$4,0)))</f>
        <v>3.6935257512572912</v>
      </c>
      <c r="AF65" s="67">
        <f t="array" ref="AF65">IF($W$1,AE65*(1+INDEX(AF$1:AF$2,MATCH($O65,$AA$1:$AA$2,0)))^(AF$16-AE$16),INDEX(AEA2012_ZAR2022!$AC$6:$AG$104,MATCH($T65&amp;$U65,AEA2012_ZAR2022!$A$6:$A$104&amp;AEA2012_ZAR2022!$B$6:$B$104,0),MATCH(AF$16,AEA2012_ZAR2022!$AC$4:$AG$4,0)))</f>
        <v>3.4953366107218584</v>
      </c>
      <c r="AG65" s="67">
        <f t="array" ref="AG65">IF($W$1,AF65*(1+INDEX(AG$1:AG$2,MATCH($O65,$AA$1:$AA$2,0)))^(AG$16-AF$16),INDEX(AEA2012_ZAR2022!$AC$6:$AG$104,MATCH($T65&amp;$U65,AEA2012_ZAR2022!$A$6:$A$104&amp;AEA2012_ZAR2022!$B$6:$B$104,0),MATCH(AG$16,AEA2012_ZAR2022!$AC$4:$AG$4,0)))</f>
        <v>3.1611197768588757</v>
      </c>
      <c r="AH65" s="67">
        <f t="array" ref="AH65">IF($W$1,AG65*(1+INDEX(AH$1:AH$2,MATCH($O65,$AA$1:$AA$2,0)))^(AH$16-AG$16),INDEX(AEA2012_ZAR2022!$AC$6:$AG$104,MATCH($T65&amp;$U65,AEA2012_ZAR2022!$A$6:$A$104&amp;AEA2012_ZAR2022!$B$6:$B$104,0),MATCH(AH$16,AEA2012_ZAR2022!$AC$4:$AG$4,0)))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75" thickBot="1" x14ac:dyDescent="0.3">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11"/>
        <v>LCVODS</v>
      </c>
      <c r="AD66" s="67">
        <f>1/INDEX(Analytica!$AA$17:$AE$48,MATCH($AC66,Analytica!$A$17:$A$48,0),MATCH(AD$16,Analytica!$AA$16:$AE$16,0))</f>
        <v>4.2382643969590106</v>
      </c>
      <c r="AE66" s="67">
        <f t="array" ref="AE66">IF($W$1,AD66*(1+INDEX(AE$1:AE$2,MATCH($O66,$AA$1:$AA$2,0)))^(AE$16-AD$16),INDEX(AEA2012_ZAR2022!$AC$6:$AG$104,MATCH($T66&amp;$U66,AEA2012_ZAR2022!$A$6:$A$104&amp;AEA2012_ZAR2022!$B$6:$B$104,0),MATCH(AE$16,AEA2012_ZAR2022!$AC$4:$AG$4,0)))</f>
        <v>4.2255623143230601</v>
      </c>
      <c r="AF66" s="67">
        <f t="array" ref="AF66">IF($W$1,AE66*(1+INDEX(AF$1:AF$2,MATCH($O66,$AA$1:$AA$2,0)))^(AF$16-AE$16),INDEX(AEA2012_ZAR2022!$AC$6:$AG$104,MATCH($T66&amp;$U66,AEA2012_ZAR2022!$A$6:$A$104&amp;AEA2012_ZAR2022!$B$6:$B$104,0),MATCH(AF$16,AEA2012_ZAR2022!$AC$4:$AG$4,0)))</f>
        <v>3.9988248770466241</v>
      </c>
      <c r="AG66" s="67">
        <f t="array" ref="AG66">IF($W$1,AF66*(1+INDEX(AG$1:AG$2,MATCH($O66,$AA$1:$AA$2,0)))^(AG$16-AF$16),INDEX(AEA2012_ZAR2022!$AC$6:$AG$104,MATCH($T66&amp;$U66,AEA2012_ZAR2022!$A$6:$A$104&amp;AEA2012_ZAR2022!$B$6:$B$104,0),MATCH(AG$16,AEA2012_ZAR2022!$AC$4:$AG$4,0)))</f>
        <v>3.6164655399002528</v>
      </c>
      <c r="AH66" s="67">
        <f t="array" ref="AH66">IF($W$1,AG66*(1+INDEX(AH$1:AH$2,MATCH($O66,$AA$1:$AA$2,0)))^(AH$16-AG$16),INDEX(AEA2012_ZAR2022!$AC$6:$AG$104,MATCH($T66&amp;$U66,AEA2012_ZAR2022!$A$6:$A$104&amp;AEA2012_ZAR2022!$B$6:$B$104,0),MATCH(AH$16,AEA2012_ZAR2022!$AC$4:$AG$4,0)))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IF($W$1,AD67*(1+INDEX(AE$1:AE$2,MATCH($O67,$AA$1:$AA$2,0)))^(AE$16-AD$16),INDEX(AEA2012_ZAR2022!$AC$6:$AG$104,MATCH($T67&amp;$U67,AEA2012_ZAR2022!$A$6:$A$104&amp;AEA2012_ZAR2022!$B$6:$B$104,0),MATCH(AE$16,AEA2012_ZAR2022!$AC$4:$AG$4,0)))</f>
        <v>4.1201444850685522</v>
      </c>
      <c r="AF67" s="67">
        <f t="array" ref="AF67">IF($W$1,AE67*(1+INDEX(AF$1:AF$2,MATCH($O67,$AA$1:$AA$2,0)))^(AF$16-AE$16),INDEX(AEA2012_ZAR2022!$AC$6:$AG$104,MATCH($T67&amp;$U67,AEA2012_ZAR2022!$A$6:$A$104&amp;AEA2012_ZAR2022!$B$6:$B$104,0),MATCH(AF$16,AEA2012_ZAR2022!$AC$4:$AG$4,0)))</f>
        <v>3.8990636129236713</v>
      </c>
      <c r="AG67" s="67">
        <f t="array" ref="AG67">IF($W$1,AF67*(1+INDEX(AG$1:AG$2,MATCH($O67,$AA$1:$AA$2,0)))^(AG$16-AF$16),INDEX(AEA2012_ZAR2022!$AC$6:$AG$104,MATCH($T67&amp;$U67,AEA2012_ZAR2022!$A$6:$A$104&amp;AEA2012_ZAR2022!$B$6:$B$104,0),MATCH(AG$16,AEA2012_ZAR2022!$AC$4:$AG$4,0)))</f>
        <v>3.5262432408472351</v>
      </c>
      <c r="AH67" s="67">
        <f t="array" ref="AH67">IF($W$1,AG67*(1+INDEX(AH$1:AH$2,MATCH($O67,$AA$1:$AA$2,0)))^(AH$16-AG$16),INDEX(AEA2012_ZAR2022!$AC$6:$AG$104,MATCH($T67&amp;$U67,AEA2012_ZAR2022!$A$6:$A$104&amp;AEA2012_ZAR2022!$B$6:$B$104,0),MATCH(AH$16,AEA2012_ZAR2022!$AC$4:$AG$4,0)))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IF($W$1,AD68*(1+INDEX(AE$1:AE$2,MATCH($O68,$AA$1:$AA$2,0)))^(AE$16-AD$16),INDEX(AEA2012_ZAR2022!$AC$6:$AG$104,MATCH($T68&amp;$U68,AEA2012_ZAR2022!$A$6:$A$104&amp;AEA2012_ZAR2022!$B$6:$B$104,0),MATCH(AE$16,AEA2012_ZAR2022!$AC$4:$AG$4,0)))</f>
        <v>1.209636723293595</v>
      </c>
      <c r="AF68" s="67">
        <f t="array" ref="AF68">IF($W$1,AE68*(1+INDEX(AF$1:AF$2,MATCH($O68,$AA$1:$AA$2,0)))^(AF$16-AE$16),INDEX(AEA2012_ZAR2022!$AC$6:$AG$104,MATCH($T68&amp;$U68,AEA2012_ZAR2022!$A$6:$A$104&amp;AEA2012_ZAR2022!$B$6:$B$104,0),MATCH(AF$16,AEA2012_ZAR2022!$AC$4:$AG$4,0)))</f>
        <v>1.1447294020252792</v>
      </c>
      <c r="AG68" s="67">
        <f t="array" ref="AG68">IF($W$1,AF68*(1+INDEX(AG$1:AG$2,MATCH($O68,$AA$1:$AA$2,0)))^(AG$16-AF$16),INDEX(AEA2012_ZAR2022!$AC$6:$AG$104,MATCH($T68&amp;$U68,AEA2012_ZAR2022!$A$6:$A$104&amp;AEA2012_ZAR2022!$B$6:$B$104,0),MATCH(AG$16,AEA2012_ZAR2022!$AC$4:$AG$4,0)))</f>
        <v>1.0352727519272098</v>
      </c>
      <c r="AH68" s="67">
        <f t="array" ref="AH68">IF($W$1,AG68*(1+INDEX(AH$1:AH$2,MATCH($O68,$AA$1:$AA$2,0)))^(AH$16-AG$16),INDEX(AEA2012_ZAR2022!$AC$6:$AG$104,MATCH($T68&amp;$U68,AEA2012_ZAR2022!$A$6:$A$104&amp;AEA2012_ZAR2022!$B$6:$B$104,0),MATCH(AH$16,AEA2012_ZAR2022!$AC$4:$AG$4,0)))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IF($W$1,AD69*(1+INDEX(AE$1:AE$2,MATCH($O69,$AA$1:$AA$2,0)))^(AE$16-AD$16),INDEX(AEA2012_ZAR2022!$AC$6:$AG$104,MATCH($T69&amp;$U69,AEA2012_ZAR2022!$A$6:$A$104&amp;AEA2012_ZAR2022!$B$6:$B$104,0),MATCH(AE$16,AEA2012_ZAR2022!$AC$4:$AG$4,0)))</f>
        <v>2.3817244687326387</v>
      </c>
      <c r="AF69" s="67">
        <f t="array" ref="AF69">IF($W$1,AE69*(1+INDEX(AF$1:AF$2,MATCH($O69,$AA$1:$AA$2,0)))^(AF$16-AE$16),INDEX(AEA2012_ZAR2022!$AC$6:$AG$104,MATCH($T69&amp;$U69,AEA2012_ZAR2022!$A$6:$A$104&amp;AEA2012_ZAR2022!$B$6:$B$104,0),MATCH(AF$16,AEA2012_ZAR2022!$AC$4:$AG$4,0)))</f>
        <v>2.2539246489291216</v>
      </c>
      <c r="AG69" s="67">
        <f t="array" ref="AG69">IF($W$1,AF69*(1+INDEX(AG$1:AG$2,MATCH($O69,$AA$1:$AA$2,0)))^(AG$16-AF$16),INDEX(AEA2012_ZAR2022!$AC$6:$AG$104,MATCH($T69&amp;$U69,AEA2012_ZAR2022!$A$6:$A$104&amp;AEA2012_ZAR2022!$B$6:$B$104,0),MATCH(AG$16,AEA2012_ZAR2022!$AC$4:$AG$4,0)))</f>
        <v>2.0384090509120099</v>
      </c>
      <c r="AH69" s="67">
        <f t="array" ref="AH69">IF($W$1,AG69*(1+INDEX(AH$1:AH$2,MATCH($O69,$AA$1:$AA$2,0)))^(AH$16-AG$16),INDEX(AEA2012_ZAR2022!$AC$6:$AG$104,MATCH($T69&amp;$U69,AEA2012_ZAR2022!$A$6:$A$104&amp;AEA2012_ZAR2022!$B$6:$B$104,0),MATCH(AH$16,AEA2012_ZAR2022!$AC$4:$AG$4,0)))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IF($W$1,AD70*(1+INDEX(AE$1:AE$2,MATCH($O70,$AA$1:$AA$2,0)))^(AE$16-AD$16),INDEX(AEA2012_ZAR2022!$AC$6:$AG$104,MATCH($T70&amp;$U70,AEA2012_ZAR2022!$A$6:$A$104&amp;AEA2012_ZAR2022!$B$6:$B$104,0),MATCH(AE$16,AEA2012_ZAR2022!$AC$4:$AG$4,0)))</f>
        <v>5.6716595078761793</v>
      </c>
      <c r="AF70" s="67">
        <f t="array" ref="AF70">IF($W$1,AE70*(1+INDEX(AF$1:AF$2,MATCH($O70,$AA$1:$AA$2,0)))^(AF$16-AE$16),INDEX(AEA2012_ZAR2022!$AC$6:$AG$104,MATCH($T70&amp;$U70,AEA2012_ZAR2022!$A$6:$A$104&amp;AEA2012_ZAR2022!$B$6:$B$104,0),MATCH(AF$16,AEA2012_ZAR2022!$AC$4:$AG$4,0)))</f>
        <v>5.3673266294894617</v>
      </c>
      <c r="AG70" s="67">
        <f t="array" ref="AG70">IF($W$1,AF70*(1+INDEX(AG$1:AG$2,MATCH($O70,$AA$1:$AA$2,0)))^(AG$16-AF$16),INDEX(AEA2012_ZAR2022!$AC$6:$AG$104,MATCH($T70&amp;$U70,AEA2012_ZAR2022!$A$6:$A$104&amp;AEA2012_ZAR2022!$B$6:$B$104,0),MATCH(AG$16,AEA2012_ZAR2022!$AC$4:$AG$4,0)))</f>
        <v>4.8541139944276912</v>
      </c>
      <c r="AH70" s="67">
        <f t="array" ref="AH70">IF($W$1,AG70*(1+INDEX(AH$1:AH$2,MATCH($O70,$AA$1:$AA$2,0)))^(AH$16-AG$16),INDEX(AEA2012_ZAR2022!$AC$6:$AG$104,MATCH($T70&amp;$U70,AEA2012_ZAR2022!$A$6:$A$104&amp;AEA2012_ZAR2022!$B$6:$B$104,0),MATCH(AH$16,AEA2012_ZAR2022!$AC$4:$AG$4,0)))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7" t="s">
        <v>257</v>
      </c>
      <c r="B71" s="268">
        <v>5146</v>
      </c>
      <c r="C71" s="265">
        <f t="shared" si="13"/>
        <v>2.0024156619567485E-3</v>
      </c>
      <c r="O71" s="61" t="s">
        <v>653</v>
      </c>
      <c r="Q71" s="61" t="str">
        <f t="shared" si="6"/>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11"/>
        <v/>
      </c>
      <c r="AD71" s="67" t="e">
        <f>1/INDEX(Analytica!$AA$17:$AE$48,MATCH($AC71,Analytica!$A$17:$A$48,0),MATCH(AD$16,Analytica!$AA$16:$AE$16,0))</f>
        <v>#N/A</v>
      </c>
      <c r="AE71" s="67" t="e">
        <f t="array" ref="AE71">IF($W$1,AD71*(1+INDEX(AE$1:AE$2,MATCH($O71,$AA$1:$AA$2,0)))^(AE$16-AD$16),INDEX(AEA2012_ZAR2022!$AC$6:$AG$104,MATCH($T71&amp;$U71,AEA2012_ZAR2022!$A$6:$A$104&amp;AEA2012_ZAR2022!$B$6:$B$104,0),MATCH(AE$16,AEA2012_ZAR2022!$AC$4:$AG$4,0)))</f>
        <v>#N/A</v>
      </c>
      <c r="AF71" s="67" t="e">
        <f t="array" ref="AF71">IF($W$1,AE71*(1+INDEX(AF$1:AF$2,MATCH($O71,$AA$1:$AA$2,0)))^(AF$16-AE$16),INDEX(AEA2012_ZAR2022!$AC$6:$AG$104,MATCH($T71&amp;$U71,AEA2012_ZAR2022!$A$6:$A$104&amp;AEA2012_ZAR2022!$B$6:$B$104,0),MATCH(AF$16,AEA2012_ZAR2022!$AC$4:$AG$4,0)))</f>
        <v>#N/A</v>
      </c>
      <c r="AG71" s="67" t="e">
        <f t="array" ref="AG71">IF($W$1,AF71*(1+INDEX(AG$1:AG$2,MATCH($O71,$AA$1:$AA$2,0)))^(AG$16-AF$16),INDEX(AEA2012_ZAR2022!$AC$6:$AG$104,MATCH($T71&amp;$U71,AEA2012_ZAR2022!$A$6:$A$104&amp;AEA2012_ZAR2022!$B$6:$B$104,0),MATCH(AG$16,AEA2012_ZAR2022!$AC$4:$AG$4,0)))</f>
        <v>#N/A</v>
      </c>
      <c r="AH71" s="67" t="e">
        <f t="array" ref="AH71">IF($W$1,AG71*(1+INDEX(AH$1:AH$2,MATCH($O71,$AA$1:$AA$2,0)))^(AH$16-AG$16),INDEX(AEA2012_ZAR2022!$AC$6:$AG$104,MATCH($T71&amp;$U71,AEA2012_ZAR2022!$A$6:$A$104&amp;AEA2012_ZAR2022!$B$6:$B$104,0),MATCH(AH$16,AEA2012_ZAR2022!$AC$4:$AG$4,0)))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11"/>
        <v>CV1ODS</v>
      </c>
      <c r="AD72" s="67">
        <f>1/INDEX(Analytica!$AA$17:$AE$48,MATCH($AC72,Analytica!$A$17:$A$48,0),MATCH(AD$16,Analytica!$AA$16:$AE$16,0))</f>
        <v>5.8711571257638555</v>
      </c>
      <c r="AE72" s="67">
        <f t="array" ref="AE72">IF($W$1,AD72*(1+INDEX(AE$1:AE$2,MATCH($O72,$AA$1:$AA$2,0)))^(AE$16-AD$16),INDEX(AEA2012_ZAR2022!$AC$6:$AG$104,MATCH($T72&amp;$U72,AEA2012_ZAR2022!$A$6:$A$104&amp;AEA2012_ZAR2022!$B$6:$B$104,0),MATCH(AE$16,AEA2012_ZAR2022!$AC$4:$AG$4,0)))</f>
        <v>5.8535612619867843</v>
      </c>
      <c r="AF72" s="67">
        <f t="array" ref="AF72">IF($W$1,AE72*(1+INDEX(AF$1:AF$2,MATCH($O72,$AA$1:$AA$2,0)))^(AF$16-AE$16),INDEX(AEA2012_ZAR2022!$AC$6:$AG$104,MATCH($T72&amp;$U72,AEA2012_ZAR2022!$A$6:$A$104&amp;AEA2012_ZAR2022!$B$6:$B$104,0),MATCH(AF$16,AEA2012_ZAR2022!$AC$4:$AG$4,0)))</f>
        <v>5.539467803943408</v>
      </c>
      <c r="AG72" s="67">
        <f t="array" ref="AG72">IF($W$1,AF72*(1+INDEX(AG$1:AG$2,MATCH($O72,$AA$1:$AA$2,0)))^(AG$16-AF$16),INDEX(AEA2012_ZAR2022!$AC$6:$AG$104,MATCH($T72&amp;$U72,AEA2012_ZAR2022!$A$6:$A$104&amp;AEA2012_ZAR2022!$B$6:$B$104,0),MATCH(AG$16,AEA2012_ZAR2022!$AC$4:$AG$4,0)))</f>
        <v>5.0097953869748038</v>
      </c>
      <c r="AH72" s="67">
        <f t="array" ref="AH72">IF($W$1,AG72*(1+INDEX(AH$1:AH$2,MATCH($O72,$AA$1:$AA$2,0)))^(AH$16-AG$16),INDEX(AEA2012_ZAR2022!$AC$6:$AG$104,MATCH($T72&amp;$U72,AEA2012_ZAR2022!$A$6:$A$104&amp;AEA2012_ZAR2022!$B$6:$B$104,0),MATCH(AH$16,AEA2012_ZAR2022!$AC$4:$AG$4,0)))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11"/>
        <v>CV1OGS</v>
      </c>
      <c r="AD73" s="67">
        <f>1/INDEX(Analytica!$AA$17:$AE$48,MATCH($AC73,Analytica!$A$17:$A$48,0),MATCH(AD$16,Analytica!$AA$16:$AE$16,0))</f>
        <v>6.7130154689796147</v>
      </c>
      <c r="AE73" s="67">
        <f t="array" ref="AE73">IF($W$1,AD73*(1+INDEX(AE$1:AE$2,MATCH($O73,$AA$1:$AA$2,0)))^(AE$16-AD$16),INDEX(AEA2012_ZAR2022!$AC$6:$AG$104,MATCH($T73&amp;$U73,AEA2012_ZAR2022!$A$6:$A$104&amp;AEA2012_ZAR2022!$B$6:$B$104,0),MATCH(AE$16,AEA2012_ZAR2022!$AC$4:$AG$4,0)))</f>
        <v>6.6928965549060671</v>
      </c>
      <c r="AF73" s="67">
        <f t="array" ref="AF73">IF($W$1,AE73*(1+INDEX(AF$1:AF$2,MATCH($O73,$AA$1:$AA$2,0)))^(AF$16-AE$16),INDEX(AEA2012_ZAR2022!$AC$6:$AG$104,MATCH($T73&amp;$U73,AEA2012_ZAR2022!$A$6:$A$104&amp;AEA2012_ZAR2022!$B$6:$B$104,0),MATCH(AF$16,AEA2012_ZAR2022!$AC$4:$AG$4,0)))</f>
        <v>6.3337656038201411</v>
      </c>
      <c r="AG73" s="67">
        <f t="array" ref="AG73">IF($W$1,AF73*(1+INDEX(AG$1:AG$2,MATCH($O73,$AA$1:$AA$2,0)))^(AG$16-AF$16),INDEX(AEA2012_ZAR2022!$AC$6:$AG$104,MATCH($T73&amp;$U73,AEA2012_ZAR2022!$A$6:$A$104&amp;AEA2012_ZAR2022!$B$6:$B$104,0),MATCH(AG$16,AEA2012_ZAR2022!$AC$4:$AG$4,0)))</f>
        <v>5.7281440794022513</v>
      </c>
      <c r="AH73" s="67">
        <f t="array" ref="AH73">IF($W$1,AG73*(1+INDEX(AH$1:AH$2,MATCH($O73,$AA$1:$AA$2,0)))^(AH$16-AG$16),INDEX(AEA2012_ZAR2022!$AC$6:$AG$104,MATCH($T73&amp;$U73,AEA2012_ZAR2022!$A$6:$A$104&amp;AEA2012_ZAR2022!$B$6:$B$104,0),MATCH(AH$16,AEA2012_ZAR2022!$AC$4:$AG$4,0)))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IF($W$1,AD74*(1+INDEX(AE$1:AE$2,MATCH($O74,$AA$1:$AA$2,0)))^(AE$16-AD$16),INDEX(AEA2012_ZAR2022!$AC$6:$AG$104,MATCH($T74&amp;$U74,AEA2012_ZAR2022!$A$6:$A$104&amp;AEA2012_ZAR2022!$B$6:$B$104,0),MATCH(AE$16,AEA2012_ZAR2022!$AC$4:$AG$4,0)))</f>
        <v>1.7877509043529869</v>
      </c>
      <c r="AF74" s="67">
        <f t="array" ref="AF74">IF($W$1,AE74*(1+INDEX(AF$1:AF$2,MATCH($O74,$AA$1:$AA$2,0)))^(AF$16-AE$16),INDEX(AEA2012_ZAR2022!$AC$6:$AG$104,MATCH($T74&amp;$U74,AEA2012_ZAR2022!$A$6:$A$104&amp;AEA2012_ZAR2022!$B$6:$B$104,0),MATCH(AF$16,AEA2012_ZAR2022!$AC$4:$AG$4,0)))</f>
        <v>1.6918228293681161</v>
      </c>
      <c r="AG74" s="67">
        <f t="array" ref="AG74">IF($W$1,AF74*(1+INDEX(AG$1:AG$2,MATCH($O74,$AA$1:$AA$2,0)))^(AG$16-AF$16),INDEX(AEA2012_ZAR2022!$AC$6:$AG$104,MATCH($T74&amp;$U74,AEA2012_ZAR2022!$A$6:$A$104&amp;AEA2012_ZAR2022!$B$6:$B$104,0),MATCH(AG$16,AEA2012_ZAR2022!$AC$4:$AG$4,0)))</f>
        <v>1.530054240971203</v>
      </c>
      <c r="AH74" s="67">
        <f t="array" ref="AH74">IF($W$1,AG74*(1+INDEX(AH$1:AH$2,MATCH($O74,$AA$1:$AA$2,0)))^(AH$16-AG$16),INDEX(AEA2012_ZAR2022!$AC$6:$AG$104,MATCH($T74&amp;$U74,AEA2012_ZAR2022!$A$6:$A$104&amp;AEA2012_ZAR2022!$B$6:$B$104,0),MATCH(AH$16,AEA2012_ZAR2022!$AC$4:$AG$4,0)))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IF($W$1,AD75*(1+INDEX(AE$1:AE$2,MATCH($O75,$AA$1:$AA$2,0)))^(AE$16-AD$16),INDEX(AEA2012_ZAR2022!$AC$6:$AG$104,MATCH($T75&amp;$U75,AEA2012_ZAR2022!$A$6:$A$104&amp;AEA2012_ZAR2022!$B$6:$B$104,0),MATCH(AE$16,AEA2012_ZAR2022!$AC$4:$AG$4,0)))</f>
        <v>2.7600364839133826</v>
      </c>
      <c r="AF75" s="67">
        <f t="array" ref="AF75">IF($W$1,AE75*(1+INDEX(AF$1:AF$2,MATCH($O75,$AA$1:$AA$2,0)))^(AF$16-AE$16),INDEX(AEA2012_ZAR2022!$AC$6:$AG$104,MATCH($T75&amp;$U75,AEA2012_ZAR2022!$A$6:$A$104&amp;AEA2012_ZAR2022!$B$6:$B$104,0),MATCH(AF$16,AEA2012_ZAR2022!$AC$4:$AG$4,0)))</f>
        <v>2.6119369997262138</v>
      </c>
      <c r="AG75" s="67">
        <f t="array" ref="AG75">IF($W$1,AF75*(1+INDEX(AG$1:AG$2,MATCH($O75,$AA$1:$AA$2,0)))^(AG$16-AF$16),INDEX(AEA2012_ZAR2022!$AC$6:$AG$104,MATCH($T75&amp;$U75,AEA2012_ZAR2022!$A$6:$A$104&amp;AEA2012_ZAR2022!$B$6:$B$104,0),MATCH(AG$16,AEA2012_ZAR2022!$AC$4:$AG$4,0)))</f>
        <v>2.362189003604664</v>
      </c>
      <c r="AH75" s="67">
        <f t="array" ref="AH75">IF($W$1,AG75*(1+INDEX(AH$1:AH$2,MATCH($O75,$AA$1:$AA$2,0)))^(AH$16-AG$16),INDEX(AEA2012_ZAR2022!$AC$6:$AG$104,MATCH($T75&amp;$U75,AEA2012_ZAR2022!$A$6:$A$104&amp;AEA2012_ZAR2022!$B$6:$B$104,0),MATCH(AH$16,AEA2012_ZAR2022!$AC$4:$AG$4,0)))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IF($W$1,AD76*(1+INDEX(AE$1:AE$2,MATCH($O76,$AA$1:$AA$2,0)))^(AE$16-AD$16),INDEX(AEA2012_ZAR2022!$AC$6:$AG$104,MATCH($T76&amp;$U76,AEA2012_ZAR2022!$A$6:$A$104&amp;AEA2012_ZAR2022!$B$6:$B$104,0),MATCH(AE$16,AEA2012_ZAR2022!$AC$4:$AG$4,0)))</f>
        <v>6.7315954512848011</v>
      </c>
      <c r="AF76" s="67">
        <f t="array" ref="AF76">IF($W$1,AE76*(1+INDEX(AF$1:AF$2,MATCH($O76,$AA$1:$AA$2,0)))^(AF$16-AE$16),INDEX(AEA2012_ZAR2022!$AC$6:$AG$104,MATCH($T76&amp;$U76,AEA2012_ZAR2022!$A$6:$A$104&amp;AEA2012_ZAR2022!$B$6:$B$104,0),MATCH(AF$16,AEA2012_ZAR2022!$AC$4:$AG$4,0)))</f>
        <v>6.3703879745349177</v>
      </c>
      <c r="AG76" s="67">
        <f t="array" ref="AG76">IF($W$1,AF76*(1+INDEX(AG$1:AG$2,MATCH($O76,$AA$1:$AA$2,0)))^(AG$16-AF$16),INDEX(AEA2012_ZAR2022!$AC$6:$AG$104,MATCH($T76&amp;$U76,AEA2012_ZAR2022!$A$6:$A$104&amp;AEA2012_ZAR2022!$B$6:$B$104,0),MATCH(AG$16,AEA2012_ZAR2022!$AC$4:$AG$4,0)))</f>
        <v>5.7612646950210227</v>
      </c>
      <c r="AH76" s="67">
        <f t="array" ref="AH76">IF($W$1,AG76*(1+INDEX(AH$1:AH$2,MATCH($O76,$AA$1:$AA$2,0)))^(AH$16-AG$16),INDEX(AEA2012_ZAR2022!$AC$6:$AG$104,MATCH($T76&amp;$U76,AEA2012_ZAR2022!$A$6:$A$104&amp;AEA2012_ZAR2022!$B$6:$B$104,0),MATCH(AH$16,AEA2012_ZAR2022!$AC$4:$AG$4,0)))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2" t="s">
        <v>727</v>
      </c>
      <c r="B77" s="273"/>
      <c r="C77" s="274"/>
      <c r="O77" s="61" t="s">
        <v>653</v>
      </c>
      <c r="Q77" s="61" t="str">
        <f t="shared" si="6"/>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11"/>
        <v/>
      </c>
      <c r="AD77" s="67" t="e">
        <f>1/INDEX(Analytica!$AA$17:$AE$48,MATCH($AC77,Analytica!$A$17:$A$48,0),MATCH(AD$16,Analytica!$AA$16:$AE$16,0))</f>
        <v>#N/A</v>
      </c>
      <c r="AE77" s="67" t="e">
        <f t="array" ref="AE77">IF($W$1,AD77*(1+INDEX(AE$1:AE$2,MATCH($O77,$AA$1:$AA$2,0)))^(AE$16-AD$16),INDEX(AEA2012_ZAR2022!$AC$6:$AG$104,MATCH($T77&amp;$U77,AEA2012_ZAR2022!$A$6:$A$104&amp;AEA2012_ZAR2022!$B$6:$B$104,0),MATCH(AE$16,AEA2012_ZAR2022!$AC$4:$AG$4,0)))</f>
        <v>#N/A</v>
      </c>
      <c r="AF77" s="67" t="e">
        <f t="array" ref="AF77">IF($W$1,AE77*(1+INDEX(AF$1:AF$2,MATCH($O77,$AA$1:$AA$2,0)))^(AF$16-AE$16),INDEX(AEA2012_ZAR2022!$AC$6:$AG$104,MATCH($T77&amp;$U77,AEA2012_ZAR2022!$A$6:$A$104&amp;AEA2012_ZAR2022!$B$6:$B$104,0),MATCH(AF$16,AEA2012_ZAR2022!$AC$4:$AG$4,0)))</f>
        <v>#N/A</v>
      </c>
      <c r="AG77" s="67" t="e">
        <f t="array" ref="AG77">IF($W$1,AF77*(1+INDEX(AG$1:AG$2,MATCH($O77,$AA$1:$AA$2,0)))^(AG$16-AF$16),INDEX(AEA2012_ZAR2022!$AC$6:$AG$104,MATCH($T77&amp;$U77,AEA2012_ZAR2022!$A$6:$A$104&amp;AEA2012_ZAR2022!$B$6:$B$104,0),MATCH(AG$16,AEA2012_ZAR2022!$AC$4:$AG$4,0)))</f>
        <v>#N/A</v>
      </c>
      <c r="AH77" s="67" t="e">
        <f t="array" ref="AH77">IF($W$1,AG77*(1+INDEX(AH$1:AH$2,MATCH($O77,$AA$1:$AA$2,0)))^(AH$16-AG$16),INDEX(AEA2012_ZAR2022!$AC$6:$AG$104,MATCH($T77&amp;$U77,AEA2012_ZAR2022!$A$6:$A$104&amp;AEA2012_ZAR2022!$B$6:$B$104,0),MATCH(AH$16,AEA2012_ZAR2022!$AC$4:$AG$4,0)))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11"/>
        <v>CV2ODS</v>
      </c>
      <c r="AD78" s="67">
        <f>1/INDEX(Analytica!$AA$17:$AE$48,MATCH($AC78,Analytica!$A$17:$A$48,0),MATCH(AD$16,Analytica!$AA$16:$AE$16,0))</f>
        <v>7.3296679530566031</v>
      </c>
      <c r="AE78" s="67">
        <f t="array" ref="AE78">IF($W$1,AD78*(1+INDEX(AE$1:AE$2,MATCH($O78,$AA$1:$AA$2,0)))^(AE$16-AD$16),INDEX(AEA2012_ZAR2022!$AC$6:$AG$104,MATCH($T78&amp;$U78,AEA2012_ZAR2022!$A$6:$A$104&amp;AEA2012_ZAR2022!$B$6:$B$104,0),MATCH(AE$16,AEA2012_ZAR2022!$AC$4:$AG$4,0)))</f>
        <v>7.3077009308716248</v>
      </c>
      <c r="AF78" s="67">
        <f t="array" ref="AF78">IF($W$1,AE78*(1+INDEX(AF$1:AF$2,MATCH($O78,$AA$1:$AA$2,0)))^(AF$16-AE$16),INDEX(AEA2012_ZAR2022!$AC$6:$AG$104,MATCH($T78&amp;$U78,AEA2012_ZAR2022!$A$6:$A$104&amp;AEA2012_ZAR2022!$B$6:$B$104,0),MATCH(AF$16,AEA2012_ZAR2022!$AC$4:$AG$4,0)))</f>
        <v>6.9155804843615609</v>
      </c>
      <c r="AG78" s="67">
        <f t="array" ref="AG78">IF($W$1,AF78*(1+INDEX(AG$1:AG$2,MATCH($O78,$AA$1:$AA$2,0)))^(AG$16-AF$16),INDEX(AEA2012_ZAR2022!$AC$6:$AG$104,MATCH($T78&amp;$U78,AEA2012_ZAR2022!$A$6:$A$104&amp;AEA2012_ZAR2022!$B$6:$B$104,0),MATCH(AG$16,AEA2012_ZAR2022!$AC$4:$AG$4,0)))</f>
        <v>6.2543270283373005</v>
      </c>
      <c r="AH78" s="67">
        <f t="array" ref="AH78">IF($W$1,AG78*(1+INDEX(AH$1:AH$2,MATCH($O78,$AA$1:$AA$2,0)))^(AH$16-AG$16),INDEX(AEA2012_ZAR2022!$AC$6:$AG$104,MATCH($T78&amp;$U78,AEA2012_ZAR2022!$A$6:$A$104&amp;AEA2012_ZAR2022!$B$6:$B$104,0),MATCH(AH$16,AEA2012_ZAR2022!$AC$4:$AG$4,0)))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IF($W$1,AD79*(1+INDEX(AE$1:AE$2,MATCH($O79,$AA$1:$AA$2,0)))^(AE$16-AD$16),INDEX(AEA2012_ZAR2022!$AC$6:$AG$104,MATCH($T79&amp;$U79,AEA2012_ZAR2022!$A$6:$A$104&amp;AEA2012_ZAR2022!$B$6:$B$104,0),MATCH(AE$16,AEA2012_ZAR2022!$AC$4:$AG$4,0)))</f>
        <v>2.231863367134673</v>
      </c>
      <c r="AF79" s="67">
        <f t="array" ref="AF79">IF($W$1,AE79*(1+INDEX(AF$1:AF$2,MATCH($O79,$AA$1:$AA$2,0)))^(AF$16-AE$16),INDEX(AEA2012_ZAR2022!$AC$6:$AG$104,MATCH($T79&amp;$U79,AEA2012_ZAR2022!$A$6:$A$104&amp;AEA2012_ZAR2022!$B$6:$B$104,0),MATCH(AF$16,AEA2012_ZAR2022!$AC$4:$AG$4,0)))</f>
        <v>2.1121048728628065</v>
      </c>
      <c r="AG79" s="67">
        <f t="array" ref="AG79">IF($W$1,AF79*(1+INDEX(AG$1:AG$2,MATCH($O79,$AA$1:$AA$2,0)))^(AG$16-AF$16),INDEX(AEA2012_ZAR2022!$AC$6:$AG$104,MATCH($T79&amp;$U79,AEA2012_ZAR2022!$A$6:$A$104&amp;AEA2012_ZAR2022!$B$6:$B$104,0),MATCH(AG$16,AEA2012_ZAR2022!$AC$4:$AG$4,0)))</f>
        <v>1.9101497875558717</v>
      </c>
      <c r="AH79" s="67">
        <f t="array" ref="AH79">IF($W$1,AG79*(1+INDEX(AH$1:AH$2,MATCH($O79,$AA$1:$AA$2,0)))^(AH$16-AG$16),INDEX(AEA2012_ZAR2022!$AC$6:$AG$104,MATCH($T79&amp;$U79,AEA2012_ZAR2022!$A$6:$A$104&amp;AEA2012_ZAR2022!$B$6:$B$104,0),MATCH(AH$16,AEA2012_ZAR2022!$AC$4:$AG$4,0)))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IF($W$1,AD80*(1+INDEX(AE$1:AE$2,MATCH($O80,$AA$1:$AA$2,0)))^(AE$16-AD$16),INDEX(AEA2012_ZAR2022!$AC$6:$AG$104,MATCH($T80&amp;$U80,AEA2012_ZAR2022!$A$6:$A$104&amp;AEA2012_ZAR2022!$B$6:$B$104,0),MATCH(AE$16,AEA2012_ZAR2022!$AC$4:$AG$4,0)))</f>
        <v>3.4456837948745824</v>
      </c>
      <c r="AF80" s="67">
        <f t="array" ref="AF80">IF($W$1,AE80*(1+INDEX(AF$1:AF$2,MATCH($O80,$AA$1:$AA$2,0)))^(AF$16-AE$16),INDEX(AEA2012_ZAR2022!$AC$6:$AG$104,MATCH($T80&amp;$U80,AEA2012_ZAR2022!$A$6:$A$104&amp;AEA2012_ZAR2022!$B$6:$B$104,0),MATCH(AF$16,AEA2012_ZAR2022!$AC$4:$AG$4,0)))</f>
        <v>3.260793487928543</v>
      </c>
      <c r="AG80" s="67">
        <f t="array" ref="AG80">IF($W$1,AF80*(1+INDEX(AG$1:AG$2,MATCH($O80,$AA$1:$AA$2,0)))^(AG$16-AF$16),INDEX(AEA2012_ZAR2022!$AC$6:$AG$104,MATCH($T80&amp;$U80,AEA2012_ZAR2022!$A$6:$A$104&amp;AEA2012_ZAR2022!$B$6:$B$104,0),MATCH(AG$16,AEA2012_ZAR2022!$AC$4:$AG$4,0)))</f>
        <v>2.9490031807880119</v>
      </c>
      <c r="AH80" s="67">
        <f t="array" ref="AH80">IF($W$1,AG80*(1+INDEX(AH$1:AH$2,MATCH($O80,$AA$1:$AA$2,0)))^(AH$16-AG$16),INDEX(AEA2012_ZAR2022!$AC$6:$AG$104,MATCH($T80&amp;$U80,AEA2012_ZAR2022!$A$6:$A$104&amp;AEA2012_ZAR2022!$B$6:$B$104,0),MATCH(AH$16,AEA2012_ZAR2022!$AC$4:$AG$4,0)))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IF($W$1,AD81*(1+INDEX(AE$1:AE$2,MATCH($O81,$AA$1:$AA$2,0)))^(AE$16-AD$16),INDEX(AEA2012_ZAR2022!$AC$6:$AG$104,MATCH($T81&amp;$U81,AEA2012_ZAR2022!$A$6:$A$104&amp;AEA2012_ZAR2022!$B$6:$B$104,0),MATCH(AE$16,AEA2012_ZAR2022!$AC$4:$AG$4,0)))</f>
        <v>8.4038560705023677</v>
      </c>
      <c r="AF81" s="67">
        <f t="array" ref="AF81">IF($W$1,AE81*(1+INDEX(AF$1:AF$2,MATCH($O81,$AA$1:$AA$2,0)))^(AF$16-AE$16),INDEX(AEA2012_ZAR2022!$AC$6:$AG$104,MATCH($T81&amp;$U81,AEA2012_ZAR2022!$A$6:$A$104&amp;AEA2012_ZAR2022!$B$6:$B$104,0),MATCH(AF$16,AEA2012_ZAR2022!$AC$4:$AG$4,0)))</f>
        <v>7.9529175570157946</v>
      </c>
      <c r="AG81" s="67">
        <f t="array" ref="AG81">IF($W$1,AF81*(1+INDEX(AG$1:AG$2,MATCH($O81,$AA$1:$AA$2,0)))^(AG$16-AF$16),INDEX(AEA2012_ZAR2022!$AC$6:$AG$104,MATCH($T81&amp;$U81,AEA2012_ZAR2022!$A$6:$A$104&amp;AEA2012_ZAR2022!$B$6:$B$104,0),MATCH(AG$16,AEA2012_ZAR2022!$AC$4:$AG$4,0)))</f>
        <v>7.1924760825878948</v>
      </c>
      <c r="AH81" s="67">
        <f t="array" ref="AH81">IF($W$1,AG81*(1+INDEX(AH$1:AH$2,MATCH($O81,$AA$1:$AA$2,0)))^(AH$16-AG$16),INDEX(AEA2012_ZAR2022!$AC$6:$AG$104,MATCH($T81&amp;$U81,AEA2012_ZAR2022!$A$6:$A$104&amp;AEA2012_ZAR2022!$B$6:$B$104,0),MATCH(AH$16,AEA2012_ZAR2022!$AC$4:$AG$4,0)))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5">
        <f>SUM(C68:C75)</f>
        <v>7.6563798690686316E-2</v>
      </c>
      <c r="D82" s="276">
        <f>D58-D91</f>
        <v>0</v>
      </c>
      <c r="O82" s="61" t="s">
        <v>653</v>
      </c>
      <c r="Q82" s="61" t="str">
        <f t="shared" si="6"/>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11"/>
        <v/>
      </c>
      <c r="AD82" s="67" t="e">
        <f>1/INDEX(Analytica!$AA$17:$AE$48,MATCH($AC82,Analytica!$A$17:$A$48,0),MATCH(AD$16,Analytica!$AA$16:$AE$16,0))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11"/>
        <v>CV3ODS</v>
      </c>
      <c r="AD83" s="67">
        <f>1/INDEX(Analytica!$AA$17:$AE$48,MATCH($AC83,Analytica!$A$17:$A$48,0),MATCH(AD$16,Analytica!$AA$16:$AE$16,0))</f>
        <v>8.3835108522496302</v>
      </c>
      <c r="AE83" s="67">
        <f t="array" ref="AE83">IF($W$1,AD83*(1+INDEX(AE$1:AE$2,MATCH($O83,$AA$1:$AA$2,0)))^(AE$16-AD$16),INDEX(AEA2012_ZAR2022!$AC$6:$AG$104,MATCH($T83&amp;$U83,AEA2012_ZAR2022!$A$6:$A$104&amp;AEA2012_ZAR2022!$B$6:$B$104,0),MATCH(AE$16,AEA2012_ZAR2022!$AC$4:$AG$4,0)))</f>
        <v>8.3583854618419267</v>
      </c>
      <c r="AF83" s="67">
        <f t="array" ref="AF83">IF($W$1,AE83*(1+INDEX(AF$1:AF$2,MATCH($O83,$AA$1:$AA$2,0)))^(AF$16-AE$16),INDEX(AEA2012_ZAR2022!$AC$6:$AG$104,MATCH($T83&amp;$U83,AEA2012_ZAR2022!$A$6:$A$104&amp;AEA2012_ZAR2022!$B$6:$B$104,0),MATCH(AF$16,AEA2012_ZAR2022!$AC$4:$AG$4,0)))</f>
        <v>7.909886834105972</v>
      </c>
      <c r="AG83" s="67">
        <f t="array" ref="AG83">IF($W$1,AF83*(1+INDEX(AG$1:AG$2,MATCH($O83,$AA$1:$AA$2,0)))^(AG$16-AF$16),INDEX(AEA2012_ZAR2022!$AC$6:$AG$104,MATCH($T83&amp;$U83,AEA2012_ZAR2022!$A$6:$A$104&amp;AEA2012_ZAR2022!$B$6:$B$104,0),MATCH(AG$16,AEA2012_ZAR2022!$AC$4:$AG$4,0)))</f>
        <v>7.1535598681135806</v>
      </c>
      <c r="AH83" s="67">
        <f t="array" ref="AH83">IF($W$1,AG83*(1+INDEX(AH$1:AH$2,MATCH($O83,$AA$1:$AA$2,0)))^(AH$16-AG$16),INDEX(AEA2012_ZAR2022!$AC$6:$AG$104,MATCH($T83&amp;$U83,AEA2012_ZAR2022!$A$6:$A$104&amp;AEA2012_ZAR2022!$B$6:$B$104,0),MATCH(AH$16,AEA2012_ZAR2022!$AC$4:$AG$4,0)))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IF($W$1,AD84*(1+INDEX(AE$1:AE$2,MATCH($O84,$AA$1:$AA$2,0)))^(AE$16-AD$16),INDEX(AEA2012_ZAR2022!$AC$6:$AG$104,MATCH($T84&amp;$U84,AEA2012_ZAR2022!$A$6:$A$104&amp;AEA2012_ZAR2022!$B$6:$B$104,0),MATCH(AE$16,AEA2012_ZAR2022!$AC$4:$AG$4,0)))</f>
        <v>2.5527555789630516</v>
      </c>
      <c r="AF84" s="67">
        <f t="array" ref="AF84">IF($W$1,AE84*(1+INDEX(AF$1:AF$2,MATCH($O84,$AA$1:$AA$2,0)))^(AF$16-AE$16),INDEX(AEA2012_ZAR2022!$AC$6:$AG$104,MATCH($T84&amp;$U84,AEA2012_ZAR2022!$A$6:$A$104&amp;AEA2012_ZAR2022!$B$6:$B$104,0),MATCH(AF$16,AEA2012_ZAR2022!$AC$4:$AG$4,0)))</f>
        <v>2.4157784822094963</v>
      </c>
      <c r="AG84" s="67">
        <f t="array" ref="AG84">IF($W$1,AF84*(1+INDEX(AG$1:AG$2,MATCH($O84,$AA$1:$AA$2,0)))^(AG$16-AF$16),INDEX(AEA2012_ZAR2022!$AC$6:$AG$104,MATCH($T84&amp;$U84,AEA2012_ZAR2022!$A$6:$A$104&amp;AEA2012_ZAR2022!$B$6:$B$104,0),MATCH(AG$16,AEA2012_ZAR2022!$AC$4:$AG$4,0)))</f>
        <v>2.1847867565022443</v>
      </c>
      <c r="AH84" s="67">
        <f t="array" ref="AH84">IF($W$1,AG84*(1+INDEX(AH$1:AH$2,MATCH($O84,$AA$1:$AA$2,0)))^(AH$16-AG$16),INDEX(AEA2012_ZAR2022!$AC$6:$AG$104,MATCH($T84&amp;$U84,AEA2012_ZAR2022!$A$6:$A$104&amp;AEA2012_ZAR2022!$B$6:$B$104,0),MATCH(AH$16,AEA2012_ZAR2022!$AC$4:$AG$4,0)))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IF($W$1,AD85*(1+INDEX(AE$1:AE$2,MATCH($O85,$AA$1:$AA$2,0)))^(AE$16-AD$16),INDEX(AEA2012_ZAR2022!$AC$6:$AG$104,MATCH($T85&amp;$U85,AEA2012_ZAR2022!$A$6:$A$104&amp;AEA2012_ZAR2022!$B$6:$B$104,0),MATCH(AE$16,AEA2012_ZAR2022!$AC$4:$AG$4,0)))</f>
        <v>3.9410963324341841</v>
      </c>
      <c r="AF85" s="67">
        <f t="array" ref="AF85">IF($W$1,AE85*(1+INDEX(AF$1:AF$2,MATCH($O85,$AA$1:$AA$2,0)))^(AF$16-AE$16),INDEX(AEA2012_ZAR2022!$AC$6:$AG$104,MATCH($T85&amp;$U85,AEA2012_ZAR2022!$A$6:$A$104&amp;AEA2012_ZAR2022!$B$6:$B$104,0),MATCH(AF$16,AEA2012_ZAR2022!$AC$4:$AG$4,0)))</f>
        <v>3.7296229199023796</v>
      </c>
      <c r="AG85" s="67">
        <f t="array" ref="AG85">IF($W$1,AF85*(1+INDEX(AG$1:AG$2,MATCH($O85,$AA$1:$AA$2,0)))^(AG$16-AF$16),INDEX(AEA2012_ZAR2022!$AC$6:$AG$104,MATCH($T85&amp;$U85,AEA2012_ZAR2022!$A$6:$A$104&amp;AEA2012_ZAR2022!$B$6:$B$104,0),MATCH(AG$16,AEA2012_ZAR2022!$AC$4:$AG$4,0)))</f>
        <v>3.3730041153017094</v>
      </c>
      <c r="AH85" s="67">
        <f t="array" ref="AH85">IF($W$1,AG85*(1+INDEX(AH$1:AH$2,MATCH($O85,$AA$1:$AA$2,0)))^(AH$16-AG$16),INDEX(AEA2012_ZAR2022!$AC$6:$AG$104,MATCH($T85&amp;$U85,AEA2012_ZAR2022!$A$6:$A$104&amp;AEA2012_ZAR2022!$B$6:$B$104,0),MATCH(AH$16,AEA2012_ZAR2022!$AC$4:$AG$4,0)))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IF($W$1,AD86*(1+INDEX(AE$1:AE$2,MATCH($O86,$AA$1:$AA$2,0)))^(AE$16-AD$16),INDEX(AEA2012_ZAR2022!$AC$6:$AG$104,MATCH($T86&amp;$U86,AEA2012_ZAR2022!$A$6:$A$104&amp;AEA2012_ZAR2022!$B$6:$B$104,0),MATCH(AE$16,AEA2012_ZAR2022!$AC$4:$AG$4,0)))</f>
        <v>9.6121432811182164</v>
      </c>
      <c r="AF86" s="67">
        <f t="array" ref="AF86">IF($W$1,AE86*(1+INDEX(AF$1:AF$2,MATCH($O86,$AA$1:$AA$2,0)))^(AF$16-AE$16),INDEX(AEA2012_ZAR2022!$AC$6:$AG$104,MATCH($T86&amp;$U86,AEA2012_ZAR2022!$A$6:$A$104&amp;AEA2012_ZAR2022!$B$6:$B$104,0),MATCH(AF$16,AEA2012_ZAR2022!$AC$4:$AG$4,0)))</f>
        <v>9.096369859221868</v>
      </c>
      <c r="AG86" s="67">
        <f t="array" ref="AG86">IF($W$1,AF86*(1+INDEX(AG$1:AG$2,MATCH($O86,$AA$1:$AA$2,0)))^(AG$16-AF$16),INDEX(AEA2012_ZAR2022!$AC$6:$AG$104,MATCH($T86&amp;$U86,AEA2012_ZAR2022!$A$6:$A$104&amp;AEA2012_ZAR2022!$B$6:$B$104,0),MATCH(AG$16,AEA2012_ZAR2022!$AC$4:$AG$4,0)))</f>
        <v>8.2265938483306176</v>
      </c>
      <c r="AH86" s="67">
        <f t="array" ref="AH86">IF($W$1,AG86*(1+INDEX(AH$1:AH$2,MATCH($O86,$AA$1:$AA$2,0)))^(AH$16-AG$16),INDEX(AEA2012_ZAR2022!$AC$6:$AG$104,MATCH($T86&amp;$U86,AEA2012_ZAR2022!$A$6:$A$104&amp;AEA2012_ZAR2022!$B$6:$B$104,0),MATCH(AH$16,AEA2012_ZAR2022!$AC$4:$AG$4,0)))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11"/>
        <v/>
      </c>
      <c r="AD87" s="67" t="e">
        <f>1/INDEX(Analytica!$AA$17:$AE$48,MATCH($AC87,Analytica!$A$17:$A$48,0),MATCH(AD$16,Analytica!$AA$16:$AE$16,0))</f>
        <v>#N/A</v>
      </c>
      <c r="AE87" s="67" t="e">
        <f t="array" ref="AE87">IF($W$1,AD87*(1+INDEX(AE$1:AE$2,MATCH($O87,$AA$1:$AA$2,0)))^(AE$16-AD$16),INDEX(AEA2012_ZAR2022!$AC$6:$AG$104,MATCH($T87&amp;$U87,AEA2012_ZAR2022!$A$6:$A$104&amp;AEA2012_ZAR2022!$B$6:$B$104,0),MATCH(AE$16,AEA2012_ZAR2022!$AC$4:$AG$4,0)))</f>
        <v>#N/A</v>
      </c>
      <c r="AF87" s="67" t="e">
        <f t="array" ref="AF87">IF($W$1,AE87*(1+INDEX(AF$1:AF$2,MATCH($O87,$AA$1:$AA$2,0)))^(AF$16-AE$16),INDEX(AEA2012_ZAR2022!$AC$6:$AG$104,MATCH($T87&amp;$U87,AEA2012_ZAR2022!$A$6:$A$104&amp;AEA2012_ZAR2022!$B$6:$B$104,0),MATCH(AF$16,AEA2012_ZAR2022!$AC$4:$AG$4,0)))</f>
        <v>#N/A</v>
      </c>
      <c r="AG87" s="67" t="e">
        <f t="array" ref="AG87">IF($W$1,AF87*(1+INDEX(AG$1:AG$2,MATCH($O87,$AA$1:$AA$2,0)))^(AG$16-AF$16),INDEX(AEA2012_ZAR2022!$AC$6:$AG$104,MATCH($T87&amp;$U87,AEA2012_ZAR2022!$A$6:$A$104&amp;AEA2012_ZAR2022!$B$6:$B$104,0),MATCH(AG$16,AEA2012_ZAR2022!$AC$4:$AG$4,0)))</f>
        <v>#N/A</v>
      </c>
      <c r="AH87" s="67" t="e">
        <f t="array" ref="AH87">IF($W$1,AG87*(1+INDEX(AH$1:AH$2,MATCH($O87,$AA$1:$AA$2,0)))^(AH$16-AG$16),INDEX(AEA2012_ZAR2022!$AC$6:$AG$104,MATCH($T87&amp;$U87,AEA2012_ZAR2022!$A$6:$A$104&amp;AEA2012_ZAR2022!$B$6:$B$104,0),MATCH(AH$16,AEA2012_ZAR2022!$AC$4:$AG$4,0)))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11"/>
        <v>CV4ODS</v>
      </c>
      <c r="AD88" s="67">
        <f>1/INDEX(Analytica!$AA$17:$AE$48,MATCH($AC88,Analytica!$A$17:$A$48,0),MATCH(AD$16,Analytica!$AA$16:$AE$16,0))</f>
        <v>9.7550044464299983</v>
      </c>
      <c r="AE88" s="67">
        <f t="array" ref="AE88">IF($W$1,AD88*(1+INDEX(AE$1:AE$2,MATCH($O88,$AA$1:$AA$2,0)))^(AE$16-AD$16),INDEX(AEA2012_ZAR2022!$AC$6:$AG$104,MATCH($T88&amp;$U88,AEA2012_ZAR2022!$A$6:$A$104&amp;AEA2012_ZAR2022!$B$6:$B$104,0),MATCH(AE$16,AEA2012_ZAR2022!$AC$4:$AG$4,0)))</f>
        <v>9.725768688349044</v>
      </c>
      <c r="AF88" s="67">
        <f t="array" ref="AF88">IF($W$1,AE88*(1+INDEX(AF$1:AF$2,MATCH($O88,$AA$1:$AA$2,0)))^(AF$16-AE$16),INDEX(AEA2012_ZAR2022!$AC$6:$AG$104,MATCH($T88&amp;$U88,AEA2012_ZAR2022!$A$6:$A$104&amp;AEA2012_ZAR2022!$B$6:$B$104,0),MATCH(AF$16,AEA2012_ZAR2022!$AC$4:$AG$4,0)))</f>
        <v>9.203898294800501</v>
      </c>
      <c r="AG88" s="67">
        <f t="array" ref="AG88">IF($W$1,AF88*(1+INDEX(AG$1:AG$2,MATCH($O88,$AA$1:$AA$2,0)))^(AG$16-AF$16),INDEX(AEA2012_ZAR2022!$AC$6:$AG$104,MATCH($T88&amp;$U88,AEA2012_ZAR2022!$A$6:$A$104&amp;AEA2012_ZAR2022!$B$6:$B$104,0),MATCH(AG$16,AEA2012_ZAR2022!$AC$4:$AG$4,0)))</f>
        <v>8.3238406380216734</v>
      </c>
      <c r="AH88" s="67">
        <f t="array" ref="AH88">IF($W$1,AG88*(1+INDEX(AH$1:AH$2,MATCH($O88,$AA$1:$AA$2,0)))^(AH$16-AG$16),INDEX(AEA2012_ZAR2022!$AC$6:$AG$104,MATCH($T88&amp;$U88,AEA2012_ZAR2022!$A$6:$A$104&amp;AEA2012_ZAR2022!$B$6:$B$104,0),MATCH(AH$16,AEA2012_ZAR2022!$AC$4:$AG$4,0)))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IF($W$1,AD89*(1+INDEX(AE$1:AE$2,MATCH($O89,$AA$1:$AA$2,0)))^(AE$16-AD$16),INDEX(AEA2012_ZAR2022!$AC$6:$AG$104,MATCH($T89&amp;$U89,AEA2012_ZAR2022!$A$6:$A$104&amp;AEA2012_ZAR2022!$B$6:$B$104,0),MATCH(AE$16,AEA2012_ZAR2022!$AC$4:$AG$4,0)))</f>
        <v>4.609962970465193</v>
      </c>
      <c r="AF89" s="67">
        <f t="array" ref="AF89">IF($W$1,AE89*(1+INDEX(AF$1:AF$2,MATCH($O89,$AA$1:$AA$2,0)))^(AF$16-AE$16),INDEX(AEA2012_ZAR2022!$AC$6:$AG$104,MATCH($T89&amp;$U89,AEA2012_ZAR2022!$A$6:$A$104&amp;AEA2012_ZAR2022!$B$6:$B$104,0),MATCH(AF$16,AEA2012_ZAR2022!$AC$4:$AG$4,0)))</f>
        <v>4.3625991613173465</v>
      </c>
      <c r="AG89" s="67">
        <f t="array" ref="AG89">IF($W$1,AF89*(1+INDEX(AG$1:AG$2,MATCH($O89,$AA$1:$AA$2,0)))^(AG$16-AF$16),INDEX(AEA2012_ZAR2022!$AC$6:$AG$104,MATCH($T89&amp;$U89,AEA2012_ZAR2022!$A$6:$A$104&amp;AEA2012_ZAR2022!$B$6:$B$104,0),MATCH(AG$16,AEA2012_ZAR2022!$AC$4:$AG$4,0)))</f>
        <v>3.9454564819438511</v>
      </c>
      <c r="AH89" s="67">
        <f t="array" ref="AH89">IF($W$1,AG89*(1+INDEX(AH$1:AH$2,MATCH($O89,$AA$1:$AA$2,0)))^(AH$16-AG$16),INDEX(AEA2012_ZAR2022!$AC$6:$AG$104,MATCH($T89&amp;$U89,AEA2012_ZAR2022!$A$6:$A$104&amp;AEA2012_ZAR2022!$B$6:$B$104,0),MATCH(AH$16,AEA2012_ZAR2022!$AC$4:$AG$4,0)))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IF($W$1,AD90*(1+INDEX(AE$1:AE$2,MATCH($O90,$AA$1:$AA$2,0)))^(AE$16-AD$16),INDEX(AEA2012_ZAR2022!$AC$6:$AG$104,MATCH($T90&amp;$U90,AEA2012_ZAR2022!$A$6:$A$104&amp;AEA2012_ZAR2022!$B$6:$B$104,0),MATCH(AE$16,AEA2012_ZAR2022!$AC$4:$AG$4,0)))</f>
        <v>11.184633991601398</v>
      </c>
      <c r="AF90" s="67">
        <f t="array" ref="AF90">IF($W$1,AE90*(1+INDEX(AF$1:AF$2,MATCH($O90,$AA$1:$AA$2,0)))^(AF$16-AE$16),INDEX(AEA2012_ZAR2022!$AC$6:$AG$104,MATCH($T90&amp;$U90,AEA2012_ZAR2022!$A$6:$A$104&amp;AEA2012_ZAR2022!$B$6:$B$104,0),MATCH(AF$16,AEA2012_ZAR2022!$AC$4:$AG$4,0)))</f>
        <v>10.584483039020574</v>
      </c>
      <c r="AG90" s="67">
        <f t="array" ref="AG90">IF($W$1,AF90*(1+INDEX(AG$1:AG$2,MATCH($O90,$AA$1:$AA$2,0)))^(AG$16-AF$16),INDEX(AEA2012_ZAR2022!$AC$6:$AG$104,MATCH($T90&amp;$U90,AEA2012_ZAR2022!$A$6:$A$104&amp;AEA2012_ZAR2022!$B$6:$B$104,0),MATCH(AG$16,AEA2012_ZAR2022!$AC$4:$AG$4,0)))</f>
        <v>9.5724167337249213</v>
      </c>
      <c r="AH90" s="67">
        <f t="array" ref="AH90">IF($W$1,AG90*(1+INDEX(AH$1:AH$2,MATCH($O90,$AA$1:$AA$2,0)))^(AH$16-AG$16),INDEX(AEA2012_ZAR2022!$AC$6:$AG$104,MATCH($T90&amp;$U90,AEA2012_ZAR2022!$A$6:$A$104&amp;AEA2012_ZAR2022!$B$6:$B$104,0),MATCH(AH$16,AEA2012_ZAR2022!$AC$4:$AG$4,0)))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11"/>
        <v/>
      </c>
      <c r="AD91" s="67" t="e">
        <f>1/INDEX(Analytica!$AA$17:$AE$48,MATCH($AC91,Analytica!$A$17:$A$48,0),MATCH(AD$16,Analytica!$AA$16:$AE$16,0))</f>
        <v>#N/A</v>
      </c>
      <c r="AE91" s="67" t="e">
        <f t="array" ref="AE91">IF($W$1,AD91*(1+INDEX(AE$1:AE$2,MATCH($O91,$AA$1:$AA$2,0)))^(AE$16-AD$16),INDEX(AEA2012_ZAR2022!$AC$6:$AG$104,MATCH($T91&amp;$U91,AEA2012_ZAR2022!$A$6:$A$104&amp;AEA2012_ZAR2022!$B$6:$B$104,0),MATCH(AE$16,AEA2012_ZAR2022!$AC$4:$AG$4,0)))</f>
        <v>#N/A</v>
      </c>
      <c r="AF91" s="67" t="e">
        <f t="array" ref="AF91">IF($W$1,AE91*(1+INDEX(AF$1:AF$2,MATCH($O91,$AA$1:$AA$2,0)))^(AF$16-AE$16),INDEX(AEA2012_ZAR2022!$AC$6:$AG$104,MATCH($T91&amp;$U91,AEA2012_ZAR2022!$A$6:$A$104&amp;AEA2012_ZAR2022!$B$6:$B$104,0),MATCH(AF$16,AEA2012_ZAR2022!$AC$4:$AG$4,0)))</f>
        <v>#N/A</v>
      </c>
      <c r="AG91" s="67" t="e">
        <f t="array" ref="AG91">IF($W$1,AF91*(1+INDEX(AG$1:AG$2,MATCH($O91,$AA$1:$AA$2,0)))^(AG$16-AF$16),INDEX(AEA2012_ZAR2022!$AC$6:$AG$104,MATCH($T91&amp;$U91,AEA2012_ZAR2022!$A$6:$A$104&amp;AEA2012_ZAR2022!$B$6:$B$104,0),MATCH(AG$16,AEA2012_ZAR2022!$AC$4:$AG$4,0)))</f>
        <v>#N/A</v>
      </c>
      <c r="AH91" s="67" t="e">
        <f t="array" ref="AH91">IF($W$1,AG91*(1+INDEX(AH$1:AH$2,MATCH($O91,$AA$1:$AA$2,0)))^(AH$16-AG$16),INDEX(AEA2012_ZAR2022!$AC$6:$AG$104,MATCH($T91&amp;$U91,AEA2012_ZAR2022!$A$6:$A$104&amp;AEA2012_ZAR2022!$B$6:$B$104,0),MATCH(AH$16,AEA2012_ZAR2022!$AC$4:$AG$4,0)))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ref="AC92:AC110" si="20">Q92&amp;N92</f>
        <v>CV5ODS</v>
      </c>
      <c r="AD92" s="67">
        <f>1/INDEX(Analytica!$AA$17:$AE$48,MATCH($AC92,Analytica!$A$17:$A$48,0),MATCH(AD$16,Analytica!$AA$16:$AE$16,0))</f>
        <v>10.588781032925946</v>
      </c>
      <c r="AE92" s="67">
        <f t="array" ref="AE92">IF($W$1,AD92*(1+INDEX(AE$1:AE$2,MATCH($O92,$AA$1:$AA$2,0)))^(AE$16-AD$16),INDEX(AEA2012_ZAR2022!$AC$6:$AG$104,MATCH($T92&amp;$U92,AEA2012_ZAR2022!$A$6:$A$104&amp;AEA2012_ZAR2022!$B$6:$B$104,0),MATCH(AE$16,AEA2012_ZAR2022!$AC$4:$AG$4,0)))</f>
        <v>10.557046445581486</v>
      </c>
      <c r="AF92" s="67">
        <f t="array" ref="AF92">IF($W$1,AE92*(1+INDEX(AF$1:AF$2,MATCH($O92,$AA$1:$AA$2,0)))^(AF$16-AE$16),INDEX(AEA2012_ZAR2022!$AC$6:$AG$104,MATCH($T92&amp;$U92,AEA2012_ZAR2022!$A$6:$A$104&amp;AEA2012_ZAR2022!$B$6:$B$104,0),MATCH(AF$16,AEA2012_ZAR2022!$AC$4:$AG$4,0)))</f>
        <v>9.9905709144632269</v>
      </c>
      <c r="AG92" s="67">
        <f t="array" ref="AG92">IF($W$1,AF92*(1+INDEX(AG$1:AG$2,MATCH($O92,$AA$1:$AA$2,0)))^(AG$16-AF$16),INDEX(AEA2012_ZAR2022!$AC$6:$AG$104,MATCH($T92&amp;$U92,AEA2012_ZAR2022!$A$6:$A$104&amp;AEA2012_ZAR2022!$B$6:$B$104,0),MATCH(AG$16,AEA2012_ZAR2022!$AC$4:$AG$4,0)))</f>
        <v>9.035293254144861</v>
      </c>
      <c r="AH92" s="67">
        <f t="array" ref="AH92">IF($W$1,AG92*(1+INDEX(AH$1:AH$2,MATCH($O92,$AA$1:$AA$2,0)))^(AH$16-AG$16),INDEX(AEA2012_ZAR2022!$AC$6:$AG$104,MATCH($T92&amp;$U92,AEA2012_ZAR2022!$A$6:$A$104&amp;AEA2012_ZAR2022!$B$6:$B$104,0),MATCH(AH$16,AEA2012_ZAR2022!$AC$4:$AG$4,0)))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IF($W$1,AD93*(1+INDEX(AE$1:AE$2,MATCH($O93,$AA$1:$AA$2,0)))^(AE$16-AD$16),INDEX(AEA2012_ZAR2022!$AC$6:$AG$104,MATCH($T93&amp;$U93,AEA2012_ZAR2022!$A$6:$A$104&amp;AEA2012_ZAR2022!$B$6:$B$104,0),MATCH(AE$16,AEA2012_ZAR2022!$AC$4:$AG$4,0)))</f>
        <v>5.0039842351908934</v>
      </c>
      <c r="AF93" s="67">
        <f t="array" ref="AF93">IF($W$1,AE93*(1+INDEX(AF$1:AF$2,MATCH($O93,$AA$1:$AA$2,0)))^(AF$16-AE$16),INDEX(AEA2012_ZAR2022!$AC$6:$AG$104,MATCH($T93&amp;$U93,AEA2012_ZAR2022!$A$6:$A$104&amp;AEA2012_ZAR2022!$B$6:$B$104,0),MATCH(AF$16,AEA2012_ZAR2022!$AC$4:$AG$4,0)))</f>
        <v>4.7354778265141038</v>
      </c>
      <c r="AG93" s="67">
        <f t="array" ref="AG93">IF($W$1,AF93*(1+INDEX(AG$1:AG$2,MATCH($O93,$AA$1:$AA$2,0)))^(AG$16-AF$16),INDEX(AEA2012_ZAR2022!$AC$6:$AG$104,MATCH($T93&amp;$U93,AEA2012_ZAR2022!$A$6:$A$104&amp;AEA2012_ZAR2022!$B$6:$B$104,0),MATCH(AG$16,AEA2012_ZAR2022!$AC$4:$AG$4,0)))</f>
        <v>4.2826812629010078</v>
      </c>
      <c r="AH93" s="67">
        <f t="array" ref="AH93">IF($W$1,AG93*(1+INDEX(AH$1:AH$2,MATCH($O93,$AA$1:$AA$2,0)))^(AH$16-AG$16),INDEX(AEA2012_ZAR2022!$AC$6:$AG$104,MATCH($T93&amp;$U93,AEA2012_ZAR2022!$A$6:$A$104&amp;AEA2012_ZAR2022!$B$6:$B$104,0),MATCH(AH$16,AEA2012_ZAR2022!$AC$4:$AG$4,0)))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IF($W$1,AD94*(1+INDEX(AE$1:AE$2,MATCH($O94,$AA$1:$AA$2,0)))^(AE$16-AD$16),INDEX(AEA2012_ZAR2022!$AC$6:$AG$104,MATCH($T94&amp;$U94,AEA2012_ZAR2022!$A$6:$A$104&amp;AEA2012_ZAR2022!$B$6:$B$104,0),MATCH(AE$16,AEA2012_ZAR2022!$AC$4:$AG$4,0)))</f>
        <v>12.140603412418706</v>
      </c>
      <c r="AF94" s="67">
        <f t="array" ref="AF94">IF($W$1,AE94*(1+INDEX(AF$1:AF$2,MATCH($O94,$AA$1:$AA$2,0)))^(AF$16-AE$16),INDEX(AEA2012_ZAR2022!$AC$6:$AG$104,MATCH($T94&amp;$U94,AEA2012_ZAR2022!$A$6:$A$104&amp;AEA2012_ZAR2022!$B$6:$B$104,0),MATCH(AF$16,AEA2012_ZAR2022!$AC$4:$AG$4,0)))</f>
        <v>11.489156551632709</v>
      </c>
      <c r="AG94" s="67">
        <f t="array" ref="AG94">IF($W$1,AF94*(1+INDEX(AG$1:AG$2,MATCH($O94,$AA$1:$AA$2,0)))^(AG$16-AF$16),INDEX(AEA2012_ZAR2022!$AC$6:$AG$104,MATCH($T94&amp;$U94,AEA2012_ZAR2022!$A$6:$A$104&amp;AEA2012_ZAR2022!$B$6:$B$104,0),MATCH(AG$16,AEA2012_ZAR2022!$AC$4:$AG$4,0)))</f>
        <v>10.390587242266587</v>
      </c>
      <c r="AH94" s="67">
        <f t="array" ref="AH94">IF($W$1,AG94*(1+INDEX(AH$1:AH$2,MATCH($O94,$AA$1:$AA$2,0)))^(AH$16-AG$16),INDEX(AEA2012_ZAR2022!$AC$6:$AG$104,MATCH($T94&amp;$U94,AEA2012_ZAR2022!$A$6:$A$104&amp;AEA2012_ZAR2022!$B$6:$B$104,0),MATCH(AH$16,AEA2012_ZAR2022!$AC$4:$AG$4,0)))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0"/>
        <v/>
      </c>
      <c r="AD95" s="67" t="e">
        <f>1/INDEX(Analytica!$AA$17:$AE$48,MATCH($AC95,Analytica!$A$17:$A$48,0),MATCH(AD$16,Analytica!$AA$16:$AE$16,0))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0"/>
        <v>CV6ODS</v>
      </c>
      <c r="AD96" s="67">
        <f>1/INDEX(Analytica!$AA$17:$AE$48,MATCH($AC96,Analytica!$A$17:$A$48,0),MATCH(AD$16,Analytica!$AA$16:$AE$16,0))</f>
        <v>15.351533031153163</v>
      </c>
      <c r="AE96" s="67">
        <f t="array" ref="AE96">IF($W$1,AD96*(1+INDEX(AE$1:AE$2,MATCH($O96,$AA$1:$AA$2,0)))^(AE$16-AD$16),INDEX(AEA2012_ZAR2022!$AC$6:$AG$104,MATCH($T96&amp;$U96,AEA2012_ZAR2022!$A$6:$A$104&amp;AEA2012_ZAR2022!$B$6:$B$104,0),MATCH(AE$16,AEA2012_ZAR2022!$AC$4:$AG$4,0)))</f>
        <v>15.305524471307264</v>
      </c>
      <c r="AF96" s="67">
        <f t="array" ref="AF96">IF($W$1,AE96*(1+INDEX(AF$1:AF$2,MATCH($O96,$AA$1:$AA$2,0)))^(AF$16-AE$16),INDEX(AEA2012_ZAR2022!$AC$6:$AG$104,MATCH($T96&amp;$U96,AEA2012_ZAR2022!$A$6:$A$104&amp;AEA2012_ZAR2022!$B$6:$B$104,0),MATCH(AF$16,AEA2012_ZAR2022!$AC$4:$AG$4,0)))</f>
        <v>14.484252617610334</v>
      </c>
      <c r="AG96" s="67">
        <f t="array" ref="AG96">IF($W$1,AF96*(1+INDEX(AG$1:AG$2,MATCH($O96,$AA$1:$AA$2,0)))^(AG$16-AF$16),INDEX(AEA2012_ZAR2022!$AC$6:$AG$104,MATCH($T96&amp;$U96,AEA2012_ZAR2022!$A$6:$A$104&amp;AEA2012_ZAR2022!$B$6:$B$104,0),MATCH(AG$16,AEA2012_ZAR2022!$AC$4:$AG$4,0)))</f>
        <v>13.099298437266139</v>
      </c>
      <c r="AH96" s="67">
        <f t="array" ref="AH96">IF($W$1,AG96*(1+INDEX(AH$1:AH$2,MATCH($O96,$AA$1:$AA$2,0)))^(AH$16-AG$16),INDEX(AEA2012_ZAR2022!$AC$6:$AG$104,MATCH($T96&amp;$U96,AEA2012_ZAR2022!$A$6:$A$104&amp;AEA2012_ZAR2022!$B$6:$B$104,0),MATCH(AH$16,AEA2012_ZAR2022!$AC$4:$AG$4,0)))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IF($W$1,AD97*(1+INDEX(AE$1:AE$2,MATCH($O97,$AA$1:$AA$2,0)))^(AE$16-AD$16),INDEX(AEA2012_ZAR2022!$AC$6:$AG$104,MATCH($T97&amp;$U97,AEA2012_ZAR2022!$A$6:$A$104&amp;AEA2012_ZAR2022!$B$6:$B$104,0),MATCH(AE$16,AEA2012_ZAR2022!$AC$4:$AG$4,0)))</f>
        <v>7.2547377299647247</v>
      </c>
      <c r="AF97" s="67">
        <f t="array" ref="AF97">IF($W$1,AE97*(1+INDEX(AF$1:AF$2,MATCH($O97,$AA$1:$AA$2,0)))^(AF$16-AE$16),INDEX(AEA2012_ZAR2022!$AC$6:$AG$104,MATCH($T97&amp;$U97,AEA2012_ZAR2022!$A$6:$A$104&amp;AEA2012_ZAR2022!$B$6:$B$104,0),MATCH(AF$16,AEA2012_ZAR2022!$AC$4:$AG$4,0)))</f>
        <v>6.865459210646903</v>
      </c>
      <c r="AG97" s="67">
        <f t="array" ref="AG97">IF($W$1,AF97*(1+INDEX(AG$1:AG$2,MATCH($O97,$AA$1:$AA$2,0)))^(AG$16-AF$16),INDEX(AEA2012_ZAR2022!$AC$6:$AG$104,MATCH($T97&amp;$U97,AEA2012_ZAR2022!$A$6:$A$104&amp;AEA2012_ZAR2022!$B$6:$B$104,0),MATCH(AG$16,AEA2012_ZAR2022!$AC$4:$AG$4,0)))</f>
        <v>6.2089982468131542</v>
      </c>
      <c r="AH97" s="67">
        <f t="array" ref="AH97">IF($W$1,AG97*(1+INDEX(AH$1:AH$2,MATCH($O97,$AA$1:$AA$2,0)))^(AH$16-AG$16),INDEX(AEA2012_ZAR2022!$AC$6:$AG$104,MATCH($T97&amp;$U97,AEA2012_ZAR2022!$A$6:$A$104&amp;AEA2012_ZAR2022!$B$6:$B$104,0),MATCH(AH$16,AEA2012_ZAR2022!$AC$4:$AG$4,0)))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IF($W$1,AD98*(1+INDEX(AE$1:AE$2,MATCH($O98,$AA$1:$AA$2,0)))^(AE$16-AD$16),INDEX(AEA2012_ZAR2022!$AC$6:$AG$104,MATCH($T98&amp;$U98,AEA2012_ZAR2022!$A$6:$A$104&amp;AEA2012_ZAR2022!$B$6:$B$104,0),MATCH(AE$16,AEA2012_ZAR2022!$AC$4:$AG$4,0)))</f>
        <v>17.601353142003351</v>
      </c>
      <c r="AF98" s="67">
        <f t="array" ref="AF98">IF($W$1,AE98*(1+INDEX(AF$1:AF$2,MATCH($O98,$AA$1:$AA$2,0)))^(AF$16-AE$16),INDEX(AEA2012_ZAR2022!$AC$6:$AG$104,MATCH($T98&amp;$U98,AEA2012_ZAR2022!$A$6:$A$104&amp;AEA2012_ZAR2022!$B$6:$B$104,0),MATCH(AF$16,AEA2012_ZAR2022!$AC$4:$AG$4,0)))</f>
        <v>16.656890510251884</v>
      </c>
      <c r="AG98" s="67">
        <f t="array" ref="AG98">IF($W$1,AF98*(1+INDEX(AG$1:AG$2,MATCH($O98,$AA$1:$AA$2,0)))^(AG$16-AF$16),INDEX(AEA2012_ZAR2022!$AC$6:$AG$104,MATCH($T98&amp;$U98,AEA2012_ZAR2022!$A$6:$A$104&amp;AEA2012_ZAR2022!$B$6:$B$104,0),MATCH(AG$16,AEA2012_ZAR2022!$AC$4:$AG$4,0)))</f>
        <v>15.06419320285606</v>
      </c>
      <c r="AH98" s="67">
        <f t="array" ref="AH98">IF($W$1,AG98*(1+INDEX(AH$1:AH$2,MATCH($O98,$AA$1:$AA$2,0)))^(AH$16-AG$16),INDEX(AEA2012_ZAR2022!$AC$6:$AG$104,MATCH($T98&amp;$U98,AEA2012_ZAR2022!$A$6:$A$104&amp;AEA2012_ZAR2022!$B$6:$B$104,0),MATCH(AH$16,AEA2012_ZAR2022!$AC$4:$AG$4,0)))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0"/>
        <v/>
      </c>
      <c r="AD99" s="67" t="e">
        <f>1/INDEX(Analytica!$AA$17:$AE$48,MATCH($AC99,Analytica!$A$17:$A$48,0),MATCH(AD$16,Analytica!$AA$16:$AE$16,0))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0"/>
        <v>CV7ODS</v>
      </c>
      <c r="AD100" s="67">
        <f>1/INDEX(Analytica!$AA$17:$AE$48,MATCH($AC100,Analytica!$A$17:$A$48,0),MATCH(AD$16,Analytica!$AA$16:$AE$16,0))</f>
        <v>14.221141864653497</v>
      </c>
      <c r="AE100" s="67">
        <f t="array" ref="AE100">IF($W$1,AD100*(1+INDEX(AE$1:AE$2,MATCH($O100,$AA$1:$AA$2,0)))^(AE$16-AD$16),INDEX(AEA2012_ZAR2022!$AC$6:$AG$104,MATCH($T100&amp;$U100,AEA2012_ZAR2022!$A$6:$A$104&amp;AEA2012_ZAR2022!$B$6:$B$104,0),MATCH(AE$16,AEA2012_ZAR2022!$AC$4:$AG$4,0)))</f>
        <v>14.178521088263988</v>
      </c>
      <c r="AF100" s="67">
        <f t="array" ref="AF100">IF($W$1,AE100*(1+INDEX(AF$1:AF$2,MATCH($O100,$AA$1:$AA$2,0)))^(AF$16-AE$16),INDEX(AEA2012_ZAR2022!$AC$6:$AG$104,MATCH($T100&amp;$U100,AEA2012_ZAR2022!$A$6:$A$104&amp;AEA2012_ZAR2022!$B$6:$B$104,0),MATCH(AF$16,AEA2012_ZAR2022!$AC$4:$AG$4,0)))</f>
        <v>13.417722572756142</v>
      </c>
      <c r="AG100" s="67">
        <f t="array" ref="AG100">IF($W$1,AF100*(1+INDEX(AG$1:AG$2,MATCH($O100,$AA$1:$AA$2,0)))^(AG$16-AF$16),INDEX(AEA2012_ZAR2022!$AC$6:$AG$104,MATCH($T100&amp;$U100,AEA2012_ZAR2022!$A$6:$A$104&amp;AEA2012_ZAR2022!$B$6:$B$104,0),MATCH(AG$16,AEA2012_ZAR2022!$AC$4:$AG$4,0)))</f>
        <v>12.134747782241671</v>
      </c>
      <c r="AH100" s="67">
        <f t="array" ref="AH100">IF($W$1,AG100*(1+INDEX(AH$1:AH$2,MATCH($O100,$AA$1:$AA$2,0)))^(AH$16-AG$16),INDEX(AEA2012_ZAR2022!$AC$6:$AG$104,MATCH($T100&amp;$U100,AEA2012_ZAR2022!$A$6:$A$104&amp;AEA2012_ZAR2022!$B$6:$B$104,0),MATCH(AH$16,AEA2012_ZAR2022!$AC$4:$AG$4,0)))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IF($W$1,AD101*(1+INDEX(AE$1:AE$2,MATCH($O101,$AA$1:$AA$2,0)))^(AE$16-AD$16),INDEX(AEA2012_ZAR2022!$AC$6:$AG$104,MATCH($T101&amp;$U101,AEA2012_ZAR2022!$A$6:$A$104&amp;AEA2012_ZAR2022!$B$6:$B$104,0),MATCH(AE$16,AEA2012_ZAR2022!$AC$4:$AG$4,0)))</f>
        <v>6.7343497741541869</v>
      </c>
      <c r="AF101" s="67">
        <f t="array" ref="AF101">IF($W$1,AE101*(1+INDEX(AF$1:AF$2,MATCH($O101,$AA$1:$AA$2,0)))^(AF$16-AE$16),INDEX(AEA2012_ZAR2022!$AC$6:$AG$104,MATCH($T101&amp;$U101,AEA2012_ZAR2022!$A$6:$A$104&amp;AEA2012_ZAR2022!$B$6:$B$104,0),MATCH(AF$16,AEA2012_ZAR2022!$AC$4:$AG$4,0)))</f>
        <v>6.3729945045042395</v>
      </c>
      <c r="AG101" s="67">
        <f t="array" ref="AG101">IF($W$1,AF101*(1+INDEX(AG$1:AG$2,MATCH($O101,$AA$1:$AA$2,0)))^(AG$16-AF$16),INDEX(AEA2012_ZAR2022!$AC$6:$AG$104,MATCH($T101&amp;$U101,AEA2012_ZAR2022!$A$6:$A$104&amp;AEA2012_ZAR2022!$B$6:$B$104,0),MATCH(AG$16,AEA2012_ZAR2022!$AC$4:$AG$4,0)))</f>
        <v>5.7636219940032509</v>
      </c>
      <c r="AH101" s="67">
        <f t="array" ref="AH101">IF($W$1,AG101*(1+INDEX(AH$1:AH$2,MATCH($O101,$AA$1:$AA$2,0)))^(AH$16-AG$16),INDEX(AEA2012_ZAR2022!$AC$6:$AG$104,MATCH($T101&amp;$U101,AEA2012_ZAR2022!$A$6:$A$104&amp;AEA2012_ZAR2022!$B$6:$B$104,0),MATCH(AH$16,AEA2012_ZAR2022!$AC$4:$AG$4,0)))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IF($W$1,AD102*(1+INDEX(AE$1:AE$2,MATCH($O102,$AA$1:$AA$2,0)))^(AE$16-AD$16),INDEX(AEA2012_ZAR2022!$AC$6:$AG$104,MATCH($T102&amp;$U102,AEA2012_ZAR2022!$A$6:$A$104&amp;AEA2012_ZAR2022!$B$6:$B$104,0),MATCH(AE$16,AEA2012_ZAR2022!$AC$4:$AG$4,0)))</f>
        <v>16.305299251503584</v>
      </c>
      <c r="AF102" s="67">
        <f t="array" ref="AF102">IF($W$1,AE102*(1+INDEX(AF$1:AF$2,MATCH($O102,$AA$1:$AA$2,0)))^(AF$16-AE$16),INDEX(AEA2012_ZAR2022!$AC$6:$AG$104,MATCH($T102&amp;$U102,AEA2012_ZAR2022!$A$6:$A$104&amp;AEA2012_ZAR2022!$B$6:$B$104,0),MATCH(AF$16,AEA2012_ZAR2022!$AC$4:$AG$4,0)))</f>
        <v>15.430380958669563</v>
      </c>
      <c r="AG102" s="67">
        <f t="array" ref="AG102">IF($W$1,AF102*(1+INDEX(AG$1:AG$2,MATCH($O102,$AA$1:$AA$2,0)))^(AG$16-AF$16),INDEX(AEA2012_ZAR2022!$AC$6:$AG$104,MATCH($T102&amp;$U102,AEA2012_ZAR2022!$A$6:$A$104&amp;AEA2012_ZAR2022!$B$6:$B$104,0),MATCH(AG$16,AEA2012_ZAR2022!$AC$4:$AG$4,0)))</f>
        <v>13.954959949577923</v>
      </c>
      <c r="AH102" s="67">
        <f t="array" ref="AH102">IF($W$1,AG102*(1+INDEX(AH$1:AH$2,MATCH($O102,$AA$1:$AA$2,0)))^(AH$16-AG$16),INDEX(AEA2012_ZAR2022!$AC$6:$AG$104,MATCH($T102&amp;$U102,AEA2012_ZAR2022!$A$6:$A$104&amp;AEA2012_ZAR2022!$B$6:$B$104,0),MATCH(AH$16,AEA2012_ZAR2022!$AC$4:$AG$4,0)))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0"/>
        <v>CV8ODS</v>
      </c>
      <c r="AD104" s="67">
        <f>1/INDEX(Analytica!$AA$17:$AE$48,MATCH($AC104,Analytica!$A$17:$A$48,0),MATCH(AD$16,Analytica!$AA$16:$AE$16,0))</f>
        <v>14.452202013338351</v>
      </c>
      <c r="AE104" s="67">
        <f t="array" ref="AE104">IF($W$1,AD104*(1+INDEX(AE$1:AE$2,MATCH($O104,$AA$1:$AA$2,0)))^(AE$16-AD$16),INDEX(AEA2012_ZAR2022!$AC$6:$AG$104,MATCH($T104&amp;$U104,AEA2012_ZAR2022!$A$6:$A$104&amp;AEA2012_ZAR2022!$B$6:$B$104,0),MATCH(AE$16,AEA2012_ZAR2022!$AC$4:$AG$4,0)))</f>
        <v>14.408888749452174</v>
      </c>
      <c r="AF104" s="67">
        <f t="array" ref="AF104">IF($W$1,AE104*(1+INDEX(AF$1:AF$2,MATCH($O104,$AA$1:$AA$2,0)))^(AF$16-AE$16),INDEX(AEA2012_ZAR2022!$AC$6:$AG$104,MATCH($T104&amp;$U104,AEA2012_ZAR2022!$A$6:$A$104&amp;AEA2012_ZAR2022!$B$6:$B$104,0),MATCH(AF$16,AEA2012_ZAR2022!$AC$4:$AG$4,0)))</f>
        <v>13.63572904524475</v>
      </c>
      <c r="AG104" s="67">
        <f t="array" ref="AG104">IF($W$1,AF104*(1+INDEX(AG$1:AG$2,MATCH($O104,$AA$1:$AA$2,0)))^(AG$16-AF$16),INDEX(AEA2012_ZAR2022!$AC$6:$AG$104,MATCH($T104&amp;$U104,AEA2012_ZAR2022!$A$6:$A$104&amp;AEA2012_ZAR2022!$B$6:$B$104,0),MATCH(AG$16,AEA2012_ZAR2022!$AC$4:$AG$4,0)))</f>
        <v>12.331908928196269</v>
      </c>
      <c r="AH104" s="67">
        <f t="array" ref="AH104">IF($W$1,AG104*(1+INDEX(AH$1:AH$2,MATCH($O104,$AA$1:$AA$2,0)))^(AH$16-AG$16),INDEX(AEA2012_ZAR2022!$AC$6:$AG$104,MATCH($T104&amp;$U104,AEA2012_ZAR2022!$A$6:$A$104&amp;AEA2012_ZAR2022!$B$6:$B$104,0),MATCH(AH$16,AEA2012_ZAR2022!$AC$4:$AG$4,0)))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IF($W$1,AD105*(1+INDEX(AE$1:AE$2,MATCH($O105,$AA$1:$AA$2,0)))^(AE$16-AD$16),INDEX(AEA2012_ZAR2022!$AC$6:$AG$104,MATCH($T105&amp;$U105,AEA2012_ZAR2022!$A$6:$A$104&amp;AEA2012_ZAR2022!$B$6:$B$104,0),MATCH(AE$16,AEA2012_ZAR2022!$AC$4:$AG$4,0)))</f>
        <v>6.8437671384503274</v>
      </c>
      <c r="AF105" s="67">
        <f t="array" ref="AF105">IF($W$1,AE105*(1+INDEX(AF$1:AF$2,MATCH($O105,$AA$1:$AA$2,0)))^(AF$16-AE$16),INDEX(AEA2012_ZAR2022!$AC$6:$AG$104,MATCH($T105&amp;$U105,AEA2012_ZAR2022!$A$6:$A$104&amp;AEA2012_ZAR2022!$B$6:$B$104,0),MATCH(AF$16,AEA2012_ZAR2022!$AC$4:$AG$4,0)))</f>
        <v>6.4765406945214075</v>
      </c>
      <c r="AG105" s="67">
        <f t="array" ref="AG105">IF($W$1,AF105*(1+INDEX(AG$1:AG$2,MATCH($O105,$AA$1:$AA$2,0)))^(AG$16-AF$16),INDEX(AEA2012_ZAR2022!$AC$6:$AG$104,MATCH($T105&amp;$U105,AEA2012_ZAR2022!$A$6:$A$104&amp;AEA2012_ZAR2022!$B$6:$B$104,0),MATCH(AG$16,AEA2012_ZAR2022!$AC$4:$AG$4,0)))</f>
        <v>5.857267312190233</v>
      </c>
      <c r="AH105" s="67">
        <f t="array" ref="AH105">IF($W$1,AG105*(1+INDEX(AH$1:AH$2,MATCH($O105,$AA$1:$AA$2,0)))^(AH$16-AG$16),INDEX(AEA2012_ZAR2022!$AC$6:$AG$104,MATCH($T105&amp;$U105,AEA2012_ZAR2022!$A$6:$A$104&amp;AEA2012_ZAR2022!$B$6:$B$104,0),MATCH(AH$16,AEA2012_ZAR2022!$AC$4:$AG$4,0)))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IF($W$1,AD106*(1+INDEX(AE$1:AE$2,MATCH($O106,$AA$1:$AA$2,0)))^(AE$16-AD$16),INDEX(AEA2012_ZAR2022!$AC$6:$AG$104,MATCH($T106&amp;$U106,AEA2012_ZAR2022!$A$6:$A$104&amp;AEA2012_ZAR2022!$B$6:$B$104,0),MATCH(AE$16,AEA2012_ZAR2022!$AC$4:$AG$4,0)))</f>
        <v>16.570222061869998</v>
      </c>
      <c r="AF106" s="67">
        <f t="array" ref="AF106">IF($W$1,AE106*(1+INDEX(AF$1:AF$2,MATCH($O106,$AA$1:$AA$2,0)))^(AF$16-AE$16),INDEX(AEA2012_ZAR2022!$AC$6:$AG$104,MATCH($T106&amp;$U106,AEA2012_ZAR2022!$A$6:$A$104&amp;AEA2012_ZAR2022!$B$6:$B$104,0),MATCH(AF$16,AEA2012_ZAR2022!$AC$4:$AG$4,0)))</f>
        <v>15.681088402031461</v>
      </c>
      <c r="AG106" s="67">
        <f t="array" ref="AG106">IF($W$1,AF106*(1+INDEX(AG$1:AG$2,MATCH($O106,$AA$1:$AA$2,0)))^(AG$16-AF$16),INDEX(AEA2012_ZAR2022!$AC$6:$AG$104,MATCH($T106&amp;$U106,AEA2012_ZAR2022!$A$6:$A$104&amp;AEA2012_ZAR2022!$B$6:$B$104,0),MATCH(AG$16,AEA2012_ZAR2022!$AC$4:$AG$4,0)))</f>
        <v>14.181695267425708</v>
      </c>
      <c r="AH106" s="67">
        <f t="array" ref="AH106">IF($W$1,AG106*(1+INDEX(AH$1:AH$2,MATCH($O106,$AA$1:$AA$2,0)))^(AH$16-AG$16),INDEX(AEA2012_ZAR2022!$AC$6:$AG$104,MATCH($T106&amp;$U106,AEA2012_ZAR2022!$A$6:$A$104&amp;AEA2012_ZAR2022!$B$6:$B$104,0),MATCH(AH$16,AEA2012_ZAR2022!$AC$4:$AG$4,0)))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2" t="s">
        <v>753</v>
      </c>
      <c r="B107" s="283" t="s">
        <v>754</v>
      </c>
      <c r="C107" s="284" t="s">
        <v>754</v>
      </c>
      <c r="D107" s="283" t="s">
        <v>755</v>
      </c>
      <c r="E107" s="283" t="s">
        <v>755</v>
      </c>
      <c r="O107" s="61" t="s">
        <v>653</v>
      </c>
      <c r="P107"/>
      <c r="Q107" s="61" t="str">
        <f t="shared" si="17"/>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0"/>
        <v/>
      </c>
      <c r="AD107" s="67" t="e">
        <f>1/INDEX(Analytica!$AA$17:$AE$48,MATCH($AC107,Analytica!$A$17:$A$48,0),MATCH(AD$16,Analytica!$AA$16:$AE$16,0))</f>
        <v>#N/A</v>
      </c>
      <c r="AE107" s="67" t="e">
        <f t="array" ref="AE107">IF($W$1,AD107*(1+INDEX(AE$1:AE$2,MATCH($O107,$AA$1:$AA$2,0)))^(AE$16-AD$16),INDEX(AEA2012_ZAR2022!$AC$6:$AG$104,MATCH($T107&amp;$U107,AEA2012_ZAR2022!$A$6:$A$104&amp;AEA2012_ZAR2022!$B$6:$B$104,0),MATCH(AE$16,AEA2012_ZAR2022!$AC$4:$AG$4,0)))</f>
        <v>#N/A</v>
      </c>
      <c r="AF107" s="67" t="e">
        <f t="array" ref="AF107">IF($W$1,AE107*(1+INDEX(AF$1:AF$2,MATCH($O107,$AA$1:$AA$2,0)))^(AF$16-AE$16),INDEX(AEA2012_ZAR2022!$AC$6:$AG$104,MATCH($T107&amp;$U107,AEA2012_ZAR2022!$A$6:$A$104&amp;AEA2012_ZAR2022!$B$6:$B$104,0),MATCH(AF$16,AEA2012_ZAR2022!$AC$4:$AG$4,0)))</f>
        <v>#N/A</v>
      </c>
      <c r="AG107" s="67" t="e">
        <f t="array" ref="AG107">IF($W$1,AF107*(1+INDEX(AG$1:AG$2,MATCH($O107,$AA$1:$AA$2,0)))^(AG$16-AF$16),INDEX(AEA2012_ZAR2022!$AC$6:$AG$104,MATCH($T107&amp;$U107,AEA2012_ZAR2022!$A$6:$A$104&amp;AEA2012_ZAR2022!$B$6:$B$104,0),MATCH(AG$16,AEA2012_ZAR2022!$AC$4:$AG$4,0)))</f>
        <v>#N/A</v>
      </c>
      <c r="AH107" s="67" t="e">
        <f t="array" ref="AH107">IF($W$1,AG107*(1+INDEX(AH$1:AH$2,MATCH($O107,$AA$1:$AA$2,0)))^(AH$16-AG$16),INDEX(AEA2012_ZAR2022!$AC$6:$AG$104,MATCH($T107&amp;$U107,AEA2012_ZAR2022!$A$6:$A$104&amp;AEA2012_ZAR2022!$B$6:$B$104,0),MATCH(AH$16,AEA2012_ZAR2022!$AC$4:$AG$4,0)))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0"/>
        <v>CV9ODS</v>
      </c>
      <c r="AD108" s="67">
        <f>1/INDEX(Analytica!$AA$17:$AE$48,MATCH($AC108,Analytica!$A$17:$A$48,0),MATCH(AD$16,Analytica!$AA$16:$AE$16,0))</f>
        <v>18.392034419546842</v>
      </c>
      <c r="AE108" s="67">
        <f t="array" ref="AE108">IF($W$1,AD108*(1+INDEX(AE$1:AE$2,MATCH($O108,$AA$1:$AA$2,0)))^(AE$16-AD$16),INDEX(AEA2012_ZAR2022!$AC$6:$AG$104,MATCH($T108&amp;$U108,AEA2012_ZAR2022!$A$6:$A$104&amp;AEA2012_ZAR2022!$B$6:$B$104,0),MATCH(AE$16,AEA2012_ZAR2022!$AC$4:$AG$4,0)))</f>
        <v>18.336913473999427</v>
      </c>
      <c r="AF108" s="67">
        <f t="array" ref="AF108">IF($W$1,AE108*(1+INDEX(AF$1:AF$2,MATCH($O108,$AA$1:$AA$2,0)))^(AF$16-AE$16),INDEX(AEA2012_ZAR2022!$AC$6:$AG$104,MATCH($T108&amp;$U108,AEA2012_ZAR2022!$A$6:$A$104&amp;AEA2012_ZAR2022!$B$6:$B$104,0),MATCH(AF$16,AEA2012_ZAR2022!$AC$4:$AG$4,0)))</f>
        <v>17.352981760447015</v>
      </c>
      <c r="AG108" s="67">
        <f t="array" ref="AG108">IF($W$1,AF108*(1+INDEX(AG$1:AG$2,MATCH($O108,$AA$1:$AA$2,0)))^(AG$16-AF$16),INDEX(AEA2012_ZAR2022!$AC$6:$AG$104,MATCH($T108&amp;$U108,AEA2012_ZAR2022!$A$6:$A$104&amp;AEA2012_ZAR2022!$B$6:$B$104,0),MATCH(AG$16,AEA2012_ZAR2022!$AC$4:$AG$4,0)))</f>
        <v>15.693725652103005</v>
      </c>
      <c r="AH108" s="67">
        <f t="array" ref="AH108">IF($W$1,AG108*(1+INDEX(AH$1:AH$2,MATCH($O108,$AA$1:$AA$2,0)))^(AH$16-AG$16),INDEX(AEA2012_ZAR2022!$AC$6:$AG$104,MATCH($T108&amp;$U108,AEA2012_ZAR2022!$A$6:$A$104&amp;AEA2012_ZAR2022!$B$6:$B$104,0),MATCH(AH$16,AEA2012_ZAR2022!$AC$4:$AG$4,0)))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IF($W$1,AD109*(1+INDEX(AE$1:AE$2,MATCH($O109,$AA$1:$AA$2,0)))^(AE$16-AD$16),INDEX(AEA2012_ZAR2022!$AC$6:$AG$104,MATCH($T109&amp;$U109,AEA2012_ZAR2022!$A$6:$A$104&amp;AEA2012_ZAR2022!$B$6:$B$104,0),MATCH(AE$16,AEA2012_ZAR2022!$AC$4:$AG$4,0)))</f>
        <v>8.7094548397242342</v>
      </c>
      <c r="AF109" s="67">
        <f t="array" ref="AF109">IF($W$1,AE109*(1+INDEX(AF$1:AF$2,MATCH($O109,$AA$1:$AA$2,0)))^(AF$16-AE$16),INDEX(AEA2012_ZAR2022!$AC$6:$AG$104,MATCH($T109&amp;$U109,AEA2012_ZAR2022!$A$6:$A$104&amp;AEA2012_ZAR2022!$B$6:$B$104,0),MATCH(AF$16,AEA2012_ZAR2022!$AC$4:$AG$4,0)))</f>
        <v>8.2421183473146353</v>
      </c>
      <c r="AG109" s="67">
        <f t="array" ref="AG109">IF($W$1,AF109*(1+INDEX(AG$1:AG$2,MATCH($O109,$AA$1:$AA$2,0)))^(AG$16-AF$16),INDEX(AEA2012_ZAR2022!$AC$6:$AG$104,MATCH($T109&amp;$U109,AEA2012_ZAR2022!$A$6:$A$104&amp;AEA2012_ZAR2022!$B$6:$B$104,0),MATCH(AG$16,AEA2012_ZAR2022!$AC$4:$AG$4,0)))</f>
        <v>7.4540240934125466</v>
      </c>
      <c r="AH109" s="67">
        <f t="array" ref="AH109">IF($W$1,AG109*(1+INDEX(AH$1:AH$2,MATCH($O109,$AA$1:$AA$2,0)))^(AH$16-AG$16),INDEX(AEA2012_ZAR2022!$AC$6:$AG$104,MATCH($T109&amp;$U109,AEA2012_ZAR2022!$A$6:$A$104&amp;AEA2012_ZAR2022!$B$6:$B$104,0),MATCH(AH$16,AEA2012_ZAR2022!$AC$4:$AG$4,0)))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IF($W$1,AD110*(1+INDEX(AE$1:AE$2,MATCH($O110,$AA$1:$AA$2,0)))^(AE$16-AD$16),INDEX(AEA2012_ZAR2022!$AC$6:$AG$104,MATCH($T110&amp;$U110,AEA2012_ZAR2022!$A$6:$A$104&amp;AEA2012_ZAR2022!$B$6:$B$104,0),MATCH(AE$16,AEA2012_ZAR2022!$AC$4:$AG$4,0)))</f>
        <v>21.087450495099336</v>
      </c>
      <c r="AF110" s="67">
        <f t="array" ref="AF110">IF($W$1,AE110*(1+INDEX(AF$1:AF$2,MATCH($O110,$AA$1:$AA$2,0)))^(AF$16-AE$16),INDEX(AEA2012_ZAR2022!$AC$6:$AG$104,MATCH($T110&amp;$U110,AEA2012_ZAR2022!$A$6:$A$104&amp;AEA2012_ZAR2022!$B$6:$B$104,0),MATCH(AF$16,AEA2012_ZAR2022!$AC$4:$AG$4,0)))</f>
        <v>19.955929024514063</v>
      </c>
      <c r="AG110" s="67">
        <f t="array" ref="AG110">IF($W$1,AF110*(1+INDEX(AG$1:AG$2,MATCH($O110,$AA$1:$AA$2,0)))^(AG$16-AF$16),INDEX(AEA2012_ZAR2022!$AC$6:$AG$104,MATCH($T110&amp;$U110,AEA2012_ZAR2022!$A$6:$A$104&amp;AEA2012_ZAR2022!$B$6:$B$104,0),MATCH(AG$16,AEA2012_ZAR2022!$AC$4:$AG$4,0)))</f>
        <v>18.047784499918453</v>
      </c>
      <c r="AH110" s="67">
        <f t="array" ref="AH110">IF($W$1,AG110*(1+INDEX(AH$1:AH$2,MATCH($O110,$AA$1:$AA$2,0)))^(AH$16-AG$16),INDEX(AEA2012_ZAR2022!$AC$6:$AG$104,MATCH($T110&amp;$U110,AEA2012_ZAR2022!$A$6:$A$104&amp;AEA2012_ZAR2022!$B$6:$B$104,0),MATCH(AH$16,AEA2012_ZAR2022!$AC$4:$AG$4,0)))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5" thickBot="1" x14ac:dyDescent="0.3">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5" thickBot="1" x14ac:dyDescent="0.3">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2.25" thickBot="1" x14ac:dyDescent="0.3">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5" thickBot="1" x14ac:dyDescent="0.3">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5" thickBot="1" x14ac:dyDescent="0.3">
      <c r="A116" s="294" t="s">
        <v>777</v>
      </c>
      <c r="B116" s="295"/>
      <c r="C116" s="290"/>
      <c r="D116" s="295"/>
      <c r="E116" s="291"/>
      <c r="G116" s="61" t="e">
        <f t="shared" si="22"/>
        <v>#DIV/0!</v>
      </c>
      <c r="H116" s="61" t="e">
        <f t="shared" si="22"/>
        <v>#DIV/0!</v>
      </c>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37" ht="16.5" thickBot="1" x14ac:dyDescent="0.3">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5" thickBot="1" x14ac:dyDescent="0.3">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5" thickBot="1" x14ac:dyDescent="0.3">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5" thickBot="1" x14ac:dyDescent="0.3">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5" thickBot="1" x14ac:dyDescent="0.3">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5" thickBot="1" x14ac:dyDescent="0.3">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2.25" thickBot="1" x14ac:dyDescent="0.3">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5" thickBot="1" x14ac:dyDescent="0.3">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5" thickBot="1" x14ac:dyDescent="0.3">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5" thickBot="1" x14ac:dyDescent="0.3">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75" x14ac:dyDescent="0.2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93BB-BC66-41AC-B16F-BC5F9BCB7613}">
  <sheetPr>
    <tabColor theme="1" tint="0.14999847407452621"/>
  </sheetPr>
  <dimension ref="A1:V131"/>
  <sheetViews>
    <sheetView workbookViewId="0"/>
  </sheetViews>
  <sheetFormatPr defaultRowHeight="15" x14ac:dyDescent="0.25"/>
  <cols>
    <col min="1" max="2" width="9.140625" style="861"/>
    <col min="3" max="3" width="17" style="861" customWidth="1"/>
    <col min="4" max="4" width="21.7109375" style="861" customWidth="1"/>
    <col min="5" max="5" width="15.5703125" style="861" customWidth="1"/>
    <col min="6" max="6" width="23.140625" style="861" customWidth="1"/>
    <col min="7" max="16" width="15.5703125" style="861" customWidth="1"/>
    <col min="17" max="17" width="9.140625" style="861"/>
    <col min="18" max="18" width="17.7109375" style="861" customWidth="1"/>
    <col min="19" max="19" width="14.5703125" style="861" customWidth="1"/>
    <col min="20" max="20" width="27.28515625" style="861" customWidth="1"/>
    <col min="21" max="16384" width="9.140625" style="861"/>
  </cols>
  <sheetData>
    <row r="1" spans="2:22" x14ac:dyDescent="0.25">
      <c r="B1" s="861" t="s">
        <v>1273</v>
      </c>
      <c r="R1" s="322"/>
      <c r="S1" s="322"/>
      <c r="T1" s="322"/>
    </row>
    <row r="2" spans="2:22" x14ac:dyDescent="0.25">
      <c r="B2" s="861" t="s">
        <v>1272</v>
      </c>
    </row>
    <row r="3" spans="2:22" x14ac:dyDescent="0.25">
      <c r="B3" s="743" t="s">
        <v>1271</v>
      </c>
    </row>
    <row r="4" spans="2:22" x14ac:dyDescent="0.25">
      <c r="B4" s="862">
        <v>43831</v>
      </c>
      <c r="C4" s="863">
        <v>327723</v>
      </c>
      <c r="E4" s="862">
        <v>43831</v>
      </c>
      <c r="F4" s="862">
        <v>43862</v>
      </c>
      <c r="G4" s="862">
        <v>43891</v>
      </c>
      <c r="H4" s="862">
        <v>43922</v>
      </c>
      <c r="I4" s="862">
        <v>43952</v>
      </c>
      <c r="J4" s="862">
        <v>43983</v>
      </c>
      <c r="K4" s="862">
        <v>44013</v>
      </c>
      <c r="L4" s="862">
        <v>44044</v>
      </c>
      <c r="M4" s="862">
        <v>44075</v>
      </c>
      <c r="N4" s="862">
        <v>44105</v>
      </c>
      <c r="O4" s="862">
        <v>44136</v>
      </c>
      <c r="P4" s="862">
        <v>44166</v>
      </c>
      <c r="R4" s="909" t="s">
        <v>1340</v>
      </c>
      <c r="S4" s="910">
        <v>16.450808333333331</v>
      </c>
      <c r="T4" s="910" t="s">
        <v>1341</v>
      </c>
      <c r="U4" s="911">
        <v>16.450808333333331</v>
      </c>
      <c r="V4" s="910" t="s">
        <v>1276</v>
      </c>
    </row>
    <row r="5" spans="2:22" x14ac:dyDescent="0.25">
      <c r="B5" s="862">
        <v>44197</v>
      </c>
      <c r="C5" s="863">
        <v>358390</v>
      </c>
      <c r="E5" s="863">
        <f t="shared" ref="E5:P5" si="0">_xlfn.FORECAST.LINEAR(E4,$C$4:$C$5,$B$4:$B$5)</f>
        <v>327723</v>
      </c>
      <c r="F5" s="863">
        <f t="shared" si="0"/>
        <v>330320.47814207664</v>
      </c>
      <c r="G5" s="863">
        <f t="shared" si="0"/>
        <v>332750.37704918068</v>
      </c>
      <c r="H5" s="863">
        <f t="shared" si="0"/>
        <v>335347.85519125685</v>
      </c>
      <c r="I5" s="863">
        <f t="shared" si="0"/>
        <v>337861.54371584719</v>
      </c>
      <c r="J5" s="863">
        <f t="shared" si="0"/>
        <v>340459.02185792383</v>
      </c>
      <c r="K5" s="863">
        <f t="shared" si="0"/>
        <v>342972.7103825137</v>
      </c>
      <c r="L5" s="863">
        <f t="shared" si="0"/>
        <v>345570.18852459034</v>
      </c>
      <c r="M5" s="863">
        <f t="shared" si="0"/>
        <v>348167.66666666698</v>
      </c>
      <c r="N5" s="863">
        <f t="shared" si="0"/>
        <v>350681.35519125685</v>
      </c>
      <c r="O5" s="863">
        <f t="shared" si="0"/>
        <v>353278.83333333349</v>
      </c>
      <c r="P5" s="863">
        <f t="shared" si="0"/>
        <v>355792.52185792383</v>
      </c>
      <c r="R5" s="909" t="s">
        <v>1340</v>
      </c>
      <c r="S5" s="910">
        <v>1</v>
      </c>
      <c r="T5" s="910" t="s">
        <v>1396</v>
      </c>
      <c r="U5" s="911">
        <v>16.450808333333331</v>
      </c>
      <c r="V5" s="910" t="s">
        <v>1276</v>
      </c>
    </row>
    <row r="6" spans="2:22" x14ac:dyDescent="0.25">
      <c r="C6" s="861" t="s">
        <v>1270</v>
      </c>
      <c r="E6" s="861">
        <v>91.9</v>
      </c>
      <c r="F6" s="861">
        <v>92.8</v>
      </c>
      <c r="G6" s="861">
        <v>93.1</v>
      </c>
      <c r="H6" s="861">
        <v>92.6</v>
      </c>
      <c r="I6" s="861">
        <v>92</v>
      </c>
      <c r="J6" s="861">
        <v>92.5</v>
      </c>
      <c r="K6" s="861">
        <v>93.7</v>
      </c>
      <c r="L6" s="861">
        <v>93.9</v>
      </c>
      <c r="M6" s="861">
        <v>94</v>
      </c>
      <c r="N6" s="861">
        <v>94.3</v>
      </c>
      <c r="O6" s="861">
        <v>94.3</v>
      </c>
      <c r="P6" s="861">
        <v>94.4</v>
      </c>
    </row>
    <row r="7" spans="2:22" x14ac:dyDescent="0.25">
      <c r="C7" s="861" t="s">
        <v>1269</v>
      </c>
      <c r="E7" s="861">
        <f t="shared" ref="E7:P7" si="1">E6/$E6</f>
        <v>1</v>
      </c>
      <c r="F7" s="861">
        <f t="shared" si="1"/>
        <v>1.0097932535364527</v>
      </c>
      <c r="G7" s="861">
        <f t="shared" si="1"/>
        <v>1.0130576713819368</v>
      </c>
      <c r="H7" s="861">
        <f t="shared" si="1"/>
        <v>1.0076169749727963</v>
      </c>
      <c r="I7" s="861">
        <f t="shared" si="1"/>
        <v>1.001088139281828</v>
      </c>
      <c r="J7" s="861">
        <f t="shared" si="1"/>
        <v>1.0065288356909683</v>
      </c>
      <c r="K7" s="861">
        <f t="shared" si="1"/>
        <v>1.0195865070729053</v>
      </c>
      <c r="L7" s="861">
        <f t="shared" si="1"/>
        <v>1.0217627856365614</v>
      </c>
      <c r="M7" s="861">
        <f t="shared" si="1"/>
        <v>1.0228509249183895</v>
      </c>
      <c r="N7" s="861">
        <f t="shared" si="1"/>
        <v>1.0261153427638736</v>
      </c>
      <c r="O7" s="861">
        <f t="shared" si="1"/>
        <v>1.0261153427638736</v>
      </c>
      <c r="P7" s="861">
        <f t="shared" si="1"/>
        <v>1.0272034820457019</v>
      </c>
      <c r="R7" s="141" t="s">
        <v>1397</v>
      </c>
      <c r="S7" s="910">
        <v>14.898416666666668</v>
      </c>
      <c r="T7" t="s">
        <v>1398</v>
      </c>
      <c r="U7" s="912">
        <v>15.898018718397513</v>
      </c>
      <c r="V7" t="s">
        <v>1276</v>
      </c>
    </row>
    <row r="8" spans="2:22" x14ac:dyDescent="0.25">
      <c r="C8" s="861" t="s">
        <v>1268</v>
      </c>
      <c r="E8" s="863">
        <f t="shared" ref="E8:P8" si="2">E5/E7</f>
        <v>327723</v>
      </c>
      <c r="F8" s="863">
        <f t="shared" si="2"/>
        <v>327116.93902216427</v>
      </c>
      <c r="G8" s="863">
        <f t="shared" si="2"/>
        <v>328461.43556197319</v>
      </c>
      <c r="H8" s="863">
        <f t="shared" si="2"/>
        <v>332812.82820816967</v>
      </c>
      <c r="I8" s="863">
        <f t="shared" si="2"/>
        <v>337494.30290746043</v>
      </c>
      <c r="J8" s="863">
        <f t="shared" si="2"/>
        <v>338250.63901344006</v>
      </c>
      <c r="K8" s="863">
        <f t="shared" si="2"/>
        <v>336384.1204285273</v>
      </c>
      <c r="L8" s="863">
        <f t="shared" si="2"/>
        <v>338209.80112257565</v>
      </c>
      <c r="M8" s="863">
        <f t="shared" si="2"/>
        <v>340389.45283687976</v>
      </c>
      <c r="N8" s="863">
        <f t="shared" si="2"/>
        <v>341756.27298066288</v>
      </c>
      <c r="O8" s="863">
        <f t="shared" si="2"/>
        <v>344287.64351360925</v>
      </c>
      <c r="P8" s="863">
        <f t="shared" si="2"/>
        <v>346370.05041041522</v>
      </c>
      <c r="R8" s="141" t="s">
        <v>1397</v>
      </c>
      <c r="S8" s="910">
        <v>1.08</v>
      </c>
      <c r="T8" t="s">
        <v>1396</v>
      </c>
      <c r="U8" s="912">
        <v>17.766873</v>
      </c>
      <c r="V8" t="s">
        <v>1276</v>
      </c>
    </row>
    <row r="9" spans="2:22" x14ac:dyDescent="0.25">
      <c r="C9" s="861" t="s">
        <v>1267</v>
      </c>
      <c r="E9" s="863">
        <f>AVERAGE(E8:P8)</f>
        <v>336604.70716715645</v>
      </c>
    </row>
    <row r="10" spans="2:22" x14ac:dyDescent="0.25">
      <c r="C10" s="861" t="s">
        <v>1266</v>
      </c>
      <c r="E10" s="861">
        <f>AVERAGE(E7:P7)</f>
        <v>1.0151432716721069</v>
      </c>
    </row>
    <row r="11" spans="2:22" x14ac:dyDescent="0.25">
      <c r="C11" s="861" t="s">
        <v>1265</v>
      </c>
      <c r="E11" s="863">
        <f>E9*E10</f>
        <v>341702.00369389867</v>
      </c>
    </row>
    <row r="14" spans="2:22" x14ac:dyDescent="0.25">
      <c r="B14" s="861" t="s">
        <v>1274</v>
      </c>
      <c r="F14" s="861" t="s">
        <v>1264</v>
      </c>
      <c r="G14" s="743" t="s">
        <v>1263</v>
      </c>
    </row>
    <row r="15" spans="2:22" x14ac:dyDescent="0.25">
      <c r="B15" s="864" t="s">
        <v>390</v>
      </c>
      <c r="C15" s="864">
        <v>1</v>
      </c>
      <c r="D15" s="864">
        <v>179000</v>
      </c>
      <c r="F15" s="861" t="s">
        <v>1329</v>
      </c>
      <c r="G15" s="861">
        <v>1.1157057808455564</v>
      </c>
      <c r="H15" s="861" t="s">
        <v>1276</v>
      </c>
      <c r="R15" s="351" t="s">
        <v>1330</v>
      </c>
      <c r="S15" s="351" t="s">
        <v>1331</v>
      </c>
      <c r="T15" s="351" t="s">
        <v>1332</v>
      </c>
    </row>
    <row r="16" spans="2:22" x14ac:dyDescent="0.25">
      <c r="B16" s="864" t="s">
        <v>1262</v>
      </c>
      <c r="C16" s="864">
        <v>47</v>
      </c>
      <c r="D16" s="864">
        <v>229900</v>
      </c>
      <c r="F16" s="861" t="s">
        <v>1333</v>
      </c>
      <c r="G16" s="861">
        <v>1.13076</v>
      </c>
      <c r="H16" s="861" t="s">
        <v>1334</v>
      </c>
      <c r="R16" s="322" t="s">
        <v>681</v>
      </c>
      <c r="S16" s="255" t="s">
        <v>680</v>
      </c>
      <c r="T16" s="863">
        <f>D25</f>
        <v>263435.29411764705</v>
      </c>
    </row>
    <row r="17" spans="2:20" x14ac:dyDescent="0.25">
      <c r="B17" s="864" t="s">
        <v>1261</v>
      </c>
      <c r="C17" s="864">
        <v>94</v>
      </c>
      <c r="D17" s="864">
        <v>273900</v>
      </c>
      <c r="F17" s="861" t="s">
        <v>1333</v>
      </c>
      <c r="G17" s="861">
        <v>16.584166666666668</v>
      </c>
      <c r="H17" s="861" t="s">
        <v>1335</v>
      </c>
      <c r="I17" s="861">
        <v>18.503050620506183</v>
      </c>
      <c r="J17" s="861" t="s">
        <v>1276</v>
      </c>
      <c r="R17" s="322" t="s">
        <v>681</v>
      </c>
      <c r="S17" s="255" t="s">
        <v>687</v>
      </c>
      <c r="T17" s="863">
        <f>D29</f>
        <v>658729.4117647059</v>
      </c>
    </row>
    <row r="18" spans="2:20" x14ac:dyDescent="0.25">
      <c r="B18" s="864" t="s">
        <v>1260</v>
      </c>
      <c r="C18" s="864">
        <f>+C16+C17</f>
        <v>141</v>
      </c>
      <c r="D18" s="864">
        <v>310000</v>
      </c>
      <c r="F18" s="861" t="s">
        <v>1336</v>
      </c>
      <c r="G18" s="861">
        <v>1.0625</v>
      </c>
      <c r="H18" s="861" t="s">
        <v>1258</v>
      </c>
      <c r="I18" s="861" t="s">
        <v>1337</v>
      </c>
      <c r="R18" s="322" t="s">
        <v>681</v>
      </c>
      <c r="S18" s="255" t="s">
        <v>688</v>
      </c>
      <c r="T18" s="863">
        <f>D33</f>
        <v>478870.5882352941</v>
      </c>
    </row>
    <row r="19" spans="2:20" x14ac:dyDescent="0.25">
      <c r="B19" s="864" t="s">
        <v>388</v>
      </c>
      <c r="C19" s="864">
        <v>187</v>
      </c>
      <c r="D19" s="864">
        <v>412500</v>
      </c>
      <c r="F19" s="861" t="s">
        <v>1338</v>
      </c>
      <c r="G19" s="861">
        <v>1.0472999999999999</v>
      </c>
      <c r="H19" s="861" t="s">
        <v>1339</v>
      </c>
      <c r="R19" s="322" t="s">
        <v>681</v>
      </c>
      <c r="S19" s="255" t="s">
        <v>689</v>
      </c>
      <c r="T19" s="863">
        <f>D35</f>
        <v>1197433.100056743</v>
      </c>
    </row>
    <row r="20" spans="2:20" x14ac:dyDescent="0.25">
      <c r="B20" s="864"/>
      <c r="C20" s="864"/>
      <c r="D20" s="864"/>
      <c r="F20" s="861" t="s">
        <v>1340</v>
      </c>
      <c r="G20" s="861">
        <v>16.450808333333331</v>
      </c>
      <c r="H20" s="861" t="s">
        <v>1341</v>
      </c>
      <c r="I20" s="861">
        <v>16.450808333333331</v>
      </c>
      <c r="J20" s="861" t="s">
        <v>1276</v>
      </c>
      <c r="R20" s="322" t="s">
        <v>681</v>
      </c>
      <c r="S20" s="255" t="s">
        <v>691</v>
      </c>
      <c r="T20" s="863">
        <f>D37</f>
        <v>0</v>
      </c>
    </row>
    <row r="21" spans="2:20" x14ac:dyDescent="0.25">
      <c r="B21" s="864" t="s">
        <v>1259</v>
      </c>
      <c r="C21" s="864" t="s">
        <v>1258</v>
      </c>
      <c r="D21" s="865">
        <f>D17</f>
        <v>273900</v>
      </c>
      <c r="R21" s="322" t="s">
        <v>681</v>
      </c>
      <c r="S21" s="255" t="s">
        <v>695</v>
      </c>
      <c r="T21" s="863">
        <f>D38</f>
        <v>0</v>
      </c>
    </row>
    <row r="22" spans="2:20" x14ac:dyDescent="0.25">
      <c r="B22" s="864" t="s">
        <v>1257</v>
      </c>
      <c r="C22" s="864"/>
      <c r="D22" s="864">
        <v>109.08571428571427</v>
      </c>
      <c r="R22" s="322" t="s">
        <v>681</v>
      </c>
      <c r="S22" s="255" t="s">
        <v>839</v>
      </c>
      <c r="T22" s="863">
        <f>D40</f>
        <v>0</v>
      </c>
    </row>
    <row r="23" spans="2:20" x14ac:dyDescent="0.25">
      <c r="B23" s="864" t="s">
        <v>1256</v>
      </c>
      <c r="C23" s="864"/>
      <c r="D23" s="864">
        <v>104.24166666666667</v>
      </c>
      <c r="R23" s="322" t="s">
        <v>681</v>
      </c>
      <c r="S23" s="255" t="s">
        <v>838</v>
      </c>
      <c r="T23" s="863">
        <f>D41</f>
        <v>0</v>
      </c>
    </row>
    <row r="24" spans="2:20" x14ac:dyDescent="0.25">
      <c r="B24" s="864" t="s">
        <v>1292</v>
      </c>
      <c r="C24" s="864"/>
      <c r="D24" s="864">
        <v>93.291666666666671</v>
      </c>
      <c r="R24" s="322" t="s">
        <v>681</v>
      </c>
      <c r="S24" s="255" t="s">
        <v>692</v>
      </c>
      <c r="T24" s="863">
        <f>D44</f>
        <v>593681.6</v>
      </c>
    </row>
    <row r="25" spans="2:20" x14ac:dyDescent="0.25">
      <c r="B25" s="861" t="s">
        <v>1342</v>
      </c>
      <c r="D25" s="866">
        <f>279900/G18</f>
        <v>263435.29411764705</v>
      </c>
      <c r="E25" s="867"/>
      <c r="F25" s="861" t="s">
        <v>1343</v>
      </c>
      <c r="G25" s="868"/>
      <c r="R25" s="322" t="s">
        <v>681</v>
      </c>
      <c r="S25" s="255" t="s">
        <v>699</v>
      </c>
      <c r="T25" s="863">
        <f>D46</f>
        <v>1515975</v>
      </c>
    </row>
    <row r="26" spans="2:20" x14ac:dyDescent="0.25">
      <c r="R26" s="322" t="s">
        <v>681</v>
      </c>
      <c r="S26" s="255" t="s">
        <v>837</v>
      </c>
      <c r="T26" s="863">
        <f>D47</f>
        <v>0</v>
      </c>
    </row>
    <row r="27" spans="2:20" x14ac:dyDescent="0.25">
      <c r="B27" s="861" t="s">
        <v>1275</v>
      </c>
      <c r="R27" s="322" t="s">
        <v>681</v>
      </c>
      <c r="S27" s="255" t="s">
        <v>836</v>
      </c>
      <c r="T27" s="863">
        <f>D48</f>
        <v>0</v>
      </c>
    </row>
    <row r="28" spans="2:20" x14ac:dyDescent="0.25">
      <c r="C28" s="861" t="s">
        <v>1258</v>
      </c>
      <c r="D28" s="861">
        <v>699900</v>
      </c>
      <c r="F28" s="861" t="s">
        <v>1344</v>
      </c>
      <c r="R28" s="322" t="s">
        <v>681</v>
      </c>
      <c r="S28" s="255" t="s">
        <v>700</v>
      </c>
      <c r="T28" s="863">
        <f>D50</f>
        <v>724602.3529411765</v>
      </c>
    </row>
    <row r="29" spans="2:20" x14ac:dyDescent="0.25">
      <c r="C29" s="861" t="s">
        <v>1276</v>
      </c>
      <c r="D29" s="869">
        <f>D28/G18</f>
        <v>658729.4117647059</v>
      </c>
      <c r="R29" s="322" t="s">
        <v>715</v>
      </c>
      <c r="S29" s="483" t="s">
        <v>680</v>
      </c>
      <c r="T29" s="863">
        <f>D55</f>
        <v>141176.4705882353</v>
      </c>
    </row>
    <row r="30" spans="2:20" x14ac:dyDescent="0.25">
      <c r="D30" s="863"/>
      <c r="R30" s="322" t="s">
        <v>715</v>
      </c>
      <c r="S30" s="483" t="s">
        <v>688</v>
      </c>
      <c r="T30" s="863">
        <f>D56</f>
        <v>0</v>
      </c>
    </row>
    <row r="31" spans="2:20" x14ac:dyDescent="0.25">
      <c r="B31" s="861" t="s">
        <v>1277</v>
      </c>
      <c r="R31" s="322" t="s">
        <v>715</v>
      </c>
      <c r="S31" s="483" t="s">
        <v>692</v>
      </c>
      <c r="T31" s="863">
        <f>D57</f>
        <v>141176.4705882353</v>
      </c>
    </row>
    <row r="32" spans="2:20" x14ac:dyDescent="0.25">
      <c r="B32" s="861" t="s">
        <v>1278</v>
      </c>
      <c r="C32" s="861" t="s">
        <v>1258</v>
      </c>
      <c r="D32" s="861">
        <f>(504900+512700)/2</f>
        <v>508800</v>
      </c>
      <c r="F32" s="861" t="s">
        <v>1345</v>
      </c>
      <c r="R32" s="322" t="s">
        <v>715</v>
      </c>
      <c r="S32" s="483" t="s">
        <v>699</v>
      </c>
      <c r="T32" s="863">
        <f>D58</f>
        <v>0</v>
      </c>
    </row>
    <row r="33" spans="2:20" x14ac:dyDescent="0.25">
      <c r="C33" s="861" t="s">
        <v>1276</v>
      </c>
      <c r="D33" s="869">
        <f>D32/G18</f>
        <v>478870.5882352941</v>
      </c>
      <c r="E33" s="870"/>
      <c r="R33" s="322" t="s">
        <v>701</v>
      </c>
      <c r="S33" s="255" t="s">
        <v>680</v>
      </c>
      <c r="T33" s="863">
        <f t="shared" ref="T33:T45" si="3">D61</f>
        <v>440658.82352941175</v>
      </c>
    </row>
    <row r="34" spans="2:20" x14ac:dyDescent="0.25">
      <c r="R34" s="322" t="s">
        <v>701</v>
      </c>
      <c r="S34" s="255" t="s">
        <v>687</v>
      </c>
      <c r="T34" s="863">
        <f t="shared" si="3"/>
        <v>838990</v>
      </c>
    </row>
    <row r="35" spans="2:20" x14ac:dyDescent="0.25">
      <c r="B35" s="861" t="s">
        <v>689</v>
      </c>
      <c r="D35" s="871">
        <f>D33*$D$29/$D$25</f>
        <v>1197433.100056743</v>
      </c>
      <c r="E35" s="872" t="s">
        <v>288</v>
      </c>
      <c r="F35" s="861" t="s">
        <v>1346</v>
      </c>
      <c r="R35" s="322" t="s">
        <v>701</v>
      </c>
      <c r="S35" s="255" t="s">
        <v>688</v>
      </c>
      <c r="T35" s="863">
        <f t="shared" si="3"/>
        <v>496188.23529411765</v>
      </c>
    </row>
    <row r="36" spans="2:20" x14ac:dyDescent="0.25">
      <c r="R36" s="322" t="s">
        <v>701</v>
      </c>
      <c r="S36" s="255" t="s">
        <v>689</v>
      </c>
      <c r="T36" s="863">
        <f t="shared" si="3"/>
        <v>944714.92524562147</v>
      </c>
    </row>
    <row r="37" spans="2:20" x14ac:dyDescent="0.25">
      <c r="B37" s="861" t="s">
        <v>1279</v>
      </c>
      <c r="D37" s="873"/>
      <c r="E37" s="874"/>
      <c r="F37" s="874" t="s">
        <v>1347</v>
      </c>
      <c r="G37" s="861" t="s">
        <v>1348</v>
      </c>
      <c r="R37" s="322" t="s">
        <v>701</v>
      </c>
      <c r="S37" s="255" t="s">
        <v>691</v>
      </c>
      <c r="T37" s="863">
        <f t="shared" si="3"/>
        <v>0</v>
      </c>
    </row>
    <row r="38" spans="2:20" x14ac:dyDescent="0.25">
      <c r="B38" s="861" t="s">
        <v>695</v>
      </c>
      <c r="D38" s="873">
        <f>D37*$D$29/$D$25</f>
        <v>0</v>
      </c>
      <c r="E38" s="875" t="s">
        <v>288</v>
      </c>
      <c r="F38" s="874" t="s">
        <v>1346</v>
      </c>
      <c r="R38" s="322" t="s">
        <v>701</v>
      </c>
      <c r="S38" s="255" t="s">
        <v>695</v>
      </c>
      <c r="T38" s="863">
        <f t="shared" si="3"/>
        <v>0</v>
      </c>
    </row>
    <row r="39" spans="2:20" x14ac:dyDescent="0.25">
      <c r="D39" s="874"/>
      <c r="E39" s="874"/>
      <c r="F39" s="874"/>
      <c r="R39" s="322" t="s">
        <v>701</v>
      </c>
      <c r="S39" s="255" t="s">
        <v>839</v>
      </c>
      <c r="T39" s="863">
        <f t="shared" si="3"/>
        <v>0</v>
      </c>
    </row>
    <row r="40" spans="2:20" x14ac:dyDescent="0.25">
      <c r="B40" s="861" t="s">
        <v>839</v>
      </c>
      <c r="D40" s="873"/>
      <c r="E40" s="874"/>
      <c r="F40" s="874" t="s">
        <v>1349</v>
      </c>
      <c r="G40" s="861" t="s">
        <v>1350</v>
      </c>
      <c r="R40" s="322" t="s">
        <v>701</v>
      </c>
      <c r="S40" s="255" t="s">
        <v>838</v>
      </c>
      <c r="T40" s="863">
        <f t="shared" si="3"/>
        <v>0</v>
      </c>
    </row>
    <row r="41" spans="2:20" x14ac:dyDescent="0.25">
      <c r="B41" s="861" t="s">
        <v>838</v>
      </c>
      <c r="D41" s="873">
        <f>D40*$D$29/$D$25</f>
        <v>0</v>
      </c>
      <c r="E41" s="875" t="s">
        <v>288</v>
      </c>
      <c r="F41" s="874" t="s">
        <v>1346</v>
      </c>
      <c r="R41" s="322" t="s">
        <v>701</v>
      </c>
      <c r="S41" s="255" t="s">
        <v>692</v>
      </c>
      <c r="T41" s="863">
        <f t="shared" si="3"/>
        <v>903556.79999999993</v>
      </c>
    </row>
    <row r="42" spans="2:20" x14ac:dyDescent="0.25">
      <c r="D42" s="874"/>
      <c r="E42" s="874"/>
      <c r="F42" s="874"/>
      <c r="R42" s="322" t="s">
        <v>701</v>
      </c>
      <c r="S42" s="255" t="s">
        <v>699</v>
      </c>
      <c r="T42" s="863">
        <f t="shared" si="3"/>
        <v>2307246.0387520855</v>
      </c>
    </row>
    <row r="43" spans="2:20" x14ac:dyDescent="0.25">
      <c r="B43" s="861" t="s">
        <v>1280</v>
      </c>
      <c r="D43" s="861" t="s">
        <v>1281</v>
      </c>
      <c r="R43" s="322" t="s">
        <v>701</v>
      </c>
      <c r="S43" s="255" t="s">
        <v>837</v>
      </c>
      <c r="T43" s="863">
        <f t="shared" si="3"/>
        <v>0</v>
      </c>
    </row>
    <row r="44" spans="2:20" x14ac:dyDescent="0.25">
      <c r="D44" s="902">
        <f>742102/G18*$I$46</f>
        <v>593681.6</v>
      </c>
      <c r="E44" s="876" t="s">
        <v>1308</v>
      </c>
      <c r="F44" s="861" t="s">
        <v>1351</v>
      </c>
      <c r="H44" s="1022" t="s">
        <v>1380</v>
      </c>
      <c r="I44" s="1022"/>
      <c r="R44" s="322" t="s">
        <v>701</v>
      </c>
      <c r="S44" s="255" t="s">
        <v>836</v>
      </c>
      <c r="T44" s="863">
        <f t="shared" si="3"/>
        <v>0</v>
      </c>
    </row>
    <row r="45" spans="2:20" x14ac:dyDescent="0.25">
      <c r="H45" s="899" t="s">
        <v>1381</v>
      </c>
      <c r="I45" s="900">
        <v>0.15</v>
      </c>
      <c r="R45" s="322" t="s">
        <v>701</v>
      </c>
      <c r="S45" s="255" t="s">
        <v>700</v>
      </c>
      <c r="T45" s="863">
        <f t="shared" si="3"/>
        <v>922889.00000000012</v>
      </c>
    </row>
    <row r="46" spans="2:20" x14ac:dyDescent="0.25">
      <c r="B46" s="861" t="s">
        <v>699</v>
      </c>
      <c r="D46" s="904">
        <f>145000*12.3*$I$46</f>
        <v>1515975</v>
      </c>
      <c r="F46" s="861" t="s">
        <v>1352</v>
      </c>
      <c r="H46" s="899" t="s">
        <v>1382</v>
      </c>
      <c r="I46" s="901">
        <f>1-I45</f>
        <v>0.85</v>
      </c>
      <c r="R46" s="322" t="s">
        <v>725</v>
      </c>
      <c r="S46" s="255" t="s">
        <v>687</v>
      </c>
      <c r="T46" s="863">
        <f t="shared" ref="T46:T54" si="4">D77</f>
        <v>524668.23529411759</v>
      </c>
    </row>
    <row r="47" spans="2:20" x14ac:dyDescent="0.25">
      <c r="B47" s="861" t="s">
        <v>837</v>
      </c>
      <c r="D47" s="877"/>
      <c r="E47" s="878"/>
      <c r="F47" s="861" t="s">
        <v>1353</v>
      </c>
      <c r="H47" s="1023" t="s">
        <v>1383</v>
      </c>
      <c r="I47" s="1023"/>
      <c r="R47" s="322" t="s">
        <v>725</v>
      </c>
      <c r="S47" s="461" t="s">
        <v>680</v>
      </c>
      <c r="T47" s="863">
        <f t="shared" si="4"/>
        <v>413379.15922975913</v>
      </c>
    </row>
    <row r="48" spans="2:20" x14ac:dyDescent="0.25">
      <c r="B48" s="861" t="s">
        <v>836</v>
      </c>
      <c r="D48" s="877"/>
      <c r="E48" s="878"/>
      <c r="H48" s="1023"/>
      <c r="I48" s="1023"/>
      <c r="R48" s="322" t="s">
        <v>725</v>
      </c>
      <c r="S48" s="255" t="s">
        <v>829</v>
      </c>
      <c r="T48" s="863">
        <f t="shared" si="4"/>
        <v>0</v>
      </c>
    </row>
    <row r="49" spans="2:20" x14ac:dyDescent="0.25">
      <c r="R49" s="322" t="s">
        <v>725</v>
      </c>
      <c r="S49" s="255" t="s">
        <v>828</v>
      </c>
      <c r="T49" s="863">
        <f t="shared" si="4"/>
        <v>0</v>
      </c>
    </row>
    <row r="50" spans="2:20" x14ac:dyDescent="0.25">
      <c r="B50" s="861" t="s">
        <v>524</v>
      </c>
      <c r="D50" s="877">
        <f>D29*1.1</f>
        <v>724602.3529411765</v>
      </c>
      <c r="E50" s="878"/>
      <c r="F50" s="861" t="s">
        <v>1353</v>
      </c>
      <c r="R50" s="322" t="s">
        <v>725</v>
      </c>
      <c r="S50" s="255" t="s">
        <v>689</v>
      </c>
      <c r="T50" s="863">
        <f t="shared" si="4"/>
        <v>0</v>
      </c>
    </row>
    <row r="51" spans="2:20" x14ac:dyDescent="0.25">
      <c r="R51" s="322" t="s">
        <v>725</v>
      </c>
      <c r="S51" s="255" t="s">
        <v>692</v>
      </c>
      <c r="T51" s="863">
        <f t="shared" si="4"/>
        <v>692174.4</v>
      </c>
    </row>
    <row r="52" spans="2:20" x14ac:dyDescent="0.25">
      <c r="R52" s="322" t="s">
        <v>725</v>
      </c>
      <c r="S52" s="255" t="s">
        <v>699</v>
      </c>
      <c r="T52" s="863">
        <f t="shared" si="4"/>
        <v>1189638.0676295361</v>
      </c>
    </row>
    <row r="53" spans="2:20" x14ac:dyDescent="0.25">
      <c r="R53" s="322" t="s">
        <v>725</v>
      </c>
      <c r="S53" s="255" t="s">
        <v>827</v>
      </c>
      <c r="T53" s="863">
        <f t="shared" si="4"/>
        <v>0</v>
      </c>
    </row>
    <row r="54" spans="2:20" x14ac:dyDescent="0.25">
      <c r="B54" s="861" t="s">
        <v>1282</v>
      </c>
      <c r="R54" s="322" t="s">
        <v>725</v>
      </c>
      <c r="S54" s="255" t="s">
        <v>700</v>
      </c>
      <c r="T54" s="863">
        <f t="shared" si="4"/>
        <v>648193.49071566667</v>
      </c>
    </row>
    <row r="55" spans="2:20" x14ac:dyDescent="0.25">
      <c r="B55" s="861" t="s">
        <v>715</v>
      </c>
      <c r="C55" s="861" t="s">
        <v>680</v>
      </c>
      <c r="D55" s="869">
        <f>150000/G18</f>
        <v>141176.4705882353</v>
      </c>
      <c r="E55" s="879"/>
      <c r="F55" s="861" t="s">
        <v>1354</v>
      </c>
      <c r="H55" s="861" t="s">
        <v>1355</v>
      </c>
      <c r="R55" s="322" t="s">
        <v>735</v>
      </c>
      <c r="S55" s="255" t="s">
        <v>687</v>
      </c>
      <c r="T55" s="863">
        <f t="shared" ref="T55:T62" si="5">D88</f>
        <v>861659.92260461533</v>
      </c>
    </row>
    <row r="56" spans="2:20" x14ac:dyDescent="0.25">
      <c r="B56" s="874" t="s">
        <v>715</v>
      </c>
      <c r="C56" s="874" t="s">
        <v>688</v>
      </c>
      <c r="D56" s="873"/>
      <c r="E56" s="874"/>
      <c r="F56" s="874"/>
      <c r="R56" s="322" t="s">
        <v>735</v>
      </c>
      <c r="S56" s="255" t="s">
        <v>829</v>
      </c>
      <c r="T56" s="863">
        <f t="shared" si="5"/>
        <v>0</v>
      </c>
    </row>
    <row r="57" spans="2:20" x14ac:dyDescent="0.25">
      <c r="B57" s="861" t="s">
        <v>715</v>
      </c>
      <c r="C57" s="861" t="s">
        <v>692</v>
      </c>
      <c r="D57" s="871">
        <f>D55</f>
        <v>141176.4705882353</v>
      </c>
      <c r="E57" s="879"/>
      <c r="F57" s="879" t="s">
        <v>1356</v>
      </c>
      <c r="R57" s="322" t="s">
        <v>735</v>
      </c>
      <c r="S57" s="255" t="s">
        <v>828</v>
      </c>
      <c r="T57" s="863">
        <f t="shared" si="5"/>
        <v>0</v>
      </c>
    </row>
    <row r="58" spans="2:20" x14ac:dyDescent="0.25">
      <c r="B58" s="874" t="s">
        <v>715</v>
      </c>
      <c r="C58" s="874" t="s">
        <v>699</v>
      </c>
      <c r="D58" s="873"/>
      <c r="E58" s="874"/>
      <c r="F58" s="874"/>
      <c r="R58" s="322" t="s">
        <v>735</v>
      </c>
      <c r="S58" s="255" t="s">
        <v>689</v>
      </c>
      <c r="T58" s="863">
        <f t="shared" si="5"/>
        <v>0</v>
      </c>
    </row>
    <row r="59" spans="2:20" x14ac:dyDescent="0.25">
      <c r="R59" s="322" t="s">
        <v>735</v>
      </c>
      <c r="S59" s="255" t="s">
        <v>692</v>
      </c>
      <c r="T59" s="863">
        <f t="shared" si="5"/>
        <v>1136754.4284409683</v>
      </c>
    </row>
    <row r="60" spans="2:20" x14ac:dyDescent="0.25">
      <c r="B60" s="861" t="s">
        <v>1283</v>
      </c>
      <c r="G60" s="876" t="s">
        <v>1310</v>
      </c>
      <c r="R60" s="322" t="s">
        <v>735</v>
      </c>
      <c r="S60" s="255" t="s">
        <v>699</v>
      </c>
      <c r="T60" s="863">
        <f t="shared" si="5"/>
        <v>1887434.9410157723</v>
      </c>
    </row>
    <row r="61" spans="2:20" x14ac:dyDescent="0.25">
      <c r="C61" s="861" t="s">
        <v>680</v>
      </c>
      <c r="D61" s="869">
        <f>468200/G18</f>
        <v>440658.82352941175</v>
      </c>
      <c r="F61" s="861" t="s">
        <v>1357</v>
      </c>
      <c r="H61" s="861" t="s">
        <v>1358</v>
      </c>
      <c r="R61" s="322" t="s">
        <v>735</v>
      </c>
      <c r="S61" s="255" t="s">
        <v>827</v>
      </c>
      <c r="T61" s="863">
        <f t="shared" si="5"/>
        <v>0</v>
      </c>
    </row>
    <row r="62" spans="2:20" x14ac:dyDescent="0.25">
      <c r="C62" s="861" t="s">
        <v>687</v>
      </c>
      <c r="D62" s="869">
        <v>838990</v>
      </c>
      <c r="F62" s="861" t="s">
        <v>1359</v>
      </c>
      <c r="H62" s="861" t="s">
        <v>1360</v>
      </c>
      <c r="R62" s="322" t="s">
        <v>735</v>
      </c>
      <c r="S62" s="255" t="s">
        <v>700</v>
      </c>
      <c r="T62" s="863">
        <f t="shared" si="5"/>
        <v>995097.14073852904</v>
      </c>
    </row>
    <row r="63" spans="2:20" x14ac:dyDescent="0.25">
      <c r="C63" s="861" t="s">
        <v>688</v>
      </c>
      <c r="D63" s="880">
        <f>527200/G18</f>
        <v>496188.23529411765</v>
      </c>
      <c r="E63" s="876"/>
      <c r="F63" s="861" t="s">
        <v>1361</v>
      </c>
      <c r="R63" s="322" t="s">
        <v>747</v>
      </c>
      <c r="S63" s="410" t="s">
        <v>687</v>
      </c>
      <c r="T63" s="863">
        <f t="shared" ref="T63:T70" si="6">D100</f>
        <v>1133048.1053792366</v>
      </c>
    </row>
    <row r="64" spans="2:20" x14ac:dyDescent="0.25">
      <c r="C64" s="861" t="s">
        <v>689</v>
      </c>
      <c r="D64" s="871">
        <f>D63*D62/D61</f>
        <v>944714.92524562147</v>
      </c>
      <c r="E64" s="872" t="s">
        <v>288</v>
      </c>
      <c r="F64" s="861" t="s">
        <v>1346</v>
      </c>
      <c r="R64" s="322" t="s">
        <v>747</v>
      </c>
      <c r="S64" s="410" t="s">
        <v>829</v>
      </c>
      <c r="T64" s="863">
        <f t="shared" si="6"/>
        <v>0</v>
      </c>
    </row>
    <row r="65" spans="1:20" x14ac:dyDescent="0.25">
      <c r="C65" s="861" t="s">
        <v>691</v>
      </c>
      <c r="D65" s="871">
        <f>D61*D37/D25</f>
        <v>0</v>
      </c>
      <c r="E65" s="872" t="s">
        <v>1328</v>
      </c>
      <c r="F65" s="861" t="s">
        <v>1362</v>
      </c>
      <c r="R65" s="322" t="s">
        <v>747</v>
      </c>
      <c r="S65" s="410" t="s">
        <v>828</v>
      </c>
      <c r="T65" s="863">
        <f t="shared" si="6"/>
        <v>0</v>
      </c>
    </row>
    <row r="66" spans="1:20" x14ac:dyDescent="0.25">
      <c r="C66" s="861" t="s">
        <v>695</v>
      </c>
      <c r="D66" s="871">
        <f>D65*D62/D61</f>
        <v>0</v>
      </c>
      <c r="E66" s="872" t="s">
        <v>288</v>
      </c>
      <c r="F66" s="861" t="s">
        <v>1346</v>
      </c>
      <c r="R66" s="322" t="s">
        <v>747</v>
      </c>
      <c r="S66" s="410" t="s">
        <v>689</v>
      </c>
      <c r="T66" s="863">
        <f t="shared" si="6"/>
        <v>0</v>
      </c>
    </row>
    <row r="67" spans="1:20" x14ac:dyDescent="0.25">
      <c r="C67" s="861" t="s">
        <v>839</v>
      </c>
      <c r="D67" s="871"/>
      <c r="E67" s="879" t="s">
        <v>1284</v>
      </c>
      <c r="F67" s="879"/>
      <c r="R67" s="322" t="s">
        <v>747</v>
      </c>
      <c r="S67" s="410" t="s">
        <v>692</v>
      </c>
      <c r="T67" s="863">
        <f t="shared" si="6"/>
        <v>1494786.3044774705</v>
      </c>
    </row>
    <row r="68" spans="1:20" x14ac:dyDescent="0.25">
      <c r="C68" s="861" t="s">
        <v>838</v>
      </c>
      <c r="D68" s="871"/>
      <c r="E68" s="879" t="s">
        <v>1284</v>
      </c>
      <c r="F68" s="879"/>
      <c r="R68" s="322" t="s">
        <v>747</v>
      </c>
      <c r="S68" s="410" t="s">
        <v>699</v>
      </c>
      <c r="T68" s="863">
        <f t="shared" si="6"/>
        <v>2565517.2470272132</v>
      </c>
    </row>
    <row r="69" spans="1:20" x14ac:dyDescent="0.25">
      <c r="C69" s="861" t="s">
        <v>692</v>
      </c>
      <c r="D69" s="902">
        <f>1129446/G18*$I$46</f>
        <v>903556.79999999993</v>
      </c>
      <c r="E69" s="876"/>
      <c r="F69" s="876" t="s">
        <v>1309</v>
      </c>
      <c r="R69" s="322" t="s">
        <v>747</v>
      </c>
      <c r="S69" s="410" t="s">
        <v>827</v>
      </c>
      <c r="T69" s="863">
        <f t="shared" si="6"/>
        <v>0</v>
      </c>
    </row>
    <row r="70" spans="1:20" x14ac:dyDescent="0.25">
      <c r="C70" s="861" t="s">
        <v>699</v>
      </c>
      <c r="D70" s="904">
        <f>D46/D44*D69</f>
        <v>2307246.0387520855</v>
      </c>
      <c r="E70" s="879"/>
      <c r="F70" s="879" t="s">
        <v>1363</v>
      </c>
      <c r="K70" s="903"/>
      <c r="R70" s="322" t="s">
        <v>747</v>
      </c>
      <c r="S70" s="410" t="s">
        <v>700</v>
      </c>
      <c r="T70" s="863">
        <f t="shared" si="6"/>
        <v>1314023.0851808547</v>
      </c>
    </row>
    <row r="71" spans="1:20" x14ac:dyDescent="0.25">
      <c r="C71" s="861" t="s">
        <v>837</v>
      </c>
      <c r="D71" s="871"/>
      <c r="E71" s="879"/>
      <c r="F71" s="879"/>
      <c r="R71" s="322" t="s">
        <v>733</v>
      </c>
      <c r="S71" s="372" t="s">
        <v>687</v>
      </c>
      <c r="T71" s="863">
        <f t="shared" ref="T71:T78" si="7">D112</f>
        <v>906349.91499240114</v>
      </c>
    </row>
    <row r="72" spans="1:20" x14ac:dyDescent="0.25">
      <c r="C72" s="861" t="s">
        <v>836</v>
      </c>
      <c r="D72" s="871">
        <f>D71</f>
        <v>0</v>
      </c>
      <c r="E72" s="879"/>
      <c r="F72" s="879"/>
      <c r="R72" s="322" t="s">
        <v>733</v>
      </c>
      <c r="S72" s="372" t="s">
        <v>829</v>
      </c>
      <c r="T72" s="863">
        <f t="shared" si="7"/>
        <v>0</v>
      </c>
    </row>
    <row r="73" spans="1:20" x14ac:dyDescent="0.25">
      <c r="B73" s="874"/>
      <c r="C73" s="874" t="s">
        <v>524</v>
      </c>
      <c r="D73" s="873">
        <f>1.1*D62</f>
        <v>922889.00000000012</v>
      </c>
      <c r="E73" s="874"/>
      <c r="F73" s="874"/>
      <c r="R73" s="322" t="s">
        <v>733</v>
      </c>
      <c r="S73" s="372" t="s">
        <v>828</v>
      </c>
      <c r="T73" s="863">
        <f t="shared" si="7"/>
        <v>0</v>
      </c>
    </row>
    <row r="74" spans="1:20" x14ac:dyDescent="0.25">
      <c r="R74" s="322" t="s">
        <v>733</v>
      </c>
      <c r="S74" s="372" t="s">
        <v>689</v>
      </c>
      <c r="T74" s="863">
        <f t="shared" si="7"/>
        <v>0</v>
      </c>
    </row>
    <row r="75" spans="1:20" x14ac:dyDescent="0.25">
      <c r="G75" s="861" t="s">
        <v>1288</v>
      </c>
      <c r="R75" s="322" t="s">
        <v>733</v>
      </c>
      <c r="S75" s="372" t="s">
        <v>692</v>
      </c>
      <c r="T75" s="863">
        <f t="shared" si="7"/>
        <v>1195712.1975341928</v>
      </c>
    </row>
    <row r="76" spans="1:20" x14ac:dyDescent="0.25">
      <c r="B76" s="861" t="s">
        <v>1285</v>
      </c>
      <c r="G76" s="861" t="s">
        <v>1287</v>
      </c>
      <c r="R76" s="322" t="s">
        <v>733</v>
      </c>
      <c r="S76" s="372" t="s">
        <v>699</v>
      </c>
      <c r="T76" s="863">
        <f t="shared" si="7"/>
        <v>1854400.0079945058</v>
      </c>
    </row>
    <row r="77" spans="1:20" x14ac:dyDescent="0.25">
      <c r="B77" s="861" t="s">
        <v>725</v>
      </c>
      <c r="C77" s="861" t="s">
        <v>687</v>
      </c>
      <c r="D77" s="869">
        <f>557460/G18</f>
        <v>524668.23529411759</v>
      </c>
      <c r="G77" s="861">
        <v>800945.7513197927</v>
      </c>
      <c r="H77" s="861" t="s">
        <v>1364</v>
      </c>
      <c r="R77" s="322" t="s">
        <v>733</v>
      </c>
      <c r="S77" s="372" t="s">
        <v>827</v>
      </c>
      <c r="T77" s="863">
        <f t="shared" si="7"/>
        <v>0</v>
      </c>
    </row>
    <row r="78" spans="1:20" x14ac:dyDescent="0.25">
      <c r="B78" s="861" t="s">
        <v>725</v>
      </c>
      <c r="C78" s="861" t="s">
        <v>680</v>
      </c>
      <c r="D78" s="904">
        <f>G78/G$77*D$77</f>
        <v>413379.15922975913</v>
      </c>
      <c r="E78" s="861" t="s">
        <v>1286</v>
      </c>
      <c r="F78" s="879"/>
      <c r="G78" s="879">
        <v>631054.55790289911</v>
      </c>
      <c r="H78" s="879"/>
      <c r="R78" s="322" t="s">
        <v>733</v>
      </c>
      <c r="S78" s="372" t="s">
        <v>700</v>
      </c>
      <c r="T78" s="863">
        <f t="shared" si="7"/>
        <v>1090585.1281432109</v>
      </c>
    </row>
    <row r="79" spans="1:20" x14ac:dyDescent="0.25">
      <c r="A79" s="881"/>
      <c r="B79" s="881" t="s">
        <v>725</v>
      </c>
      <c r="C79" s="881" t="s">
        <v>829</v>
      </c>
      <c r="D79" s="882"/>
      <c r="E79" s="881"/>
      <c r="F79" s="881"/>
      <c r="G79" s="881">
        <v>905485.27878454118</v>
      </c>
      <c r="H79" s="881"/>
      <c r="R79" s="322" t="s">
        <v>60</v>
      </c>
      <c r="S79" s="337" t="s">
        <v>687</v>
      </c>
      <c r="T79" s="863">
        <f t="shared" ref="T79:T86" si="8">D124</f>
        <v>1681623.7261979403</v>
      </c>
    </row>
    <row r="80" spans="1:20" x14ac:dyDescent="0.25">
      <c r="A80" s="881"/>
      <c r="B80" s="881" t="s">
        <v>725</v>
      </c>
      <c r="C80" s="881" t="s">
        <v>828</v>
      </c>
      <c r="D80" s="882"/>
      <c r="E80" s="881"/>
      <c r="F80" s="881"/>
      <c r="G80" s="881">
        <v>867855.65580572386</v>
      </c>
      <c r="H80" s="881"/>
      <c r="R80" s="322" t="s">
        <v>60</v>
      </c>
      <c r="S80" s="337" t="s">
        <v>829</v>
      </c>
      <c r="T80" s="863">
        <f t="shared" si="8"/>
        <v>0</v>
      </c>
    </row>
    <row r="81" spans="1:20" x14ac:dyDescent="0.25">
      <c r="A81" s="881"/>
      <c r="B81" s="881" t="s">
        <v>725</v>
      </c>
      <c r="C81" s="881" t="s">
        <v>689</v>
      </c>
      <c r="D81" s="882"/>
      <c r="E81" s="881"/>
      <c r="F81" s="881"/>
      <c r="G81" s="881">
        <v>885377.7159720764</v>
      </c>
      <c r="H81" s="881"/>
      <c r="R81" s="322" t="s">
        <v>60</v>
      </c>
      <c r="S81" s="337" t="s">
        <v>828</v>
      </c>
      <c r="T81" s="863">
        <f t="shared" si="8"/>
        <v>0</v>
      </c>
    </row>
    <row r="82" spans="1:20" x14ac:dyDescent="0.25">
      <c r="B82" s="861" t="s">
        <v>725</v>
      </c>
      <c r="C82" s="861" t="s">
        <v>692</v>
      </c>
      <c r="D82" s="902">
        <f>865218/G18*$I$46</f>
        <v>692174.4</v>
      </c>
      <c r="F82" s="879"/>
      <c r="G82" s="861">
        <v>1464212.0349055484</v>
      </c>
      <c r="H82" s="861" t="s">
        <v>1365</v>
      </c>
      <c r="R82" s="322" t="s">
        <v>60</v>
      </c>
      <c r="S82" s="337" t="s">
        <v>689</v>
      </c>
      <c r="T82" s="863">
        <f t="shared" si="8"/>
        <v>0</v>
      </c>
    </row>
    <row r="83" spans="1:20" x14ac:dyDescent="0.25">
      <c r="B83" s="861" t="s">
        <v>725</v>
      </c>
      <c r="C83" s="861" t="s">
        <v>699</v>
      </c>
      <c r="D83" s="904">
        <f t="shared" ref="D83:D85" si="9">G83/G$77*D$77</f>
        <v>1189638.0676295361</v>
      </c>
      <c r="E83" s="861" t="s">
        <v>1286</v>
      </c>
      <c r="F83" s="879"/>
      <c r="G83" s="861">
        <v>1816072.504069217</v>
      </c>
      <c r="R83" s="322" t="s">
        <v>60</v>
      </c>
      <c r="S83" s="337" t="s">
        <v>692</v>
      </c>
      <c r="T83" s="863">
        <f t="shared" si="8"/>
        <v>1718711.9348504476</v>
      </c>
    </row>
    <row r="84" spans="1:20" x14ac:dyDescent="0.25">
      <c r="B84" s="861" t="s">
        <v>725</v>
      </c>
      <c r="C84" s="861" t="s">
        <v>827</v>
      </c>
      <c r="D84" s="871"/>
      <c r="G84" s="861">
        <v>1031864.0418883342</v>
      </c>
      <c r="R84" s="322" t="s">
        <v>60</v>
      </c>
      <c r="S84" s="337" t="s">
        <v>699</v>
      </c>
      <c r="T84" s="863">
        <f t="shared" si="8"/>
        <v>2416886.24070324</v>
      </c>
    </row>
    <row r="85" spans="1:20" x14ac:dyDescent="0.25">
      <c r="B85" s="861" t="s">
        <v>725</v>
      </c>
      <c r="C85" s="861" t="s">
        <v>700</v>
      </c>
      <c r="D85" s="871">
        <f t="shared" si="9"/>
        <v>648193.49071566667</v>
      </c>
      <c r="E85" s="861" t="s">
        <v>1286</v>
      </c>
      <c r="G85" s="861">
        <v>989516.39816888212</v>
      </c>
      <c r="R85" s="322" t="s">
        <v>60</v>
      </c>
      <c r="S85" s="337" t="s">
        <v>827</v>
      </c>
      <c r="T85" s="863">
        <f t="shared" si="8"/>
        <v>0</v>
      </c>
    </row>
    <row r="86" spans="1:20" x14ac:dyDescent="0.25">
      <c r="R86" s="322" t="s">
        <v>60</v>
      </c>
      <c r="S86" s="337" t="s">
        <v>700</v>
      </c>
      <c r="T86" s="863">
        <f t="shared" si="8"/>
        <v>1783011.9060877543</v>
      </c>
    </row>
    <row r="87" spans="1:20" x14ac:dyDescent="0.25">
      <c r="B87" s="861" t="s">
        <v>1289</v>
      </c>
    </row>
    <row r="88" spans="1:20" x14ac:dyDescent="0.25">
      <c r="B88" s="861" t="s">
        <v>735</v>
      </c>
      <c r="C88" s="861" t="s">
        <v>687</v>
      </c>
      <c r="D88" s="871">
        <f t="shared" ref="D88" si="10">G88/G$77*D$77</f>
        <v>861659.92260461533</v>
      </c>
      <c r="E88" s="861" t="s">
        <v>1290</v>
      </c>
      <c r="G88" s="861">
        <v>1315389.054772544</v>
      </c>
    </row>
    <row r="89" spans="1:20" x14ac:dyDescent="0.25">
      <c r="A89" s="874"/>
      <c r="B89" s="874" t="s">
        <v>735</v>
      </c>
      <c r="C89" s="874" t="s">
        <v>829</v>
      </c>
      <c r="D89" s="873"/>
      <c r="E89" s="874" t="s">
        <v>1286</v>
      </c>
      <c r="F89" s="874"/>
      <c r="G89" s="874">
        <v>1438328.6388271647</v>
      </c>
      <c r="H89" s="874"/>
    </row>
    <row r="90" spans="1:20" x14ac:dyDescent="0.25">
      <c r="A90" s="874"/>
      <c r="B90" s="874" t="s">
        <v>735</v>
      </c>
      <c r="C90" s="874" t="s">
        <v>828</v>
      </c>
      <c r="D90" s="873"/>
      <c r="E90" s="874" t="s">
        <v>1286</v>
      </c>
      <c r="F90" s="874"/>
      <c r="G90" s="874">
        <v>1372038.5110622062</v>
      </c>
      <c r="H90" s="874"/>
      <c r="R90"/>
      <c r="S90"/>
      <c r="T90"/>
    </row>
    <row r="91" spans="1:20" x14ac:dyDescent="0.25">
      <c r="A91" s="874"/>
      <c r="B91" s="874" t="s">
        <v>735</v>
      </c>
      <c r="C91" s="874" t="s">
        <v>689</v>
      </c>
      <c r="D91" s="873"/>
      <c r="E91" s="874" t="s">
        <v>1286</v>
      </c>
      <c r="F91" s="874"/>
      <c r="G91" s="874">
        <v>1464573.7294294063</v>
      </c>
      <c r="H91" s="874"/>
      <c r="R91"/>
      <c r="S91"/>
      <c r="T91"/>
    </row>
    <row r="92" spans="1:20" x14ac:dyDescent="0.25">
      <c r="B92" s="883" t="s">
        <v>735</v>
      </c>
      <c r="C92" s="883" t="s">
        <v>692</v>
      </c>
      <c r="D92" s="871">
        <f>D88*D82/D77</f>
        <v>1136754.4284409683</v>
      </c>
      <c r="F92" s="883"/>
      <c r="G92" s="884"/>
      <c r="R92"/>
      <c r="S92"/>
      <c r="T92"/>
    </row>
    <row r="93" spans="1:20" x14ac:dyDescent="0.25">
      <c r="B93" s="861" t="s">
        <v>735</v>
      </c>
      <c r="C93" s="861" t="s">
        <v>699</v>
      </c>
      <c r="D93" s="871">
        <f t="shared" ref="D93:D95" si="11">G93/G$77*D$77</f>
        <v>1887434.9410157723</v>
      </c>
      <c r="E93" s="861" t="s">
        <v>1286</v>
      </c>
      <c r="G93" s="861">
        <v>2881312.2182852593</v>
      </c>
      <c r="R93"/>
      <c r="S93"/>
      <c r="T93"/>
    </row>
    <row r="94" spans="1:20" x14ac:dyDescent="0.25">
      <c r="B94" s="861" t="s">
        <v>735</v>
      </c>
      <c r="C94" s="861" t="s">
        <v>827</v>
      </c>
      <c r="D94" s="871"/>
      <c r="E94" s="861" t="s">
        <v>1286</v>
      </c>
      <c r="G94" s="861">
        <v>1591595.5728002738</v>
      </c>
    </row>
    <row r="95" spans="1:20" x14ac:dyDescent="0.25">
      <c r="B95" s="861" t="s">
        <v>735</v>
      </c>
      <c r="C95" s="861" t="s">
        <v>700</v>
      </c>
      <c r="D95" s="871">
        <f t="shared" si="11"/>
        <v>995097.14073852904</v>
      </c>
      <c r="E95" s="861" t="s">
        <v>1286</v>
      </c>
      <c r="G95" s="861">
        <v>1519091.0625229813</v>
      </c>
    </row>
    <row r="96" spans="1:20" x14ac:dyDescent="0.25">
      <c r="D96" s="871"/>
    </row>
    <row r="97" spans="2:20" x14ac:dyDescent="0.25">
      <c r="B97" s="861" t="s">
        <v>1291</v>
      </c>
    </row>
    <row r="98" spans="2:20" x14ac:dyDescent="0.25">
      <c r="G98" s="861">
        <v>2020</v>
      </c>
    </row>
    <row r="99" spans="2:20" x14ac:dyDescent="0.25">
      <c r="G99" s="861" t="s">
        <v>1287</v>
      </c>
    </row>
    <row r="100" spans="2:20" x14ac:dyDescent="0.25">
      <c r="B100" s="861" t="s">
        <v>747</v>
      </c>
      <c r="C100" s="861" t="s">
        <v>687</v>
      </c>
      <c r="D100" s="871">
        <f>G100/G88*D88</f>
        <v>1133048.1053792366</v>
      </c>
      <c r="E100" s="879"/>
      <c r="G100" s="861">
        <v>1729683.6457722846</v>
      </c>
    </row>
    <row r="101" spans="2:20" x14ac:dyDescent="0.25">
      <c r="B101" s="861" t="s">
        <v>747</v>
      </c>
      <c r="C101" s="861" t="s">
        <v>829</v>
      </c>
      <c r="D101" s="871">
        <f t="shared" ref="D101:D106" si="12">G101/G89*D89</f>
        <v>0</v>
      </c>
      <c r="E101" s="879"/>
      <c r="G101" s="861">
        <v>1881307.4022600672</v>
      </c>
    </row>
    <row r="102" spans="2:20" x14ac:dyDescent="0.25">
      <c r="B102" s="861" t="s">
        <v>747</v>
      </c>
      <c r="C102" s="861" t="s">
        <v>828</v>
      </c>
      <c r="D102" s="871">
        <f t="shared" si="12"/>
        <v>0</v>
      </c>
      <c r="E102" s="879"/>
      <c r="G102" s="861">
        <v>1830898.431238617</v>
      </c>
      <c r="T102" s="863"/>
    </row>
    <row r="103" spans="2:20" x14ac:dyDescent="0.25">
      <c r="B103" s="861" t="s">
        <v>747</v>
      </c>
      <c r="C103" s="861" t="s">
        <v>689</v>
      </c>
      <c r="D103" s="871">
        <f t="shared" si="12"/>
        <v>0</v>
      </c>
      <c r="E103" s="879"/>
      <c r="G103" s="861">
        <v>1896564.6673059126</v>
      </c>
    </row>
    <row r="104" spans="2:20" x14ac:dyDescent="0.25">
      <c r="B104" s="861" t="s">
        <v>747</v>
      </c>
      <c r="C104" s="861" t="s">
        <v>692</v>
      </c>
      <c r="D104" s="871">
        <f>D100*D92/D88</f>
        <v>1494786.3044774705</v>
      </c>
      <c r="E104" s="879"/>
    </row>
    <row r="105" spans="2:20" x14ac:dyDescent="0.25">
      <c r="B105" s="861" t="s">
        <v>747</v>
      </c>
      <c r="C105" s="861" t="s">
        <v>699</v>
      </c>
      <c r="D105" s="871">
        <f>G105/G93*D93</f>
        <v>2565517.2470272132</v>
      </c>
      <c r="E105" s="879"/>
      <c r="G105" s="861">
        <v>3916456.1540345564</v>
      </c>
    </row>
    <row r="106" spans="2:20" x14ac:dyDescent="0.25">
      <c r="B106" s="861" t="s">
        <v>747</v>
      </c>
      <c r="C106" s="861" t="s">
        <v>827</v>
      </c>
      <c r="D106" s="871">
        <f t="shared" si="12"/>
        <v>0</v>
      </c>
      <c r="E106" s="879"/>
      <c r="G106" s="861">
        <v>2108333.6144666532</v>
      </c>
    </row>
    <row r="107" spans="2:20" x14ac:dyDescent="0.25">
      <c r="B107" s="861" t="s">
        <v>747</v>
      </c>
      <c r="C107" s="861" t="s">
        <v>700</v>
      </c>
      <c r="D107" s="871">
        <f>G107/G95*D95</f>
        <v>1314023.0851808547</v>
      </c>
      <c r="E107" s="879"/>
      <c r="G107" s="861">
        <v>2005955.6428487513</v>
      </c>
    </row>
    <row r="108" spans="2:20" x14ac:dyDescent="0.25">
      <c r="D108" s="879"/>
      <c r="E108" s="879"/>
    </row>
    <row r="109" spans="2:20" x14ac:dyDescent="0.25">
      <c r="D109" s="879"/>
      <c r="E109" s="879"/>
    </row>
    <row r="110" spans="2:20" x14ac:dyDescent="0.25">
      <c r="B110" s="861" t="s">
        <v>733</v>
      </c>
      <c r="C110" s="861" t="s">
        <v>733</v>
      </c>
      <c r="D110" s="879"/>
      <c r="E110" s="879"/>
      <c r="G110" s="861">
        <v>2020</v>
      </c>
    </row>
    <row r="111" spans="2:20" x14ac:dyDescent="0.25">
      <c r="B111" s="861" t="s">
        <v>733</v>
      </c>
      <c r="C111" s="861" t="s">
        <v>791</v>
      </c>
      <c r="D111" s="879"/>
      <c r="E111" s="879"/>
      <c r="G111" s="861" t="s">
        <v>1287</v>
      </c>
    </row>
    <row r="112" spans="2:20" x14ac:dyDescent="0.25">
      <c r="B112" s="861" t="s">
        <v>733</v>
      </c>
      <c r="C112" s="861" t="s">
        <v>687</v>
      </c>
      <c r="D112" s="871">
        <f>G112/G100*D100</f>
        <v>906349.91499240114</v>
      </c>
      <c r="E112" s="879"/>
      <c r="G112" s="861">
        <v>1383611.7088645061</v>
      </c>
    </row>
    <row r="113" spans="2:7" x14ac:dyDescent="0.25">
      <c r="B113" s="861" t="s">
        <v>733</v>
      </c>
      <c r="C113" s="861" t="s">
        <v>829</v>
      </c>
      <c r="D113" s="871">
        <f t="shared" ref="D113:D118" si="13">G113/G101*D101</f>
        <v>0</v>
      </c>
      <c r="E113" s="879"/>
      <c r="G113" s="861">
        <v>1554634.2240061136</v>
      </c>
    </row>
    <row r="114" spans="2:7" x14ac:dyDescent="0.25">
      <c r="B114" s="861" t="s">
        <v>733</v>
      </c>
      <c r="C114" s="861" t="s">
        <v>828</v>
      </c>
      <c r="D114" s="871">
        <f t="shared" si="13"/>
        <v>0</v>
      </c>
      <c r="E114" s="879"/>
      <c r="G114" s="861">
        <v>1491260.0402134496</v>
      </c>
    </row>
    <row r="115" spans="2:7" x14ac:dyDescent="0.25">
      <c r="B115" s="861" t="s">
        <v>733</v>
      </c>
      <c r="C115" s="861" t="s">
        <v>689</v>
      </c>
      <c r="D115" s="871">
        <f t="shared" si="13"/>
        <v>0</v>
      </c>
      <c r="E115" s="879"/>
      <c r="G115" s="861">
        <v>1502505.4928576599</v>
      </c>
    </row>
    <row r="116" spans="2:7" x14ac:dyDescent="0.25">
      <c r="B116" s="861" t="s">
        <v>733</v>
      </c>
      <c r="C116" s="861" t="s">
        <v>692</v>
      </c>
      <c r="D116" s="871">
        <f>D112*D104/D100</f>
        <v>1195712.1975341928</v>
      </c>
      <c r="E116" s="879"/>
      <c r="G116" s="861">
        <f>D116/D82*G82</f>
        <v>2529385.9320901288</v>
      </c>
    </row>
    <row r="117" spans="2:7" x14ac:dyDescent="0.25">
      <c r="B117" s="861" t="s">
        <v>733</v>
      </c>
      <c r="C117" s="861" t="s">
        <v>699</v>
      </c>
      <c r="D117" s="871">
        <f>G117/G105*D105</f>
        <v>1854400.0079945058</v>
      </c>
      <c r="E117" s="879"/>
      <c r="G117" s="861">
        <v>2830881.8939991225</v>
      </c>
    </row>
    <row r="118" spans="2:7" x14ac:dyDescent="0.25">
      <c r="B118" s="861" t="s">
        <v>733</v>
      </c>
      <c r="C118" s="861" t="s">
        <v>827</v>
      </c>
      <c r="D118" s="871">
        <f t="shared" si="13"/>
        <v>0</v>
      </c>
      <c r="E118" s="879"/>
      <c r="G118" s="861">
        <v>1732356.5987769766</v>
      </c>
    </row>
    <row r="119" spans="2:7" x14ac:dyDescent="0.25">
      <c r="B119" s="861" t="s">
        <v>733</v>
      </c>
      <c r="C119" s="861" t="s">
        <v>700</v>
      </c>
      <c r="D119" s="871">
        <f>G119/G107*D107</f>
        <v>1090585.1281432109</v>
      </c>
      <c r="E119" s="879"/>
      <c r="G119" s="861">
        <v>1664860.6987788989</v>
      </c>
    </row>
    <row r="120" spans="2:7" x14ac:dyDescent="0.25">
      <c r="B120" s="861" t="s">
        <v>733</v>
      </c>
      <c r="D120" s="879"/>
      <c r="E120" s="879"/>
    </row>
    <row r="121" spans="2:7" x14ac:dyDescent="0.25">
      <c r="B121" s="861" t="s">
        <v>733</v>
      </c>
      <c r="C121" s="861" t="s">
        <v>832</v>
      </c>
      <c r="D121" s="879"/>
      <c r="E121" s="879"/>
    </row>
    <row r="122" spans="2:7" x14ac:dyDescent="0.25">
      <c r="B122" s="861" t="s">
        <v>60</v>
      </c>
      <c r="C122" s="861" t="s">
        <v>60</v>
      </c>
      <c r="D122" s="879"/>
      <c r="E122" s="879"/>
      <c r="G122" s="861">
        <v>2020</v>
      </c>
    </row>
    <row r="123" spans="2:7" x14ac:dyDescent="0.25">
      <c r="B123" s="861" t="s">
        <v>60</v>
      </c>
      <c r="C123" s="861" t="s">
        <v>791</v>
      </c>
      <c r="D123" s="879"/>
      <c r="E123" s="879"/>
      <c r="G123" s="861" t="s">
        <v>1287</v>
      </c>
    </row>
    <row r="124" spans="2:7" x14ac:dyDescent="0.25">
      <c r="B124" s="861" t="s">
        <v>60</v>
      </c>
      <c r="C124" s="861" t="s">
        <v>687</v>
      </c>
      <c r="D124" s="871">
        <f>G124/G112*D112</f>
        <v>1681623.7261979403</v>
      </c>
      <c r="E124" s="879"/>
      <c r="G124" s="861">
        <v>2567125.8296431107</v>
      </c>
    </row>
    <row r="125" spans="2:7" x14ac:dyDescent="0.25">
      <c r="B125" s="861" t="s">
        <v>60</v>
      </c>
      <c r="C125" s="861" t="s">
        <v>829</v>
      </c>
      <c r="D125" s="871">
        <f t="shared" ref="D125:D130" si="14">G125/G113*D113</f>
        <v>0</v>
      </c>
      <c r="E125" s="879"/>
      <c r="G125" s="861">
        <v>2720742.9699179786</v>
      </c>
    </row>
    <row r="126" spans="2:7" x14ac:dyDescent="0.25">
      <c r="B126" s="861" t="s">
        <v>60</v>
      </c>
      <c r="C126" s="861" t="s">
        <v>828</v>
      </c>
      <c r="D126" s="871">
        <f t="shared" si="14"/>
        <v>0</v>
      </c>
      <c r="E126" s="879"/>
      <c r="G126" s="861">
        <v>2670939.3077800749</v>
      </c>
    </row>
    <row r="127" spans="2:7" x14ac:dyDescent="0.25">
      <c r="B127" s="861" t="s">
        <v>60</v>
      </c>
      <c r="C127" s="861" t="s">
        <v>689</v>
      </c>
      <c r="D127" s="871">
        <f t="shared" si="14"/>
        <v>0</v>
      </c>
      <c r="E127" s="879"/>
      <c r="G127" s="861">
        <v>2710157.9792400058</v>
      </c>
    </row>
    <row r="128" spans="2:7" x14ac:dyDescent="0.25">
      <c r="B128" s="861" t="s">
        <v>60</v>
      </c>
      <c r="C128" s="861" t="s">
        <v>692</v>
      </c>
      <c r="D128" s="871">
        <f>G128/G116*D116</f>
        <v>1718711.9348504476</v>
      </c>
      <c r="E128" s="879"/>
      <c r="G128" s="861">
        <v>3635729.2317425008</v>
      </c>
    </row>
    <row r="129" spans="2:7" x14ac:dyDescent="0.25">
      <c r="B129" s="861" t="s">
        <v>60</v>
      </c>
      <c r="C129" s="861" t="s">
        <v>699</v>
      </c>
      <c r="D129" s="871">
        <f>G129/G117*D117</f>
        <v>2416886.24070324</v>
      </c>
      <c r="E129" s="879"/>
      <c r="G129" s="861">
        <v>3689559.6792311268</v>
      </c>
    </row>
    <row r="130" spans="2:7" x14ac:dyDescent="0.25">
      <c r="B130" s="861" t="s">
        <v>60</v>
      </c>
      <c r="C130" s="861" t="s">
        <v>827</v>
      </c>
      <c r="D130" s="871">
        <f t="shared" si="14"/>
        <v>0</v>
      </c>
      <c r="E130" s="879"/>
      <c r="G130" s="861">
        <v>2769263.9792806837</v>
      </c>
    </row>
    <row r="131" spans="2:7" x14ac:dyDescent="0.25">
      <c r="B131" s="861" t="s">
        <v>60</v>
      </c>
      <c r="C131" s="861" t="s">
        <v>700</v>
      </c>
      <c r="D131" s="871">
        <f>G131/G119*D119</f>
        <v>1783011.9060877543</v>
      </c>
      <c r="E131" s="879"/>
      <c r="G131" s="861">
        <v>2721902.5560658015</v>
      </c>
    </row>
  </sheetData>
  <mergeCells count="2">
    <mergeCell ref="H44:I44"/>
    <mergeCell ref="H47:I48"/>
  </mergeCells>
  <hyperlinks>
    <hyperlink ref="B3" r:id="rId1" xr:uid="{27E1CFBF-2AF8-49D6-B26B-6D0E7052F4EB}"/>
    <hyperlink ref="G14" r:id="rId2" xr:uid="{DAFE65E9-C0ED-4588-8256-4283044E4DE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1" tint="0.14999847407452621"/>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2" t="s">
        <v>1008</v>
      </c>
      <c r="F66" s="602"/>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TRP</vt:lpstr>
      <vt:lpstr>ITEMS_Tech</vt:lpstr>
      <vt:lpstr>NT_TRP</vt:lpstr>
      <vt:lpstr>ITEMS_nTech</vt:lpstr>
      <vt:lpstr>Demand</vt:lpstr>
      <vt:lpstr>Calib_2017</vt:lpstr>
      <vt:lpstr>EB_2017</vt:lpstr>
      <vt:lpstr>SOL</vt:lpstr>
      <vt:lpstr>Analytica</vt:lpstr>
      <vt:lpstr>Vehicle eff data 2023</vt:lpstr>
      <vt:lpstr>CostProjections</vt:lpstr>
      <vt:lpstr>IEACostData_passengervehs</vt:lpstr>
      <vt:lpstr>IEAWEO2023 cost data</vt:lpstr>
      <vt:lpstr>NREL_HCVs</vt:lpstr>
      <vt:lpstr>NREL_LCVs</vt:lpstr>
      <vt:lpstr>AEA2012_ZAR2022</vt:lpstr>
      <vt:lpstr>Vehicle data </vt:lpstr>
      <vt:lpstr>AEA2012 summary</vt:lpstr>
      <vt:lpstr>FuelCell</vt:lpstr>
      <vt:lpstr>Vehicle data-NDC2020</vt:lpstr>
      <vt:lpstr>old_guy_stuff</vt:lpstr>
      <vt:lpstr>Calib_old</vt:lpstr>
      <vt:lpstr>ComTechs</vt:lpstr>
      <vt:lpstr>NTECH_ROW1</vt:lpstr>
      <vt:lpstr>xvalues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2024-01-26T10:24:25Z</dcterms:modified>
</cp:coreProperties>
</file>